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\Dropbox\School Files\To-Do\ACTU 386\"/>
    </mc:Choice>
  </mc:AlternateContent>
  <xr:revisionPtr revIDLastSave="0" documentId="8_{EC30DA62-9692-4991-AEA7-138B42A9F86B}" xr6:coauthVersionLast="40" xr6:coauthVersionMax="40" xr10:uidLastSave="{00000000-0000-0000-0000-000000000000}"/>
  <bookViews>
    <workbookView xWindow="-108" yWindow="-108" windowWidth="23256" windowHeight="12576" tabRatio="743" activeTab="3" xr2:uid="{00000000-000D-0000-FFFF-FFFF00000000}"/>
  </bookViews>
  <sheets>
    <sheet name="Part A " sheetId="18" r:id="rId1"/>
    <sheet name="Part B" sheetId="19" r:id="rId2"/>
    <sheet name="Part C" sheetId="20" r:id="rId3"/>
    <sheet name="Part D Pension Calculator" sheetId="25" r:id="rId4"/>
    <sheet name="Part D Cert. 757" sheetId="26" r:id="rId5"/>
    <sheet name="A Calculations" sheetId="13" r:id="rId6"/>
    <sheet name="B Calculations" sheetId="17" r:id="rId7"/>
    <sheet name="C Calculations" sheetId="21" r:id="rId8"/>
    <sheet name="Part D Calculations" sheetId="24" r:id="rId9"/>
    <sheet name="Credited Service" sheetId="10" r:id="rId10"/>
    <sheet name="Earnings" sheetId="9" r:id="rId11"/>
    <sheet name="Yearly Pension" sheetId="11" r:id="rId12"/>
    <sheet name="Dates for Dropdown" sheetId="23" r:id="rId13"/>
    <sheet name="Data for D " sheetId="22" r:id="rId14"/>
    <sheet name="Annuity Factors " sheetId="12" r:id="rId15"/>
    <sheet name="Assumptions" sheetId="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6" l="1"/>
  <c r="J16" i="19" l="1"/>
  <c r="J6" i="19"/>
  <c r="B1" i="25" l="1"/>
  <c r="A1" i="23" s="1"/>
  <c r="K180" i="25"/>
  <c r="K181" i="25"/>
  <c r="K182" i="25"/>
  <c r="K183" i="25"/>
  <c r="K184" i="25"/>
  <c r="K185" i="25"/>
  <c r="K186" i="25"/>
  <c r="K187" i="25"/>
  <c r="K188" i="25"/>
  <c r="E132" i="24"/>
  <c r="E133" i="24"/>
  <c r="E134" i="24"/>
  <c r="E135" i="24"/>
  <c r="F132" i="24"/>
  <c r="F133" i="24"/>
  <c r="F134" i="24"/>
  <c r="F135" i="24"/>
  <c r="F136" i="24"/>
  <c r="G132" i="24"/>
  <c r="G133" i="24"/>
  <c r="G134" i="24"/>
  <c r="G135" i="24"/>
  <c r="C30" i="23"/>
  <c r="C31" i="23"/>
  <c r="J183" i="25"/>
  <c r="J182" i="25"/>
  <c r="J181" i="25"/>
  <c r="J180" i="25"/>
  <c r="A35" i="25"/>
  <c r="B7" i="25"/>
  <c r="B3" i="24" s="1"/>
  <c r="B5" i="25"/>
  <c r="B11" i="25" s="1"/>
  <c r="F3" i="24" l="1"/>
  <c r="M4" i="25"/>
  <c r="I3" i="24"/>
  <c r="B9" i="25"/>
  <c r="B2" i="24" s="1"/>
  <c r="B10" i="25"/>
  <c r="B13" i="25" s="1"/>
  <c r="B1" i="24"/>
  <c r="B4" i="24" s="1"/>
  <c r="I4" i="24"/>
  <c r="D3" i="24"/>
  <c r="A8" i="24"/>
  <c r="B20" i="25" s="1"/>
  <c r="M5" i="25"/>
  <c r="N4" i="25"/>
  <c r="G10" i="25"/>
  <c r="B17" i="25"/>
  <c r="B18" i="25" s="1"/>
  <c r="I4" i="25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E3" i="20" s="1"/>
  <c r="B78" i="20"/>
  <c r="B79" i="20"/>
  <c r="B80" i="20"/>
  <c r="B81" i="20"/>
  <c r="B82" i="20"/>
  <c r="B4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3" i="21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4" i="19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3" i="17"/>
  <c r="L81" i="21"/>
  <c r="M81" i="21" s="1"/>
  <c r="L80" i="21"/>
  <c r="M80" i="21" s="1"/>
  <c r="L79" i="21"/>
  <c r="M79" i="21" s="1"/>
  <c r="L78" i="21"/>
  <c r="M78" i="21" s="1"/>
  <c r="N78" i="21" s="1"/>
  <c r="R78" i="21" s="1"/>
  <c r="L77" i="21"/>
  <c r="M77" i="21" s="1"/>
  <c r="P76" i="21"/>
  <c r="L76" i="21"/>
  <c r="M76" i="21" s="1"/>
  <c r="N76" i="21" s="1"/>
  <c r="R76" i="21" s="1"/>
  <c r="L75" i="21"/>
  <c r="M75" i="21" s="1"/>
  <c r="P74" i="21"/>
  <c r="L74" i="21"/>
  <c r="M74" i="21" s="1"/>
  <c r="N74" i="21" s="1"/>
  <c r="R74" i="21" s="1"/>
  <c r="L73" i="21"/>
  <c r="M73" i="21" s="1"/>
  <c r="L72" i="21"/>
  <c r="M72" i="21" s="1"/>
  <c r="N72" i="21" s="1"/>
  <c r="R72" i="21" s="1"/>
  <c r="L71" i="21"/>
  <c r="M71" i="21" s="1"/>
  <c r="L70" i="21"/>
  <c r="M70" i="21" s="1"/>
  <c r="N70" i="21" s="1"/>
  <c r="R70" i="21" s="1"/>
  <c r="L69" i="21"/>
  <c r="M69" i="21" s="1"/>
  <c r="L68" i="21"/>
  <c r="M68" i="21" s="1"/>
  <c r="N68" i="21" s="1"/>
  <c r="R68" i="21" s="1"/>
  <c r="L67" i="21"/>
  <c r="M67" i="21" s="1"/>
  <c r="P66" i="21"/>
  <c r="L66" i="21"/>
  <c r="M66" i="21" s="1"/>
  <c r="N66" i="21" s="1"/>
  <c r="R66" i="21" s="1"/>
  <c r="L65" i="21"/>
  <c r="M65" i="21" s="1"/>
  <c r="P64" i="21"/>
  <c r="L64" i="21"/>
  <c r="M64" i="21" s="1"/>
  <c r="N64" i="21" s="1"/>
  <c r="R64" i="21" s="1"/>
  <c r="L63" i="21"/>
  <c r="M63" i="21" s="1"/>
  <c r="L62" i="21"/>
  <c r="M62" i="21" s="1"/>
  <c r="O62" i="21" s="1"/>
  <c r="S62" i="21" s="1"/>
  <c r="L61" i="21"/>
  <c r="M61" i="21" s="1"/>
  <c r="O60" i="21"/>
  <c r="S60" i="21" s="1"/>
  <c r="L60" i="21"/>
  <c r="M60" i="21" s="1"/>
  <c r="N60" i="21" s="1"/>
  <c r="R60" i="21" s="1"/>
  <c r="O59" i="21"/>
  <c r="S59" i="21" s="1"/>
  <c r="L59" i="21"/>
  <c r="M59" i="21" s="1"/>
  <c r="N59" i="21" s="1"/>
  <c r="R59" i="21" s="1"/>
  <c r="L58" i="21"/>
  <c r="M58" i="21" s="1"/>
  <c r="L57" i="21"/>
  <c r="M57" i="21" s="1"/>
  <c r="N56" i="21"/>
  <c r="R56" i="21" s="1"/>
  <c r="L56" i="21"/>
  <c r="M56" i="21" s="1"/>
  <c r="O56" i="21" s="1"/>
  <c r="S56" i="21" s="1"/>
  <c r="L55" i="21"/>
  <c r="M55" i="21" s="1"/>
  <c r="N55" i="21" s="1"/>
  <c r="R55" i="21" s="1"/>
  <c r="L54" i="21"/>
  <c r="M54" i="21" s="1"/>
  <c r="N53" i="21"/>
  <c r="R53" i="21" s="1"/>
  <c r="M53" i="21"/>
  <c r="L53" i="21"/>
  <c r="N52" i="21"/>
  <c r="R52" i="21" s="1"/>
  <c r="M52" i="21"/>
  <c r="L52" i="21"/>
  <c r="N51" i="21"/>
  <c r="R51" i="21" s="1"/>
  <c r="M51" i="21"/>
  <c r="L51" i="21"/>
  <c r="N50" i="21"/>
  <c r="R50" i="21" s="1"/>
  <c r="M50" i="21"/>
  <c r="L50" i="21"/>
  <c r="N49" i="21"/>
  <c r="R49" i="21" s="1"/>
  <c r="M49" i="21"/>
  <c r="L49" i="21"/>
  <c r="N48" i="21"/>
  <c r="R48" i="21" s="1"/>
  <c r="M48" i="21"/>
  <c r="L48" i="21"/>
  <c r="N47" i="21"/>
  <c r="R47" i="21" s="1"/>
  <c r="M47" i="21"/>
  <c r="L47" i="21"/>
  <c r="N46" i="21"/>
  <c r="R46" i="21" s="1"/>
  <c r="M46" i="21"/>
  <c r="L46" i="21"/>
  <c r="N45" i="21"/>
  <c r="R45" i="21" s="1"/>
  <c r="M45" i="21"/>
  <c r="L45" i="21"/>
  <c r="N44" i="21"/>
  <c r="R44" i="21" s="1"/>
  <c r="M44" i="21"/>
  <c r="L44" i="21"/>
  <c r="N43" i="21"/>
  <c r="R43" i="21" s="1"/>
  <c r="M43" i="21"/>
  <c r="L43" i="21"/>
  <c r="N42" i="21"/>
  <c r="R42" i="21" s="1"/>
  <c r="M42" i="21"/>
  <c r="L42" i="21"/>
  <c r="N41" i="21"/>
  <c r="R41" i="21" s="1"/>
  <c r="M41" i="21"/>
  <c r="L41" i="21"/>
  <c r="N40" i="21"/>
  <c r="R40" i="21" s="1"/>
  <c r="M40" i="21"/>
  <c r="L40" i="21"/>
  <c r="N39" i="21"/>
  <c r="R39" i="21" s="1"/>
  <c r="M39" i="21"/>
  <c r="L39" i="21"/>
  <c r="N38" i="21"/>
  <c r="R38" i="21" s="1"/>
  <c r="M38" i="21"/>
  <c r="L38" i="21"/>
  <c r="N37" i="21"/>
  <c r="R37" i="21" s="1"/>
  <c r="M37" i="21"/>
  <c r="L37" i="21"/>
  <c r="N36" i="21"/>
  <c r="R36" i="21" s="1"/>
  <c r="M36" i="21"/>
  <c r="L36" i="21"/>
  <c r="N35" i="21"/>
  <c r="R35" i="21" s="1"/>
  <c r="M35" i="21"/>
  <c r="L35" i="21"/>
  <c r="N34" i="21"/>
  <c r="R34" i="21" s="1"/>
  <c r="M34" i="21"/>
  <c r="L34" i="21"/>
  <c r="N33" i="21"/>
  <c r="R33" i="21" s="1"/>
  <c r="M33" i="21"/>
  <c r="L33" i="21"/>
  <c r="N32" i="21"/>
  <c r="R32" i="21" s="1"/>
  <c r="M32" i="21"/>
  <c r="L32" i="21"/>
  <c r="N31" i="21"/>
  <c r="R31" i="21" s="1"/>
  <c r="M31" i="21"/>
  <c r="L31" i="21"/>
  <c r="N30" i="21"/>
  <c r="R30" i="21" s="1"/>
  <c r="M30" i="21"/>
  <c r="L30" i="21"/>
  <c r="L29" i="21"/>
  <c r="M29" i="21" s="1"/>
  <c r="M28" i="21"/>
  <c r="O28" i="21" s="1"/>
  <c r="S28" i="21" s="1"/>
  <c r="L28" i="21"/>
  <c r="N27" i="21"/>
  <c r="R27" i="21" s="1"/>
  <c r="M27" i="21"/>
  <c r="O27" i="21" s="1"/>
  <c r="S27" i="21" s="1"/>
  <c r="L27" i="21"/>
  <c r="O26" i="21"/>
  <c r="S26" i="21" s="1"/>
  <c r="N26" i="21"/>
  <c r="R26" i="21" s="1"/>
  <c r="M26" i="21"/>
  <c r="L26" i="21"/>
  <c r="O25" i="21"/>
  <c r="S25" i="21" s="1"/>
  <c r="M25" i="21"/>
  <c r="N25" i="21" s="1"/>
  <c r="R25" i="21" s="1"/>
  <c r="L25" i="21"/>
  <c r="L24" i="21"/>
  <c r="M24" i="21" s="1"/>
  <c r="O24" i="21" s="1"/>
  <c r="S24" i="21" s="1"/>
  <c r="L23" i="21"/>
  <c r="M23" i="21" s="1"/>
  <c r="O23" i="21" s="1"/>
  <c r="S23" i="21" s="1"/>
  <c r="L22" i="21"/>
  <c r="M22" i="21" s="1"/>
  <c r="N21" i="21"/>
  <c r="R21" i="21" s="1"/>
  <c r="L21" i="21"/>
  <c r="M21" i="21" s="1"/>
  <c r="O21" i="21" s="1"/>
  <c r="S21" i="21" s="1"/>
  <c r="N20" i="21"/>
  <c r="R20" i="21" s="1"/>
  <c r="L20" i="21"/>
  <c r="M20" i="21" s="1"/>
  <c r="O20" i="21" s="1"/>
  <c r="S20" i="21" s="1"/>
  <c r="L19" i="21"/>
  <c r="M19" i="21" s="1"/>
  <c r="O19" i="21" s="1"/>
  <c r="S19" i="21" s="1"/>
  <c r="L18" i="21"/>
  <c r="M18" i="21" s="1"/>
  <c r="N17" i="21"/>
  <c r="R17" i="21" s="1"/>
  <c r="L17" i="21"/>
  <c r="M17" i="21" s="1"/>
  <c r="P17" i="21" s="1"/>
  <c r="Q17" i="21" s="1"/>
  <c r="L16" i="21"/>
  <c r="M16" i="21" s="1"/>
  <c r="N15" i="21"/>
  <c r="R15" i="21" s="1"/>
  <c r="L15" i="21"/>
  <c r="M15" i="21" s="1"/>
  <c r="O14" i="21"/>
  <c r="S14" i="21" s="1"/>
  <c r="N14" i="21"/>
  <c r="R14" i="21" s="1"/>
  <c r="L14" i="21"/>
  <c r="M14" i="21" s="1"/>
  <c r="O13" i="21"/>
  <c r="S13" i="21" s="1"/>
  <c r="L13" i="21"/>
  <c r="M13" i="21" s="1"/>
  <c r="N13" i="21" s="1"/>
  <c r="L12" i="21"/>
  <c r="M12" i="21" s="1"/>
  <c r="L11" i="21"/>
  <c r="M11" i="21" s="1"/>
  <c r="L10" i="21"/>
  <c r="M10" i="21" s="1"/>
  <c r="L9" i="21"/>
  <c r="M9" i="21" s="1"/>
  <c r="L8" i="21"/>
  <c r="M8" i="21" s="1"/>
  <c r="L7" i="21"/>
  <c r="M7" i="21" s="1"/>
  <c r="L6" i="21"/>
  <c r="M6" i="21" s="1"/>
  <c r="L5" i="21"/>
  <c r="M5" i="21" s="1"/>
  <c r="L4" i="21"/>
  <c r="M4" i="21" s="1"/>
  <c r="L3" i="21"/>
  <c r="M3" i="21" s="1"/>
  <c r="L81" i="17"/>
  <c r="M81" i="17" s="1"/>
  <c r="L80" i="17"/>
  <c r="M80" i="17" s="1"/>
  <c r="L79" i="17"/>
  <c r="M79" i="17" s="1"/>
  <c r="N79" i="17" s="1"/>
  <c r="R79" i="17" s="1"/>
  <c r="L78" i="17"/>
  <c r="M78" i="17" s="1"/>
  <c r="N78" i="17" s="1"/>
  <c r="R78" i="17" s="1"/>
  <c r="L77" i="17"/>
  <c r="M77" i="17" s="1"/>
  <c r="N77" i="17" s="1"/>
  <c r="R77" i="17" s="1"/>
  <c r="L76" i="17"/>
  <c r="M76" i="17" s="1"/>
  <c r="N76" i="17" s="1"/>
  <c r="R76" i="17" s="1"/>
  <c r="L75" i="17"/>
  <c r="M75" i="17" s="1"/>
  <c r="N75" i="17" s="1"/>
  <c r="R75" i="17" s="1"/>
  <c r="L74" i="17"/>
  <c r="M74" i="17" s="1"/>
  <c r="N74" i="17" s="1"/>
  <c r="R74" i="17" s="1"/>
  <c r="L73" i="17"/>
  <c r="M73" i="17" s="1"/>
  <c r="N73" i="17" s="1"/>
  <c r="R73" i="17" s="1"/>
  <c r="L72" i="17"/>
  <c r="M72" i="17" s="1"/>
  <c r="N72" i="17" s="1"/>
  <c r="R72" i="17" s="1"/>
  <c r="L71" i="17"/>
  <c r="M71" i="17" s="1"/>
  <c r="N71" i="17" s="1"/>
  <c r="R71" i="17" s="1"/>
  <c r="L70" i="17"/>
  <c r="M70" i="17" s="1"/>
  <c r="N70" i="17" s="1"/>
  <c r="R70" i="17" s="1"/>
  <c r="L69" i="17"/>
  <c r="M69" i="17" s="1"/>
  <c r="N69" i="17" s="1"/>
  <c r="R69" i="17" s="1"/>
  <c r="L68" i="17"/>
  <c r="M68" i="17" s="1"/>
  <c r="N68" i="17" s="1"/>
  <c r="R68" i="17" s="1"/>
  <c r="L67" i="17"/>
  <c r="M67" i="17" s="1"/>
  <c r="N67" i="17" s="1"/>
  <c r="R67" i="17" s="1"/>
  <c r="L66" i="17"/>
  <c r="M66" i="17" s="1"/>
  <c r="N66" i="17" s="1"/>
  <c r="R66" i="17" s="1"/>
  <c r="L65" i="17"/>
  <c r="M65" i="17" s="1"/>
  <c r="N65" i="17" s="1"/>
  <c r="R65" i="17" s="1"/>
  <c r="L64" i="17"/>
  <c r="M64" i="17" s="1"/>
  <c r="L63" i="17"/>
  <c r="M63" i="17" s="1"/>
  <c r="L62" i="17"/>
  <c r="M62" i="17" s="1"/>
  <c r="N61" i="17"/>
  <c r="R61" i="17" s="1"/>
  <c r="L61" i="17"/>
  <c r="M61" i="17" s="1"/>
  <c r="O61" i="17" s="1"/>
  <c r="S61" i="17" s="1"/>
  <c r="L60" i="17"/>
  <c r="M60" i="17" s="1"/>
  <c r="L59" i="17"/>
  <c r="M59" i="17" s="1"/>
  <c r="O59" i="17" s="1"/>
  <c r="S59" i="17" s="1"/>
  <c r="L58" i="17"/>
  <c r="M58" i="17" s="1"/>
  <c r="L57" i="17"/>
  <c r="M57" i="17" s="1"/>
  <c r="O57" i="17" s="1"/>
  <c r="S57" i="17" s="1"/>
  <c r="O56" i="17"/>
  <c r="S56" i="17" s="1"/>
  <c r="L56" i="17"/>
  <c r="M56" i="17" s="1"/>
  <c r="P55" i="17"/>
  <c r="O55" i="17"/>
  <c r="S55" i="17" s="1"/>
  <c r="N55" i="17"/>
  <c r="R55" i="17" s="1"/>
  <c r="L55" i="17"/>
  <c r="M55" i="17" s="1"/>
  <c r="L54" i="17"/>
  <c r="M54" i="17" s="1"/>
  <c r="O54" i="17" s="1"/>
  <c r="S54" i="17" s="1"/>
  <c r="L53" i="17"/>
  <c r="M53" i="17" s="1"/>
  <c r="O53" i="17" s="1"/>
  <c r="S53" i="17" s="1"/>
  <c r="L52" i="17"/>
  <c r="M52" i="17" s="1"/>
  <c r="O52" i="17" s="1"/>
  <c r="S52" i="17" s="1"/>
  <c r="L51" i="17"/>
  <c r="M51" i="17" s="1"/>
  <c r="O51" i="17" s="1"/>
  <c r="S51" i="17" s="1"/>
  <c r="L50" i="17"/>
  <c r="M50" i="17" s="1"/>
  <c r="O50" i="17" s="1"/>
  <c r="S50" i="17" s="1"/>
  <c r="L49" i="17"/>
  <c r="M49" i="17" s="1"/>
  <c r="O49" i="17" s="1"/>
  <c r="S49" i="17" s="1"/>
  <c r="L48" i="17"/>
  <c r="M48" i="17" s="1"/>
  <c r="O48" i="17" s="1"/>
  <c r="S48" i="17" s="1"/>
  <c r="L47" i="17"/>
  <c r="M47" i="17" s="1"/>
  <c r="O47" i="17" s="1"/>
  <c r="S47" i="17" s="1"/>
  <c r="L46" i="17"/>
  <c r="M46" i="17" s="1"/>
  <c r="O46" i="17" s="1"/>
  <c r="S46" i="17" s="1"/>
  <c r="L45" i="17"/>
  <c r="M45" i="17" s="1"/>
  <c r="O45" i="17" s="1"/>
  <c r="S45" i="17" s="1"/>
  <c r="L44" i="17"/>
  <c r="M44" i="17" s="1"/>
  <c r="N44" i="17" s="1"/>
  <c r="R44" i="17" s="1"/>
  <c r="N43" i="17"/>
  <c r="R43" i="17" s="1"/>
  <c r="L43" i="17"/>
  <c r="M43" i="17" s="1"/>
  <c r="O43" i="17" s="1"/>
  <c r="S43" i="17" s="1"/>
  <c r="L42" i="17"/>
  <c r="M42" i="17" s="1"/>
  <c r="O42" i="17" s="1"/>
  <c r="S42" i="17" s="1"/>
  <c r="L41" i="17"/>
  <c r="M41" i="17" s="1"/>
  <c r="O41" i="17" s="1"/>
  <c r="S41" i="17" s="1"/>
  <c r="L40" i="17"/>
  <c r="M40" i="17" s="1"/>
  <c r="N40" i="17" s="1"/>
  <c r="R40" i="17" s="1"/>
  <c r="N39" i="17"/>
  <c r="R39" i="17" s="1"/>
  <c r="L39" i="17"/>
  <c r="M39" i="17" s="1"/>
  <c r="O39" i="17" s="1"/>
  <c r="S39" i="17" s="1"/>
  <c r="L38" i="17"/>
  <c r="M38" i="17" s="1"/>
  <c r="O38" i="17" s="1"/>
  <c r="S38" i="17" s="1"/>
  <c r="N37" i="17"/>
  <c r="R37" i="17" s="1"/>
  <c r="L37" i="17"/>
  <c r="M37" i="17" s="1"/>
  <c r="O37" i="17" s="1"/>
  <c r="S37" i="17" s="1"/>
  <c r="L36" i="17"/>
  <c r="M36" i="17" s="1"/>
  <c r="N36" i="17" s="1"/>
  <c r="R36" i="17" s="1"/>
  <c r="M35" i="17"/>
  <c r="O35" i="17" s="1"/>
  <c r="S35" i="17" s="1"/>
  <c r="L35" i="17"/>
  <c r="M34" i="17"/>
  <c r="O34" i="17" s="1"/>
  <c r="S34" i="17" s="1"/>
  <c r="L34" i="17"/>
  <c r="M33" i="17"/>
  <c r="O33" i="17" s="1"/>
  <c r="S33" i="17" s="1"/>
  <c r="L33" i="17"/>
  <c r="M32" i="17"/>
  <c r="O32" i="17" s="1"/>
  <c r="S32" i="17" s="1"/>
  <c r="L32" i="17"/>
  <c r="L31" i="17"/>
  <c r="M31" i="17" s="1"/>
  <c r="L30" i="17"/>
  <c r="M30" i="17" s="1"/>
  <c r="L29" i="17"/>
  <c r="M29" i="17" s="1"/>
  <c r="L28" i="17"/>
  <c r="M28" i="17" s="1"/>
  <c r="L27" i="17"/>
  <c r="M27" i="17" s="1"/>
  <c r="L26" i="17"/>
  <c r="M26" i="17" s="1"/>
  <c r="L25" i="17"/>
  <c r="M25" i="17" s="1"/>
  <c r="L24" i="17"/>
  <c r="M24" i="17" s="1"/>
  <c r="L23" i="17"/>
  <c r="M23" i="17" s="1"/>
  <c r="L22" i="17"/>
  <c r="M22" i="17" s="1"/>
  <c r="L21" i="17"/>
  <c r="M21" i="17" s="1"/>
  <c r="L20" i="17"/>
  <c r="M20" i="17" s="1"/>
  <c r="L19" i="17"/>
  <c r="M19" i="17" s="1"/>
  <c r="L18" i="17"/>
  <c r="M18" i="17" s="1"/>
  <c r="L17" i="17"/>
  <c r="M17" i="17" s="1"/>
  <c r="L16" i="17"/>
  <c r="M16" i="17" s="1"/>
  <c r="L15" i="17"/>
  <c r="M15" i="17" s="1"/>
  <c r="L14" i="17"/>
  <c r="M14" i="17" s="1"/>
  <c r="L13" i="17"/>
  <c r="M13" i="17" s="1"/>
  <c r="L12" i="17"/>
  <c r="M12" i="17" s="1"/>
  <c r="L11" i="17"/>
  <c r="M11" i="17" s="1"/>
  <c r="L10" i="17"/>
  <c r="M10" i="17" s="1"/>
  <c r="L9" i="17"/>
  <c r="M9" i="17" s="1"/>
  <c r="L8" i="17"/>
  <c r="M8" i="17" s="1"/>
  <c r="L7" i="17"/>
  <c r="M7" i="17" s="1"/>
  <c r="L6" i="17"/>
  <c r="M6" i="17" s="1"/>
  <c r="L5" i="17"/>
  <c r="M5" i="17" s="1"/>
  <c r="L4" i="17"/>
  <c r="M4" i="17" s="1"/>
  <c r="L3" i="17"/>
  <c r="M3" i="17" s="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4" i="18"/>
  <c r="B4" i="18"/>
  <c r="M5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3" i="13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G4" i="11"/>
  <c r="G3" i="11"/>
  <c r="G2" i="10"/>
  <c r="H4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Q3" i="9"/>
  <c r="AP3" i="9" s="1"/>
  <c r="AO3" i="9" s="1"/>
  <c r="AN3" i="9" s="1"/>
  <c r="AM3" i="9" s="1"/>
  <c r="AL3" i="9" s="1"/>
  <c r="AK3" i="9" s="1"/>
  <c r="AJ3" i="9" s="1"/>
  <c r="AI3" i="9" s="1"/>
  <c r="AH3" i="9" s="1"/>
  <c r="AG3" i="9" s="1"/>
  <c r="AR3" i="9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Q4" i="9"/>
  <c r="AP4" i="9" s="1"/>
  <c r="AO4" i="9" s="1"/>
  <c r="AN4" i="9" s="1"/>
  <c r="AM4" i="9" s="1"/>
  <c r="AL4" i="9" s="1"/>
  <c r="AK4" i="9" s="1"/>
  <c r="AJ4" i="9" s="1"/>
  <c r="AI4" i="9" s="1"/>
  <c r="AH4" i="9" s="1"/>
  <c r="AG4" i="9" s="1"/>
  <c r="AF4" i="9" s="1"/>
  <c r="AR4" i="9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Q5" i="9"/>
  <c r="AP5" i="9" s="1"/>
  <c r="AO5" i="9" s="1"/>
  <c r="AN5" i="9" s="1"/>
  <c r="AM5" i="9" s="1"/>
  <c r="AL5" i="9" s="1"/>
  <c r="AK5" i="9" s="1"/>
  <c r="AJ5" i="9" s="1"/>
  <c r="AI5" i="9" s="1"/>
  <c r="AH5" i="9" s="1"/>
  <c r="AR5" i="9"/>
  <c r="AS5" i="9" s="1"/>
  <c r="AT5" i="9" s="1"/>
  <c r="AU5" i="9" s="1"/>
  <c r="AV5" i="9" s="1"/>
  <c r="AW5" i="9" s="1"/>
  <c r="AX5" i="9" s="1"/>
  <c r="AY5" i="9" s="1"/>
  <c r="AZ5" i="9" s="1"/>
  <c r="BA5" i="9" s="1"/>
  <c r="BB5" i="9" s="1"/>
  <c r="BC5" i="9" s="1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Q6" i="9"/>
  <c r="AP6" i="9" s="1"/>
  <c r="AO6" i="9" s="1"/>
  <c r="AN6" i="9" s="1"/>
  <c r="AM6" i="9" s="1"/>
  <c r="AL6" i="9" s="1"/>
  <c r="AK6" i="9" s="1"/>
  <c r="AJ6" i="9" s="1"/>
  <c r="AI6" i="9" s="1"/>
  <c r="AR6" i="9"/>
  <c r="AS6" i="9" s="1"/>
  <c r="AT6" i="9" s="1"/>
  <c r="AU6" i="9"/>
  <c r="AV6" i="9" s="1"/>
  <c r="AW6" i="9" s="1"/>
  <c r="AX6" i="9" s="1"/>
  <c r="AY6" i="9" s="1"/>
  <c r="AZ6" i="9" s="1"/>
  <c r="BA6" i="9" s="1"/>
  <c r="BB6" i="9" s="1"/>
  <c r="BC6" i="9" s="1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Q7" i="9"/>
  <c r="AP7" i="9" s="1"/>
  <c r="AO7" i="9" s="1"/>
  <c r="AN7" i="9" s="1"/>
  <c r="AM7" i="9" s="1"/>
  <c r="AL7" i="9" s="1"/>
  <c r="AK7" i="9" s="1"/>
  <c r="AJ7" i="9" s="1"/>
  <c r="AI7" i="9" s="1"/>
  <c r="AR7" i="9"/>
  <c r="AS7" i="9" s="1"/>
  <c r="AT7" i="9" s="1"/>
  <c r="AU7" i="9"/>
  <c r="AV7" i="9" s="1"/>
  <c r="AW7" i="9" s="1"/>
  <c r="AX7" i="9" s="1"/>
  <c r="AY7" i="9" s="1"/>
  <c r="AZ7" i="9" s="1"/>
  <c r="BA7" i="9" s="1"/>
  <c r="BB7" i="9" s="1"/>
  <c r="BC7" i="9" s="1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Q8" i="9"/>
  <c r="AP8" i="9" s="1"/>
  <c r="AO8" i="9" s="1"/>
  <c r="AN8" i="9" s="1"/>
  <c r="AM8" i="9" s="1"/>
  <c r="AL8" i="9" s="1"/>
  <c r="AK8" i="9" s="1"/>
  <c r="AJ8" i="9" s="1"/>
  <c r="AI8" i="9" s="1"/>
  <c r="AR8" i="9"/>
  <c r="AS8" i="9" s="1"/>
  <c r="AT8" i="9" s="1"/>
  <c r="AU8" i="9"/>
  <c r="AV8" i="9" s="1"/>
  <c r="AW8" i="9" s="1"/>
  <c r="AX8" i="9" s="1"/>
  <c r="AY8" i="9" s="1"/>
  <c r="AZ8" i="9" s="1"/>
  <c r="BA8" i="9" s="1"/>
  <c r="BB8" i="9" s="1"/>
  <c r="BC8" i="9" s="1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Q9" i="9"/>
  <c r="AP9" i="9" s="1"/>
  <c r="AO9" i="9" s="1"/>
  <c r="AN9" i="9" s="1"/>
  <c r="AM9" i="9" s="1"/>
  <c r="AL9" i="9" s="1"/>
  <c r="AK9" i="9" s="1"/>
  <c r="AJ9" i="9" s="1"/>
  <c r="AI9" i="9" s="1"/>
  <c r="AR9" i="9"/>
  <c r="AS9" i="9" s="1"/>
  <c r="AT9" i="9" s="1"/>
  <c r="AU9" i="9"/>
  <c r="AV9" i="9" s="1"/>
  <c r="AW9" i="9" s="1"/>
  <c r="AX9" i="9" s="1"/>
  <c r="AY9" i="9" s="1"/>
  <c r="AZ9" i="9" s="1"/>
  <c r="BA9" i="9" s="1"/>
  <c r="BB9" i="9" s="1"/>
  <c r="BC9" i="9" s="1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Q10" i="9"/>
  <c r="AP10" i="9" s="1"/>
  <c r="AO10" i="9" s="1"/>
  <c r="AN10" i="9" s="1"/>
  <c r="AM10" i="9" s="1"/>
  <c r="AL10" i="9" s="1"/>
  <c r="AK10" i="9" s="1"/>
  <c r="AJ10" i="9" s="1"/>
  <c r="AI10" i="9" s="1"/>
  <c r="AR10" i="9"/>
  <c r="AS10" i="9" s="1"/>
  <c r="AT10" i="9" s="1"/>
  <c r="AU10" i="9"/>
  <c r="AV10" i="9" s="1"/>
  <c r="AW10" i="9" s="1"/>
  <c r="AX10" i="9" s="1"/>
  <c r="AY10" i="9" s="1"/>
  <c r="AZ10" i="9" s="1"/>
  <c r="BA10" i="9" s="1"/>
  <c r="BB10" i="9" s="1"/>
  <c r="BC10" i="9" s="1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Q11" i="9"/>
  <c r="AP11" i="9" s="1"/>
  <c r="AO11" i="9" s="1"/>
  <c r="AN11" i="9" s="1"/>
  <c r="AM11" i="9" s="1"/>
  <c r="AL11" i="9" s="1"/>
  <c r="AK11" i="9" s="1"/>
  <c r="AJ11" i="9" s="1"/>
  <c r="AI11" i="9" s="1"/>
  <c r="AR11" i="9"/>
  <c r="AS11" i="9" s="1"/>
  <c r="AT11" i="9" s="1"/>
  <c r="AU11" i="9"/>
  <c r="AV11" i="9" s="1"/>
  <c r="AW11" i="9" s="1"/>
  <c r="AX11" i="9" s="1"/>
  <c r="AY11" i="9" s="1"/>
  <c r="AZ11" i="9" s="1"/>
  <c r="BA11" i="9" s="1"/>
  <c r="BB11" i="9" s="1"/>
  <c r="BC11" i="9" s="1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Q12" i="9"/>
  <c r="AP12" i="9" s="1"/>
  <c r="AO12" i="9" s="1"/>
  <c r="AN12" i="9" s="1"/>
  <c r="AM12" i="9" s="1"/>
  <c r="AL12" i="9" s="1"/>
  <c r="AK12" i="9" s="1"/>
  <c r="AJ12" i="9" s="1"/>
  <c r="AI12" i="9" s="1"/>
  <c r="AR12" i="9"/>
  <c r="AS12" i="9" s="1"/>
  <c r="AT12" i="9" s="1"/>
  <c r="AU12" i="9"/>
  <c r="AV12" i="9" s="1"/>
  <c r="AW12" i="9" s="1"/>
  <c r="AX12" i="9" s="1"/>
  <c r="AY12" i="9" s="1"/>
  <c r="AZ12" i="9" s="1"/>
  <c r="BA12" i="9" s="1"/>
  <c r="BB12" i="9" s="1"/>
  <c r="BC12" i="9" s="1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Q13" i="9"/>
  <c r="AP13" i="9" s="1"/>
  <c r="AO13" i="9" s="1"/>
  <c r="AN13" i="9" s="1"/>
  <c r="AM13" i="9" s="1"/>
  <c r="AL13" i="9" s="1"/>
  <c r="AK13" i="9" s="1"/>
  <c r="AJ13" i="9" s="1"/>
  <c r="AI13" i="9" s="1"/>
  <c r="AR13" i="9"/>
  <c r="AS13" i="9" s="1"/>
  <c r="AT13" i="9" s="1"/>
  <c r="AU13" i="9"/>
  <c r="AV13" i="9" s="1"/>
  <c r="AW13" i="9" s="1"/>
  <c r="AX13" i="9" s="1"/>
  <c r="AY13" i="9" s="1"/>
  <c r="AZ13" i="9" s="1"/>
  <c r="BA13" i="9" s="1"/>
  <c r="BB13" i="9" s="1"/>
  <c r="BC13" i="9" s="1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M14" i="9"/>
  <c r="AL14" i="9" s="1"/>
  <c r="AK14" i="9" s="1"/>
  <c r="AQ14" i="9"/>
  <c r="AP14" i="9" s="1"/>
  <c r="AO14" i="9" s="1"/>
  <c r="AN14" i="9" s="1"/>
  <c r="AR14" i="9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R15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R16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O17" i="9"/>
  <c r="AN17" i="9" s="1"/>
  <c r="AM17" i="9" s="1"/>
  <c r="AL17" i="9" s="1"/>
  <c r="AK17" i="9" s="1"/>
  <c r="AJ17" i="9" s="1"/>
  <c r="AI17" i="9" s="1"/>
  <c r="AH17" i="9" s="1"/>
  <c r="AR17" i="9"/>
  <c r="AQ17" i="9" s="1"/>
  <c r="AP17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R18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I19" i="9"/>
  <c r="AH19" i="9" s="1"/>
  <c r="AQ19" i="9"/>
  <c r="AP19" i="9" s="1"/>
  <c r="AO19" i="9" s="1"/>
  <c r="AN19" i="9" s="1"/>
  <c r="AM19" i="9" s="1"/>
  <c r="AL19" i="9" s="1"/>
  <c r="AK19" i="9" s="1"/>
  <c r="AJ19" i="9" s="1"/>
  <c r="AR19" i="9"/>
  <c r="AS19" i="9"/>
  <c r="AT19" i="9" s="1"/>
  <c r="AU19" i="9" s="1"/>
  <c r="AV19" i="9" s="1"/>
  <c r="AW19" i="9" s="1"/>
  <c r="AX19" i="9" s="1"/>
  <c r="AY19" i="9" s="1"/>
  <c r="AZ19" i="9" s="1"/>
  <c r="BA19" i="9" s="1"/>
  <c r="BB19" i="9" s="1"/>
  <c r="BC19" i="9" s="1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Q20" i="9"/>
  <c r="AP20" i="9" s="1"/>
  <c r="AO20" i="9" s="1"/>
  <c r="AN20" i="9" s="1"/>
  <c r="AM20" i="9" s="1"/>
  <c r="AL20" i="9" s="1"/>
  <c r="AK20" i="9" s="1"/>
  <c r="AJ20" i="9" s="1"/>
  <c r="AI20" i="9" s="1"/>
  <c r="AH20" i="9" s="1"/>
  <c r="AR20" i="9"/>
  <c r="AS20" i="9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I21" i="9"/>
  <c r="AH21" i="9" s="1"/>
  <c r="AQ21" i="9"/>
  <c r="AP21" i="9" s="1"/>
  <c r="AO21" i="9" s="1"/>
  <c r="AN21" i="9" s="1"/>
  <c r="AM21" i="9" s="1"/>
  <c r="AL21" i="9" s="1"/>
  <c r="AK21" i="9" s="1"/>
  <c r="AJ21" i="9" s="1"/>
  <c r="AR21" i="9"/>
  <c r="AS21" i="9"/>
  <c r="AT21" i="9" s="1"/>
  <c r="AU21" i="9" s="1"/>
  <c r="AV21" i="9" s="1"/>
  <c r="AW21" i="9" s="1"/>
  <c r="AX21" i="9" s="1"/>
  <c r="AY21" i="9" s="1"/>
  <c r="AZ21" i="9" s="1"/>
  <c r="BA21" i="9" s="1"/>
  <c r="BB21" i="9" s="1"/>
  <c r="BC21" i="9" s="1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Q22" i="9"/>
  <c r="AP22" i="9" s="1"/>
  <c r="AO22" i="9" s="1"/>
  <c r="AN22" i="9" s="1"/>
  <c r="AM22" i="9" s="1"/>
  <c r="AL22" i="9" s="1"/>
  <c r="AK22" i="9" s="1"/>
  <c r="AJ22" i="9" s="1"/>
  <c r="AI22" i="9" s="1"/>
  <c r="AH22" i="9" s="1"/>
  <c r="AR22" i="9"/>
  <c r="AS22" i="9"/>
  <c r="AT22" i="9" s="1"/>
  <c r="AU22" i="9" s="1"/>
  <c r="AV22" i="9" s="1"/>
  <c r="AW22" i="9" s="1"/>
  <c r="AX22" i="9" s="1"/>
  <c r="AY22" i="9" s="1"/>
  <c r="AZ22" i="9" s="1"/>
  <c r="BA22" i="9" s="1"/>
  <c r="BB22" i="9" s="1"/>
  <c r="BC22" i="9" s="1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I23" i="9"/>
  <c r="AH23" i="9" s="1"/>
  <c r="AQ23" i="9"/>
  <c r="AP23" i="9" s="1"/>
  <c r="AO23" i="9" s="1"/>
  <c r="AN23" i="9" s="1"/>
  <c r="AM23" i="9" s="1"/>
  <c r="AL23" i="9" s="1"/>
  <c r="AK23" i="9" s="1"/>
  <c r="AJ23" i="9" s="1"/>
  <c r="AR23" i="9"/>
  <c r="AS23" i="9"/>
  <c r="AT23" i="9" s="1"/>
  <c r="AU23" i="9" s="1"/>
  <c r="AV23" i="9" s="1"/>
  <c r="AW23" i="9" s="1"/>
  <c r="AX23" i="9" s="1"/>
  <c r="AY23" i="9" s="1"/>
  <c r="AZ23" i="9" s="1"/>
  <c r="BA23" i="9" s="1"/>
  <c r="BB23" i="9" s="1"/>
  <c r="BC23" i="9" s="1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M24" i="9"/>
  <c r="AL24" i="9" s="1"/>
  <c r="AK24" i="9" s="1"/>
  <c r="AJ24" i="9" s="1"/>
  <c r="AI24" i="9" s="1"/>
  <c r="AH24" i="9" s="1"/>
  <c r="AG24" i="9" s="1"/>
  <c r="AQ24" i="9"/>
  <c r="AP24" i="9" s="1"/>
  <c r="AO24" i="9" s="1"/>
  <c r="AN24" i="9" s="1"/>
  <c r="AR24" i="9"/>
  <c r="AS24" i="9"/>
  <c r="AT24" i="9" s="1"/>
  <c r="AU24" i="9"/>
  <c r="AV24" i="9" s="1"/>
  <c r="AW24" i="9" s="1"/>
  <c r="AX24" i="9" s="1"/>
  <c r="AY24" i="9" s="1"/>
  <c r="AZ24" i="9" s="1"/>
  <c r="BA24" i="9" s="1"/>
  <c r="BB24" i="9" s="1"/>
  <c r="BC24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Q25" i="9"/>
  <c r="AP25" i="9" s="1"/>
  <c r="AO25" i="9" s="1"/>
  <c r="AN25" i="9" s="1"/>
  <c r="AM25" i="9" s="1"/>
  <c r="AL25" i="9" s="1"/>
  <c r="AK25" i="9" s="1"/>
  <c r="AJ25" i="9" s="1"/>
  <c r="AI25" i="9" s="1"/>
  <c r="AH25" i="9" s="1"/>
  <c r="AG25" i="9" s="1"/>
  <c r="AR25" i="9"/>
  <c r="AS25" i="9"/>
  <c r="AT25" i="9" s="1"/>
  <c r="AU25" i="9" s="1"/>
  <c r="AV25" i="9" s="1"/>
  <c r="AW25" i="9" s="1"/>
  <c r="AX25" i="9" s="1"/>
  <c r="AY25" i="9" s="1"/>
  <c r="AZ25" i="9" s="1"/>
  <c r="BA25" i="9" s="1"/>
  <c r="BB25" i="9" s="1"/>
  <c r="BC25" i="9" s="1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M26" i="9"/>
  <c r="AL26" i="9" s="1"/>
  <c r="AK26" i="9" s="1"/>
  <c r="AJ26" i="9" s="1"/>
  <c r="AI26" i="9" s="1"/>
  <c r="AH26" i="9" s="1"/>
  <c r="AG26" i="9" s="1"/>
  <c r="AQ26" i="9"/>
  <c r="AP26" i="9" s="1"/>
  <c r="AO26" i="9" s="1"/>
  <c r="AN26" i="9" s="1"/>
  <c r="AR26" i="9"/>
  <c r="AS26" i="9"/>
  <c r="AT26" i="9" s="1"/>
  <c r="AU26" i="9"/>
  <c r="AV26" i="9" s="1"/>
  <c r="AW26" i="9" s="1"/>
  <c r="AX26" i="9" s="1"/>
  <c r="AY26" i="9" s="1"/>
  <c r="AZ26" i="9" s="1"/>
  <c r="BA26" i="9" s="1"/>
  <c r="BB26" i="9" s="1"/>
  <c r="BC26" i="9" s="1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Q27" i="9"/>
  <c r="AP27" i="9" s="1"/>
  <c r="AO27" i="9" s="1"/>
  <c r="AN27" i="9" s="1"/>
  <c r="AM27" i="9" s="1"/>
  <c r="AL27" i="9" s="1"/>
  <c r="AK27" i="9" s="1"/>
  <c r="AJ27" i="9" s="1"/>
  <c r="AI27" i="9" s="1"/>
  <c r="AH27" i="9" s="1"/>
  <c r="AG27" i="9" s="1"/>
  <c r="AR27" i="9"/>
  <c r="AS27" i="9"/>
  <c r="AT27" i="9" s="1"/>
  <c r="AU27" i="9" s="1"/>
  <c r="AV27" i="9" s="1"/>
  <c r="AW27" i="9" s="1"/>
  <c r="AX27" i="9" s="1"/>
  <c r="AY27" i="9" s="1"/>
  <c r="AZ27" i="9" s="1"/>
  <c r="BA27" i="9" s="1"/>
  <c r="BB27" i="9" s="1"/>
  <c r="BC27" i="9" s="1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M28" i="9"/>
  <c r="AL28" i="9" s="1"/>
  <c r="AK28" i="9" s="1"/>
  <c r="AJ28" i="9" s="1"/>
  <c r="AI28" i="9" s="1"/>
  <c r="AH28" i="9" s="1"/>
  <c r="AG28" i="9" s="1"/>
  <c r="AQ28" i="9"/>
  <c r="AP28" i="9" s="1"/>
  <c r="AO28" i="9" s="1"/>
  <c r="AN28" i="9" s="1"/>
  <c r="AR28" i="9"/>
  <c r="AS28" i="9"/>
  <c r="AT28" i="9" s="1"/>
  <c r="AU28" i="9"/>
  <c r="AV28" i="9" s="1"/>
  <c r="AW28" i="9" s="1"/>
  <c r="AX28" i="9" s="1"/>
  <c r="AY28" i="9" s="1"/>
  <c r="AZ28" i="9" s="1"/>
  <c r="BA28" i="9" s="1"/>
  <c r="BB28" i="9" s="1"/>
  <c r="BC28" i="9" s="1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Q29" i="9"/>
  <c r="AP29" i="9" s="1"/>
  <c r="AO29" i="9" s="1"/>
  <c r="AN29" i="9" s="1"/>
  <c r="AM29" i="9" s="1"/>
  <c r="AL29" i="9" s="1"/>
  <c r="AK29" i="9" s="1"/>
  <c r="AJ29" i="9" s="1"/>
  <c r="AI29" i="9" s="1"/>
  <c r="AH29" i="9" s="1"/>
  <c r="AG29" i="9" s="1"/>
  <c r="AR29" i="9"/>
  <c r="AS29" i="9"/>
  <c r="AT29" i="9" s="1"/>
  <c r="AU29" i="9" s="1"/>
  <c r="AV29" i="9" s="1"/>
  <c r="AW29" i="9" s="1"/>
  <c r="AX29" i="9" s="1"/>
  <c r="AY29" i="9"/>
  <c r="AZ29" i="9" s="1"/>
  <c r="BA29" i="9" s="1"/>
  <c r="BB29" i="9" s="1"/>
  <c r="BC29" i="9" s="1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Q30" i="9"/>
  <c r="AP30" i="9" s="1"/>
  <c r="AO30" i="9" s="1"/>
  <c r="AN30" i="9" s="1"/>
  <c r="AM30" i="9" s="1"/>
  <c r="AL30" i="9" s="1"/>
  <c r="AK30" i="9" s="1"/>
  <c r="AJ30" i="9" s="1"/>
  <c r="AI30" i="9" s="1"/>
  <c r="AH30" i="9" s="1"/>
  <c r="AG30" i="9" s="1"/>
  <c r="AF30" i="9" s="1"/>
  <c r="AR30" i="9"/>
  <c r="AS30" i="9"/>
  <c r="AT30" i="9" s="1"/>
  <c r="AU30" i="9" s="1"/>
  <c r="AV30" i="9" s="1"/>
  <c r="AW30" i="9" s="1"/>
  <c r="AX30" i="9" s="1"/>
  <c r="AY30" i="9"/>
  <c r="AZ30" i="9" s="1"/>
  <c r="BA30" i="9" s="1"/>
  <c r="BB30" i="9" s="1"/>
  <c r="BC30" i="9" s="1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I31" i="9"/>
  <c r="AH31" i="9" s="1"/>
  <c r="AG31" i="9" s="1"/>
  <c r="AQ31" i="9"/>
  <c r="AP31" i="9" s="1"/>
  <c r="AO31" i="9" s="1"/>
  <c r="AN31" i="9" s="1"/>
  <c r="AM31" i="9" s="1"/>
  <c r="AL31" i="9" s="1"/>
  <c r="AK31" i="9" s="1"/>
  <c r="AJ31" i="9" s="1"/>
  <c r="AR31" i="9"/>
  <c r="AS31" i="9"/>
  <c r="AT31" i="9" s="1"/>
  <c r="AU31" i="9" s="1"/>
  <c r="AV31" i="9" s="1"/>
  <c r="AW31" i="9"/>
  <c r="AX31" i="9" s="1"/>
  <c r="AY31" i="9" s="1"/>
  <c r="AZ31" i="9" s="1"/>
  <c r="BA31" i="9" s="1"/>
  <c r="BB31" i="9" s="1"/>
  <c r="BC31" i="9" s="1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M32" i="9"/>
  <c r="AL32" i="9" s="1"/>
  <c r="AK32" i="9" s="1"/>
  <c r="AJ32" i="9" s="1"/>
  <c r="AI32" i="9" s="1"/>
  <c r="AH32" i="9" s="1"/>
  <c r="AG32" i="9" s="1"/>
  <c r="AQ32" i="9"/>
  <c r="AP32" i="9" s="1"/>
  <c r="AO32" i="9" s="1"/>
  <c r="AN32" i="9" s="1"/>
  <c r="AR32" i="9"/>
  <c r="AS32" i="9"/>
  <c r="AT32" i="9" s="1"/>
  <c r="AU32" i="9" s="1"/>
  <c r="AV32" i="9" s="1"/>
  <c r="AW32" i="9" s="1"/>
  <c r="AX32" i="9" s="1"/>
  <c r="AY32" i="9" s="1"/>
  <c r="AZ32" i="9" s="1"/>
  <c r="BA32" i="9"/>
  <c r="BB32" i="9" s="1"/>
  <c r="BC32" i="9" s="1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Q33" i="9"/>
  <c r="AP33" i="9" s="1"/>
  <c r="AO33" i="9" s="1"/>
  <c r="AN33" i="9" s="1"/>
  <c r="AM33" i="9" s="1"/>
  <c r="AL33" i="9" s="1"/>
  <c r="AK33" i="9" s="1"/>
  <c r="AJ33" i="9" s="1"/>
  <c r="AI33" i="9" s="1"/>
  <c r="AH33" i="9" s="1"/>
  <c r="AG33" i="9" s="1"/>
  <c r="AF33" i="9" s="1"/>
  <c r="AR33" i="9"/>
  <c r="AS33" i="9" s="1"/>
  <c r="AT33" i="9" s="1"/>
  <c r="AU33" i="9" s="1"/>
  <c r="AV33" i="9"/>
  <c r="AW33" i="9" s="1"/>
  <c r="AX33" i="9" s="1"/>
  <c r="AY33" i="9" s="1"/>
  <c r="AZ33" i="9" s="1"/>
  <c r="BA33" i="9" s="1"/>
  <c r="BB33" i="9" s="1"/>
  <c r="BC33" i="9" s="1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R34" i="9"/>
  <c r="AQ34" i="9" s="1"/>
  <c r="AP34" i="9" s="1"/>
  <c r="AO34" i="9" s="1"/>
  <c r="AN34" i="9" s="1"/>
  <c r="AM34" i="9" s="1"/>
  <c r="AL34" i="9" s="1"/>
  <c r="AK34" i="9" s="1"/>
  <c r="AJ34" i="9" s="1"/>
  <c r="AI34" i="9" s="1"/>
  <c r="AH34" i="9" s="1"/>
  <c r="AG34" i="9" s="1"/>
  <c r="AF34" i="9" s="1"/>
  <c r="AS34" i="9"/>
  <c r="AT34" i="9" s="1"/>
  <c r="AU34" i="9" s="1"/>
  <c r="AV34" i="9" s="1"/>
  <c r="AW34" i="9" s="1"/>
  <c r="AX34" i="9" s="1"/>
  <c r="AY34" i="9"/>
  <c r="AZ34" i="9" s="1"/>
  <c r="BA34" i="9" s="1"/>
  <c r="BB34" i="9" s="1"/>
  <c r="BC34" i="9" s="1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Q35" i="9"/>
  <c r="AP35" i="9" s="1"/>
  <c r="AO35" i="9" s="1"/>
  <c r="AN35" i="9" s="1"/>
  <c r="AM35" i="9" s="1"/>
  <c r="AL35" i="9" s="1"/>
  <c r="AK35" i="9" s="1"/>
  <c r="AJ35" i="9" s="1"/>
  <c r="AI35" i="9" s="1"/>
  <c r="AH35" i="9" s="1"/>
  <c r="AG35" i="9" s="1"/>
  <c r="AF35" i="9" s="1"/>
  <c r="AE35" i="9" s="1"/>
  <c r="AR35" i="9"/>
  <c r="AS35" i="9" s="1"/>
  <c r="AT35" i="9" s="1"/>
  <c r="AU35" i="9" s="1"/>
  <c r="AV35" i="9"/>
  <c r="AW35" i="9" s="1"/>
  <c r="AX35" i="9" s="1"/>
  <c r="AY35" i="9" s="1"/>
  <c r="AZ35" i="9" s="1"/>
  <c r="BA35" i="9" s="1"/>
  <c r="BB35" i="9" s="1"/>
  <c r="BC35" i="9" s="1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N36" i="9"/>
  <c r="AM36" i="9" s="1"/>
  <c r="AL36" i="9" s="1"/>
  <c r="AK36" i="9" s="1"/>
  <c r="AJ36" i="9" s="1"/>
  <c r="AI36" i="9" s="1"/>
  <c r="AH36" i="9" s="1"/>
  <c r="AG36" i="9" s="1"/>
  <c r="AF36" i="9" s="1"/>
  <c r="AE36" i="9" s="1"/>
  <c r="AR36" i="9"/>
  <c r="AQ36" i="9" s="1"/>
  <c r="AP36" i="9" s="1"/>
  <c r="AO36" i="9" s="1"/>
  <c r="AS36" i="9"/>
  <c r="AT36" i="9" s="1"/>
  <c r="AU36" i="9" s="1"/>
  <c r="AV36" i="9" s="1"/>
  <c r="AW36" i="9" s="1"/>
  <c r="AX36" i="9" s="1"/>
  <c r="AY36" i="9" s="1"/>
  <c r="AZ36" i="9" s="1"/>
  <c r="BA36" i="9" s="1"/>
  <c r="BB36" i="9" s="1"/>
  <c r="BC36" i="9" s="1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K37" i="9"/>
  <c r="AJ37" i="9" s="1"/>
  <c r="AI37" i="9" s="1"/>
  <c r="AH37" i="9" s="1"/>
  <c r="AG37" i="9" s="1"/>
  <c r="AF37" i="9" s="1"/>
  <c r="AE37" i="9" s="1"/>
  <c r="AQ37" i="9"/>
  <c r="AP37" i="9" s="1"/>
  <c r="AO37" i="9" s="1"/>
  <c r="AN37" i="9" s="1"/>
  <c r="AM37" i="9" s="1"/>
  <c r="AL37" i="9" s="1"/>
  <c r="AR37" i="9"/>
  <c r="AS37" i="9" s="1"/>
  <c r="AT37" i="9" s="1"/>
  <c r="AU37" i="9" s="1"/>
  <c r="AV37" i="9" s="1"/>
  <c r="AW37" i="9" s="1"/>
  <c r="AX37" i="9" s="1"/>
  <c r="AY37" i="9" s="1"/>
  <c r="AZ37" i="9" s="1"/>
  <c r="BA37" i="9" s="1"/>
  <c r="BB37" i="9" s="1"/>
  <c r="BC37" i="9" s="1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P38" i="9"/>
  <c r="AO38" i="9" s="1"/>
  <c r="AN38" i="9" s="1"/>
  <c r="AM38" i="9" s="1"/>
  <c r="AL38" i="9" s="1"/>
  <c r="AK38" i="9" s="1"/>
  <c r="AJ38" i="9" s="1"/>
  <c r="AI38" i="9" s="1"/>
  <c r="AH38" i="9" s="1"/>
  <c r="AG38" i="9" s="1"/>
  <c r="AF38" i="9" s="1"/>
  <c r="AE38" i="9" s="1"/>
  <c r="AQ38" i="9"/>
  <c r="AR38" i="9"/>
  <c r="AS38" i="9"/>
  <c r="AT38" i="9"/>
  <c r="AU38" i="9" s="1"/>
  <c r="AV38" i="9" s="1"/>
  <c r="AW38" i="9" s="1"/>
  <c r="AX38" i="9" s="1"/>
  <c r="AY38" i="9" s="1"/>
  <c r="AZ38" i="9" s="1"/>
  <c r="BA38" i="9" s="1"/>
  <c r="BB38" i="9"/>
  <c r="BC38" i="9" s="1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P39" i="9"/>
  <c r="AO39" i="9" s="1"/>
  <c r="AN39" i="9" s="1"/>
  <c r="AM39" i="9" s="1"/>
  <c r="AL39" i="9" s="1"/>
  <c r="AK39" i="9" s="1"/>
  <c r="AJ39" i="9" s="1"/>
  <c r="AI39" i="9" s="1"/>
  <c r="AH39" i="9" s="1"/>
  <c r="AG39" i="9" s="1"/>
  <c r="AF39" i="9" s="1"/>
  <c r="AE39" i="9" s="1"/>
  <c r="AD39" i="9" s="1"/>
  <c r="AQ39" i="9"/>
  <c r="AR39" i="9"/>
  <c r="AS39" i="9"/>
  <c r="AT39" i="9"/>
  <c r="AU39" i="9" s="1"/>
  <c r="AV39" i="9" s="1"/>
  <c r="AW39" i="9" s="1"/>
  <c r="AX39" i="9" s="1"/>
  <c r="AY39" i="9" s="1"/>
  <c r="AZ39" i="9" s="1"/>
  <c r="BA39" i="9" s="1"/>
  <c r="BB39" i="9" s="1"/>
  <c r="BC39" i="9" s="1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H40" i="9"/>
  <c r="AG40" i="9" s="1"/>
  <c r="AF40" i="9" s="1"/>
  <c r="AE40" i="9" s="1"/>
  <c r="AD40" i="9" s="1"/>
  <c r="AP40" i="9"/>
  <c r="AO40" i="9" s="1"/>
  <c r="AN40" i="9" s="1"/>
  <c r="AM40" i="9" s="1"/>
  <c r="AL40" i="9" s="1"/>
  <c r="AK40" i="9" s="1"/>
  <c r="AJ40" i="9" s="1"/>
  <c r="AI40" i="9" s="1"/>
  <c r="AQ40" i="9"/>
  <c r="AR40" i="9"/>
  <c r="AS40" i="9"/>
  <c r="AT40" i="9"/>
  <c r="AU40" i="9" s="1"/>
  <c r="AV40" i="9" s="1"/>
  <c r="AW40" i="9" s="1"/>
  <c r="AX40" i="9" s="1"/>
  <c r="AY40" i="9" s="1"/>
  <c r="AZ40" i="9" s="1"/>
  <c r="BA40" i="9" s="1"/>
  <c r="BB40" i="9" s="1"/>
  <c r="BC40" i="9" s="1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H41" i="9"/>
  <c r="AG41" i="9" s="1"/>
  <c r="AF41" i="9" s="1"/>
  <c r="AE41" i="9" s="1"/>
  <c r="AD41" i="9" s="1"/>
  <c r="AP41" i="9"/>
  <c r="AO41" i="9" s="1"/>
  <c r="AN41" i="9" s="1"/>
  <c r="AM41" i="9" s="1"/>
  <c r="AL41" i="9" s="1"/>
  <c r="AK41" i="9" s="1"/>
  <c r="AJ41" i="9" s="1"/>
  <c r="AI41" i="9" s="1"/>
  <c r="AQ41" i="9"/>
  <c r="AR41" i="9"/>
  <c r="AS41" i="9"/>
  <c r="AT41" i="9"/>
  <c r="AU41" i="9" s="1"/>
  <c r="AV41" i="9" s="1"/>
  <c r="AW41" i="9" s="1"/>
  <c r="AX41" i="9" s="1"/>
  <c r="AY41" i="9" s="1"/>
  <c r="AZ41" i="9" s="1"/>
  <c r="BA41" i="9" s="1"/>
  <c r="BB41" i="9"/>
  <c r="BC41" i="9" s="1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P42" i="9"/>
  <c r="AO42" i="9" s="1"/>
  <c r="AN42" i="9" s="1"/>
  <c r="AM42" i="9" s="1"/>
  <c r="AL42" i="9" s="1"/>
  <c r="AK42" i="9" s="1"/>
  <c r="AJ42" i="9" s="1"/>
  <c r="AI42" i="9" s="1"/>
  <c r="AH42" i="9" s="1"/>
  <c r="AG42" i="9" s="1"/>
  <c r="AF42" i="9" s="1"/>
  <c r="AE42" i="9" s="1"/>
  <c r="AD42" i="9" s="1"/>
  <c r="AQ42" i="9"/>
  <c r="AR42" i="9"/>
  <c r="AS42" i="9"/>
  <c r="AT42" i="9"/>
  <c r="AU42" i="9" s="1"/>
  <c r="AV42" i="9" s="1"/>
  <c r="AW42" i="9" s="1"/>
  <c r="AX42" i="9" s="1"/>
  <c r="AY42" i="9" s="1"/>
  <c r="AZ42" i="9" s="1"/>
  <c r="BA42" i="9" s="1"/>
  <c r="BB42" i="9"/>
  <c r="BC42" i="9" s="1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L43" i="9"/>
  <c r="AK43" i="9" s="1"/>
  <c r="AJ43" i="9" s="1"/>
  <c r="AI43" i="9" s="1"/>
  <c r="AH43" i="9" s="1"/>
  <c r="AG43" i="9" s="1"/>
  <c r="AF43" i="9" s="1"/>
  <c r="AE43" i="9" s="1"/>
  <c r="AD43" i="9" s="1"/>
  <c r="AC43" i="9" s="1"/>
  <c r="AP43" i="9"/>
  <c r="AO43" i="9" s="1"/>
  <c r="AN43" i="9" s="1"/>
  <c r="AM43" i="9" s="1"/>
  <c r="AQ43" i="9"/>
  <c r="AR43" i="9"/>
  <c r="AS43" i="9"/>
  <c r="AT43" i="9"/>
  <c r="AU43" i="9" s="1"/>
  <c r="AV43" i="9" s="1"/>
  <c r="AW43" i="9" s="1"/>
  <c r="AX43" i="9"/>
  <c r="AY43" i="9" s="1"/>
  <c r="AZ43" i="9" s="1"/>
  <c r="BA43" i="9" s="1"/>
  <c r="BB43" i="9" s="1"/>
  <c r="BC43" i="9" s="1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L44" i="9"/>
  <c r="AK44" i="9" s="1"/>
  <c r="AJ44" i="9" s="1"/>
  <c r="AI44" i="9" s="1"/>
  <c r="AH44" i="9" s="1"/>
  <c r="AG44" i="9" s="1"/>
  <c r="AF44" i="9" s="1"/>
  <c r="AE44" i="9" s="1"/>
  <c r="AD44" i="9" s="1"/>
  <c r="AP44" i="9"/>
  <c r="AO44" i="9" s="1"/>
  <c r="AN44" i="9" s="1"/>
  <c r="AM44" i="9" s="1"/>
  <c r="AQ44" i="9"/>
  <c r="AR44" i="9"/>
  <c r="AS44" i="9"/>
  <c r="AT44" i="9"/>
  <c r="AU44" i="9" s="1"/>
  <c r="AV44" i="9" s="1"/>
  <c r="AW44" i="9" s="1"/>
  <c r="AX44" i="9"/>
  <c r="AY44" i="9" s="1"/>
  <c r="AZ44" i="9" s="1"/>
  <c r="BA44" i="9" s="1"/>
  <c r="BB44" i="9" s="1"/>
  <c r="BC44" i="9" s="1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L45" i="9"/>
  <c r="AK45" i="9" s="1"/>
  <c r="AJ45" i="9" s="1"/>
  <c r="AI45" i="9" s="1"/>
  <c r="AH45" i="9" s="1"/>
  <c r="AG45" i="9" s="1"/>
  <c r="AF45" i="9" s="1"/>
  <c r="AE45" i="9" s="1"/>
  <c r="AD45" i="9" s="1"/>
  <c r="AP45" i="9"/>
  <c r="AO45" i="9" s="1"/>
  <c r="AN45" i="9" s="1"/>
  <c r="AM45" i="9" s="1"/>
  <c r="AQ45" i="9"/>
  <c r="AR45" i="9"/>
  <c r="AS45" i="9"/>
  <c r="AT45" i="9"/>
  <c r="AU45" i="9" s="1"/>
  <c r="AV45" i="9" s="1"/>
  <c r="AW45" i="9" s="1"/>
  <c r="AX45" i="9"/>
  <c r="AY45" i="9" s="1"/>
  <c r="AZ45" i="9" s="1"/>
  <c r="BA45" i="9" s="1"/>
  <c r="BB45" i="9" s="1"/>
  <c r="BC45" i="9" s="1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P46" i="9"/>
  <c r="AO46" i="9" s="1"/>
  <c r="AN46" i="9" s="1"/>
  <c r="AM46" i="9" s="1"/>
  <c r="AL46" i="9" s="1"/>
  <c r="AK46" i="9" s="1"/>
  <c r="AJ46" i="9" s="1"/>
  <c r="AI46" i="9" s="1"/>
  <c r="AH46" i="9" s="1"/>
  <c r="AG46" i="9" s="1"/>
  <c r="AF46" i="9" s="1"/>
  <c r="AE46" i="9" s="1"/>
  <c r="AD46" i="9" s="1"/>
  <c r="AC46" i="9" s="1"/>
  <c r="AB46" i="9" s="1"/>
  <c r="AA46" i="9" s="1"/>
  <c r="AQ46" i="9"/>
  <c r="AR46" i="9"/>
  <c r="AS46" i="9"/>
  <c r="AT46" i="9"/>
  <c r="AU46" i="9" s="1"/>
  <c r="AV46" i="9" s="1"/>
  <c r="AW46" i="9" s="1"/>
  <c r="AX46" i="9"/>
  <c r="AY46" i="9" s="1"/>
  <c r="AZ46" i="9" s="1"/>
  <c r="BA46" i="9" s="1"/>
  <c r="BB46" i="9" s="1"/>
  <c r="BC46" i="9" s="1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G47" i="9"/>
  <c r="AF47" i="9" s="1"/>
  <c r="AE47" i="9" s="1"/>
  <c r="AD47" i="9" s="1"/>
  <c r="AC47" i="9" s="1"/>
  <c r="AB47" i="9" s="1"/>
  <c r="AA47" i="9" s="1"/>
  <c r="Z47" i="9" s="1"/>
  <c r="AQ47" i="9"/>
  <c r="AP47" i="9" s="1"/>
  <c r="AO47" i="9" s="1"/>
  <c r="AN47" i="9" s="1"/>
  <c r="AM47" i="9" s="1"/>
  <c r="AL47" i="9" s="1"/>
  <c r="AK47" i="9" s="1"/>
  <c r="AJ47" i="9" s="1"/>
  <c r="AI47" i="9" s="1"/>
  <c r="AH47" i="9" s="1"/>
  <c r="AR47" i="9"/>
  <c r="AS47" i="9"/>
  <c r="AT47" i="9" s="1"/>
  <c r="AU47" i="9" s="1"/>
  <c r="AV47" i="9" s="1"/>
  <c r="AW47" i="9" s="1"/>
  <c r="AX47" i="9" s="1"/>
  <c r="AY47" i="9" s="1"/>
  <c r="AZ47" i="9" s="1"/>
  <c r="BA47" i="9" s="1"/>
  <c r="BB47" i="9" s="1"/>
  <c r="BC47" i="9" s="1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K48" i="9"/>
  <c r="AJ48" i="9" s="1"/>
  <c r="AI48" i="9" s="1"/>
  <c r="AH48" i="9" s="1"/>
  <c r="AG48" i="9" s="1"/>
  <c r="AF48" i="9" s="1"/>
  <c r="AE48" i="9" s="1"/>
  <c r="AD48" i="9" s="1"/>
  <c r="AC48" i="9" s="1"/>
  <c r="AB48" i="9" s="1"/>
  <c r="AA48" i="9" s="1"/>
  <c r="Z48" i="9" s="1"/>
  <c r="AO48" i="9"/>
  <c r="AN48" i="9" s="1"/>
  <c r="AM48" i="9" s="1"/>
  <c r="AL48" i="9" s="1"/>
  <c r="AQ48" i="9"/>
  <c r="AP48" i="9" s="1"/>
  <c r="AR48" i="9"/>
  <c r="AS48" i="9"/>
  <c r="AT48" i="9" s="1"/>
  <c r="AU48" i="9" s="1"/>
  <c r="AV48" i="9" s="1"/>
  <c r="AW48" i="9" s="1"/>
  <c r="AX48" i="9" s="1"/>
  <c r="AY48" i="9" s="1"/>
  <c r="AZ48" i="9" s="1"/>
  <c r="BA48" i="9" s="1"/>
  <c r="BB48" i="9" s="1"/>
  <c r="BC48" i="9" s="1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K49" i="9"/>
  <c r="AJ49" i="9" s="1"/>
  <c r="AI49" i="9" s="1"/>
  <c r="AH49" i="9" s="1"/>
  <c r="AG49" i="9" s="1"/>
  <c r="AF49" i="9" s="1"/>
  <c r="AE49" i="9" s="1"/>
  <c r="AD49" i="9" s="1"/>
  <c r="AC49" i="9" s="1"/>
  <c r="AB49" i="9" s="1"/>
  <c r="AA49" i="9" s="1"/>
  <c r="AO49" i="9"/>
  <c r="AN49" i="9" s="1"/>
  <c r="AM49" i="9" s="1"/>
  <c r="AL49" i="9" s="1"/>
  <c r="AQ49" i="9"/>
  <c r="AP49" i="9" s="1"/>
  <c r="AR49" i="9"/>
  <c r="AS49" i="9"/>
  <c r="AT49" i="9" s="1"/>
  <c r="AU49" i="9" s="1"/>
  <c r="AV49" i="9" s="1"/>
  <c r="AW49" i="9" s="1"/>
  <c r="AX49" i="9" s="1"/>
  <c r="AY49" i="9" s="1"/>
  <c r="AZ49" i="9" s="1"/>
  <c r="BA49" i="9" s="1"/>
  <c r="BB49" i="9" s="1"/>
  <c r="BC49" i="9" s="1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O50" i="9"/>
  <c r="AN50" i="9" s="1"/>
  <c r="AM50" i="9" s="1"/>
  <c r="AL50" i="9" s="1"/>
  <c r="AK50" i="9" s="1"/>
  <c r="AJ50" i="9" s="1"/>
  <c r="AI50" i="9" s="1"/>
  <c r="AH50" i="9" s="1"/>
  <c r="AG50" i="9" s="1"/>
  <c r="AF50" i="9" s="1"/>
  <c r="AE50" i="9" s="1"/>
  <c r="AD50" i="9" s="1"/>
  <c r="AC50" i="9" s="1"/>
  <c r="AB50" i="9" s="1"/>
  <c r="AA50" i="9" s="1"/>
  <c r="Z50" i="9" s="1"/>
  <c r="AQ50" i="9"/>
  <c r="AP50" i="9" s="1"/>
  <c r="AR50" i="9"/>
  <c r="AS50" i="9"/>
  <c r="AT50" i="9" s="1"/>
  <c r="AU50" i="9" s="1"/>
  <c r="AV50" i="9" s="1"/>
  <c r="AW50" i="9"/>
  <c r="AX50" i="9" s="1"/>
  <c r="AY50" i="9" s="1"/>
  <c r="AZ50" i="9" s="1"/>
  <c r="BA50" i="9" s="1"/>
  <c r="BB50" i="9" s="1"/>
  <c r="BC50" i="9" s="1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AQ51" i="9"/>
  <c r="AP51" i="9" s="1"/>
  <c r="AO51" i="9" s="1"/>
  <c r="AN51" i="9" s="1"/>
  <c r="AM51" i="9" s="1"/>
  <c r="AL51" i="9" s="1"/>
  <c r="AK51" i="9" s="1"/>
  <c r="AJ51" i="9" s="1"/>
  <c r="AI51" i="9" s="1"/>
  <c r="AH51" i="9" s="1"/>
  <c r="AG51" i="9" s="1"/>
  <c r="AF51" i="9" s="1"/>
  <c r="AE51" i="9" s="1"/>
  <c r="AD51" i="9" s="1"/>
  <c r="AC51" i="9" s="1"/>
  <c r="AB51" i="9" s="1"/>
  <c r="AA51" i="9" s="1"/>
  <c r="Z51" i="9" s="1"/>
  <c r="Y51" i="9" s="1"/>
  <c r="AR51" i="9"/>
  <c r="AS51" i="9"/>
  <c r="AT51" i="9" s="1"/>
  <c r="AU51" i="9" s="1"/>
  <c r="AV51" i="9" s="1"/>
  <c r="AW51" i="9"/>
  <c r="AX51" i="9" s="1"/>
  <c r="AY51" i="9" s="1"/>
  <c r="AZ51" i="9" s="1"/>
  <c r="BA51" i="9"/>
  <c r="BB51" i="9" s="1"/>
  <c r="BC51" i="9" s="1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AK52" i="9"/>
  <c r="AJ52" i="9" s="1"/>
  <c r="AI52" i="9" s="1"/>
  <c r="AH52" i="9" s="1"/>
  <c r="AG52" i="9" s="1"/>
  <c r="AF52" i="9" s="1"/>
  <c r="AE52" i="9" s="1"/>
  <c r="AD52" i="9" s="1"/>
  <c r="AC52" i="9" s="1"/>
  <c r="AB52" i="9" s="1"/>
  <c r="AA52" i="9" s="1"/>
  <c r="Z52" i="9" s="1"/>
  <c r="Y52" i="9" s="1"/>
  <c r="X52" i="9" s="1"/>
  <c r="AO52" i="9"/>
  <c r="AN52" i="9" s="1"/>
  <c r="AM52" i="9" s="1"/>
  <c r="AL52" i="9" s="1"/>
  <c r="AQ52" i="9"/>
  <c r="AP52" i="9" s="1"/>
  <c r="AR52" i="9"/>
  <c r="AS52" i="9"/>
  <c r="AT52" i="9" s="1"/>
  <c r="AU52" i="9" s="1"/>
  <c r="AV52" i="9" s="1"/>
  <c r="AW52" i="9" s="1"/>
  <c r="AX52" i="9" s="1"/>
  <c r="AY52" i="9" s="1"/>
  <c r="AZ52" i="9" s="1"/>
  <c r="BA52" i="9" s="1"/>
  <c r="BB52" i="9" s="1"/>
  <c r="BC52" i="9" s="1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AC53" i="9"/>
  <c r="AB53" i="9" s="1"/>
  <c r="AA53" i="9" s="1"/>
  <c r="Z53" i="9" s="1"/>
  <c r="Y53" i="9" s="1"/>
  <c r="X53" i="9" s="1"/>
  <c r="AQ53" i="9"/>
  <c r="AP53" i="9" s="1"/>
  <c r="AO53" i="9" s="1"/>
  <c r="AN53" i="9" s="1"/>
  <c r="AM53" i="9" s="1"/>
  <c r="AL53" i="9" s="1"/>
  <c r="AK53" i="9" s="1"/>
  <c r="AJ53" i="9" s="1"/>
  <c r="AI53" i="9" s="1"/>
  <c r="AH53" i="9" s="1"/>
  <c r="AG53" i="9" s="1"/>
  <c r="AF53" i="9" s="1"/>
  <c r="AE53" i="9" s="1"/>
  <c r="AD53" i="9" s="1"/>
  <c r="AR53" i="9"/>
  <c r="AS53" i="9"/>
  <c r="AT53" i="9" s="1"/>
  <c r="AU53" i="9" s="1"/>
  <c r="AV53" i="9" s="1"/>
  <c r="AW53" i="9"/>
  <c r="AX53" i="9" s="1"/>
  <c r="AY53" i="9" s="1"/>
  <c r="AZ53" i="9" s="1"/>
  <c r="BA53" i="9"/>
  <c r="BB53" i="9" s="1"/>
  <c r="BC53" i="9" s="1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AK54" i="9"/>
  <c r="AJ54" i="9" s="1"/>
  <c r="AI54" i="9" s="1"/>
  <c r="AH54" i="9" s="1"/>
  <c r="AG54" i="9" s="1"/>
  <c r="AF54" i="9" s="1"/>
  <c r="AE54" i="9" s="1"/>
  <c r="AD54" i="9" s="1"/>
  <c r="AC54" i="9" s="1"/>
  <c r="AB54" i="9" s="1"/>
  <c r="AA54" i="9" s="1"/>
  <c r="Z54" i="9" s="1"/>
  <c r="Y54" i="9" s="1"/>
  <c r="X54" i="9" s="1"/>
  <c r="AO54" i="9"/>
  <c r="AN54" i="9" s="1"/>
  <c r="AM54" i="9" s="1"/>
  <c r="AL54" i="9" s="1"/>
  <c r="AQ54" i="9"/>
  <c r="AP54" i="9" s="1"/>
  <c r="AR54" i="9"/>
  <c r="AS54" i="9"/>
  <c r="AT54" i="9" s="1"/>
  <c r="AU54" i="9" s="1"/>
  <c r="AV54" i="9" s="1"/>
  <c r="AW54" i="9" s="1"/>
  <c r="AX54" i="9" s="1"/>
  <c r="AY54" i="9" s="1"/>
  <c r="AZ54" i="9" s="1"/>
  <c r="BA54" i="9" s="1"/>
  <c r="BB54" i="9" s="1"/>
  <c r="BC54" i="9" s="1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AC55" i="9"/>
  <c r="AB55" i="9" s="1"/>
  <c r="AA55" i="9" s="1"/>
  <c r="Z55" i="9" s="1"/>
  <c r="Y55" i="9" s="1"/>
  <c r="X55" i="9" s="1"/>
  <c r="AQ55" i="9"/>
  <c r="AP55" i="9" s="1"/>
  <c r="AO55" i="9" s="1"/>
  <c r="AN55" i="9" s="1"/>
  <c r="AM55" i="9" s="1"/>
  <c r="AL55" i="9" s="1"/>
  <c r="AK55" i="9" s="1"/>
  <c r="AJ55" i="9" s="1"/>
  <c r="AI55" i="9" s="1"/>
  <c r="AH55" i="9" s="1"/>
  <c r="AG55" i="9" s="1"/>
  <c r="AF55" i="9" s="1"/>
  <c r="AE55" i="9" s="1"/>
  <c r="AD55" i="9" s="1"/>
  <c r="AR55" i="9"/>
  <c r="AS55" i="9"/>
  <c r="AT55" i="9" s="1"/>
  <c r="AU55" i="9" s="1"/>
  <c r="AV55" i="9" s="1"/>
  <c r="AW55" i="9"/>
  <c r="AX55" i="9" s="1"/>
  <c r="AY55" i="9" s="1"/>
  <c r="AZ55" i="9" s="1"/>
  <c r="BA55" i="9"/>
  <c r="BB55" i="9" s="1"/>
  <c r="BC55" i="9" s="1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AQ56" i="9"/>
  <c r="AP56" i="9" s="1"/>
  <c r="AO56" i="9" s="1"/>
  <c r="AN56" i="9" s="1"/>
  <c r="AM56" i="9" s="1"/>
  <c r="AL56" i="9" s="1"/>
  <c r="AK56" i="9" s="1"/>
  <c r="AJ56" i="9" s="1"/>
  <c r="AI56" i="9" s="1"/>
  <c r="AH56" i="9" s="1"/>
  <c r="AG56" i="9" s="1"/>
  <c r="AF56" i="9" s="1"/>
  <c r="AE56" i="9" s="1"/>
  <c r="AD56" i="9" s="1"/>
  <c r="AC56" i="9" s="1"/>
  <c r="AB56" i="9" s="1"/>
  <c r="AA56" i="9" s="1"/>
  <c r="Z56" i="9" s="1"/>
  <c r="Y56" i="9" s="1"/>
  <c r="X56" i="9" s="1"/>
  <c r="W56" i="9" s="1"/>
  <c r="V56" i="9" s="1"/>
  <c r="AR56" i="9"/>
  <c r="AS56" i="9"/>
  <c r="AT56" i="9" s="1"/>
  <c r="AU56" i="9" s="1"/>
  <c r="AV56" i="9" s="1"/>
  <c r="AW56" i="9"/>
  <c r="AX56" i="9" s="1"/>
  <c r="AY56" i="9" s="1"/>
  <c r="AZ56" i="9" s="1"/>
  <c r="BA56" i="9"/>
  <c r="BB56" i="9" s="1"/>
  <c r="BC56" i="9" s="1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AC57" i="9"/>
  <c r="AB57" i="9" s="1"/>
  <c r="AA57" i="9" s="1"/>
  <c r="Z57" i="9" s="1"/>
  <c r="Y57" i="9" s="1"/>
  <c r="X57" i="9" s="1"/>
  <c r="W57" i="9" s="1"/>
  <c r="V57" i="9" s="1"/>
  <c r="U57" i="9" s="1"/>
  <c r="AQ57" i="9"/>
  <c r="AP57" i="9" s="1"/>
  <c r="AO57" i="9" s="1"/>
  <c r="AN57" i="9" s="1"/>
  <c r="AM57" i="9" s="1"/>
  <c r="AL57" i="9" s="1"/>
  <c r="AK57" i="9" s="1"/>
  <c r="AJ57" i="9" s="1"/>
  <c r="AI57" i="9" s="1"/>
  <c r="AH57" i="9" s="1"/>
  <c r="AG57" i="9" s="1"/>
  <c r="AF57" i="9" s="1"/>
  <c r="AE57" i="9" s="1"/>
  <c r="AD57" i="9" s="1"/>
  <c r="AR57" i="9"/>
  <c r="AS57" i="9"/>
  <c r="AT57" i="9" s="1"/>
  <c r="AU57" i="9" s="1"/>
  <c r="AV57" i="9" s="1"/>
  <c r="AW57" i="9"/>
  <c r="AX57" i="9" s="1"/>
  <c r="AY57" i="9" s="1"/>
  <c r="AZ57" i="9" s="1"/>
  <c r="BA57" i="9"/>
  <c r="BB57" i="9" s="1"/>
  <c r="BC57" i="9" s="1"/>
  <c r="H58" i="9"/>
  <c r="I58" i="9"/>
  <c r="J58" i="9"/>
  <c r="K58" i="9"/>
  <c r="L58" i="9"/>
  <c r="M58" i="9"/>
  <c r="N58" i="9"/>
  <c r="O58" i="9"/>
  <c r="P58" i="9"/>
  <c r="Q58" i="9"/>
  <c r="R58" i="9"/>
  <c r="S58" i="9"/>
  <c r="AG58" i="9"/>
  <c r="AF58" i="9" s="1"/>
  <c r="AE58" i="9" s="1"/>
  <c r="AD58" i="9" s="1"/>
  <c r="AC58" i="9" s="1"/>
  <c r="AB58" i="9" s="1"/>
  <c r="AA58" i="9" s="1"/>
  <c r="Z58" i="9" s="1"/>
  <c r="Y58" i="9" s="1"/>
  <c r="X58" i="9" s="1"/>
  <c r="W58" i="9" s="1"/>
  <c r="V58" i="9" s="1"/>
  <c r="U58" i="9" s="1"/>
  <c r="T58" i="9" s="1"/>
  <c r="AQ58" i="9"/>
  <c r="AP58" i="9" s="1"/>
  <c r="AO58" i="9" s="1"/>
  <c r="AN58" i="9" s="1"/>
  <c r="AM58" i="9" s="1"/>
  <c r="AL58" i="9" s="1"/>
  <c r="AK58" i="9" s="1"/>
  <c r="AJ58" i="9" s="1"/>
  <c r="AI58" i="9" s="1"/>
  <c r="AH58" i="9" s="1"/>
  <c r="AR58" i="9"/>
  <c r="AS58" i="9"/>
  <c r="AT58" i="9" s="1"/>
  <c r="AU58" i="9" s="1"/>
  <c r="AV58" i="9" s="1"/>
  <c r="AW58" i="9" s="1"/>
  <c r="AX58" i="9" s="1"/>
  <c r="AY58" i="9" s="1"/>
  <c r="AZ58" i="9" s="1"/>
  <c r="BA58" i="9" s="1"/>
  <c r="BB58" i="9" s="1"/>
  <c r="BC58" i="9" s="1"/>
  <c r="H59" i="9"/>
  <c r="I59" i="9"/>
  <c r="J59" i="9"/>
  <c r="K59" i="9"/>
  <c r="L59" i="9"/>
  <c r="M59" i="9"/>
  <c r="N59" i="9"/>
  <c r="O59" i="9"/>
  <c r="P59" i="9"/>
  <c r="Q59" i="9"/>
  <c r="R59" i="9"/>
  <c r="S59" i="9"/>
  <c r="U59" i="9"/>
  <c r="T59" i="9" s="1"/>
  <c r="AK59" i="9"/>
  <c r="AJ59" i="9" s="1"/>
  <c r="AI59" i="9" s="1"/>
  <c r="AH59" i="9" s="1"/>
  <c r="AG59" i="9" s="1"/>
  <c r="AF59" i="9" s="1"/>
  <c r="AE59" i="9" s="1"/>
  <c r="AD59" i="9" s="1"/>
  <c r="AC59" i="9" s="1"/>
  <c r="AB59" i="9" s="1"/>
  <c r="AA59" i="9" s="1"/>
  <c r="Z59" i="9" s="1"/>
  <c r="Y59" i="9" s="1"/>
  <c r="X59" i="9" s="1"/>
  <c r="W59" i="9" s="1"/>
  <c r="V59" i="9" s="1"/>
  <c r="AO59" i="9"/>
  <c r="AN59" i="9" s="1"/>
  <c r="AM59" i="9" s="1"/>
  <c r="AL59" i="9" s="1"/>
  <c r="AQ59" i="9"/>
  <c r="AP59" i="9" s="1"/>
  <c r="AR59" i="9"/>
  <c r="AS59" i="9"/>
  <c r="AT59" i="9" s="1"/>
  <c r="AU59" i="9" s="1"/>
  <c r="AV59" i="9" s="1"/>
  <c r="AW59" i="9" s="1"/>
  <c r="AX59" i="9" s="1"/>
  <c r="AY59" i="9" s="1"/>
  <c r="AZ59" i="9" s="1"/>
  <c r="BA59" i="9" s="1"/>
  <c r="BB59" i="9" s="1"/>
  <c r="BC59" i="9" s="1"/>
  <c r="H60" i="9"/>
  <c r="I60" i="9"/>
  <c r="J60" i="9"/>
  <c r="K60" i="9"/>
  <c r="L60" i="9"/>
  <c r="M60" i="9"/>
  <c r="N60" i="9"/>
  <c r="O60" i="9"/>
  <c r="P60" i="9"/>
  <c r="Q60" i="9"/>
  <c r="R60" i="9"/>
  <c r="S60" i="9"/>
  <c r="AK60" i="9"/>
  <c r="AJ60" i="9" s="1"/>
  <c r="AI60" i="9" s="1"/>
  <c r="AH60" i="9" s="1"/>
  <c r="AG60" i="9" s="1"/>
  <c r="AF60" i="9" s="1"/>
  <c r="AE60" i="9" s="1"/>
  <c r="AD60" i="9" s="1"/>
  <c r="AC60" i="9" s="1"/>
  <c r="AB60" i="9" s="1"/>
  <c r="AA60" i="9" s="1"/>
  <c r="Z60" i="9" s="1"/>
  <c r="Y60" i="9" s="1"/>
  <c r="X60" i="9" s="1"/>
  <c r="W60" i="9" s="1"/>
  <c r="V60" i="9" s="1"/>
  <c r="U60" i="9" s="1"/>
  <c r="T60" i="9" s="1"/>
  <c r="AQ60" i="9"/>
  <c r="AP60" i="9" s="1"/>
  <c r="AO60" i="9" s="1"/>
  <c r="AN60" i="9" s="1"/>
  <c r="AM60" i="9" s="1"/>
  <c r="AL60" i="9" s="1"/>
  <c r="AR60" i="9"/>
  <c r="AS60" i="9"/>
  <c r="AT60" i="9" s="1"/>
  <c r="AU60" i="9" s="1"/>
  <c r="AV60" i="9" s="1"/>
  <c r="AW60" i="9"/>
  <c r="AX60" i="9" s="1"/>
  <c r="AY60" i="9" s="1"/>
  <c r="AZ60" i="9" s="1"/>
  <c r="BA60" i="9" s="1"/>
  <c r="BB60" i="9" s="1"/>
  <c r="BC60" i="9" s="1"/>
  <c r="H61" i="9"/>
  <c r="I61" i="9"/>
  <c r="J61" i="9"/>
  <c r="K61" i="9"/>
  <c r="L61" i="9"/>
  <c r="M61" i="9"/>
  <c r="N61" i="9"/>
  <c r="O61" i="9"/>
  <c r="P61" i="9"/>
  <c r="Q61" i="9"/>
  <c r="R61" i="9"/>
  <c r="AE61" i="9"/>
  <c r="AD61" i="9" s="1"/>
  <c r="AC61" i="9" s="1"/>
  <c r="AB61" i="9" s="1"/>
  <c r="AA61" i="9" s="1"/>
  <c r="Z61" i="9" s="1"/>
  <c r="Y61" i="9" s="1"/>
  <c r="X61" i="9" s="1"/>
  <c r="W61" i="9" s="1"/>
  <c r="V61" i="9" s="1"/>
  <c r="U61" i="9" s="1"/>
  <c r="T61" i="9" s="1"/>
  <c r="S61" i="9" s="1"/>
  <c r="AK61" i="9"/>
  <c r="AJ61" i="9" s="1"/>
  <c r="AI61" i="9" s="1"/>
  <c r="AH61" i="9" s="1"/>
  <c r="AG61" i="9" s="1"/>
  <c r="AF61" i="9" s="1"/>
  <c r="AM61" i="9"/>
  <c r="AL61" i="9" s="1"/>
  <c r="AO61" i="9"/>
  <c r="AN61" i="9" s="1"/>
  <c r="AQ61" i="9"/>
  <c r="AP61" i="9" s="1"/>
  <c r="AR61" i="9"/>
  <c r="AS61" i="9"/>
  <c r="AT61" i="9" s="1"/>
  <c r="AU61" i="9" s="1"/>
  <c r="AV61" i="9" s="1"/>
  <c r="AW61" i="9" s="1"/>
  <c r="AX61" i="9" s="1"/>
  <c r="AY61" i="9" s="1"/>
  <c r="AZ61" i="9" s="1"/>
  <c r="BA61" i="9" s="1"/>
  <c r="BB61" i="9" s="1"/>
  <c r="BC61" i="9" s="1"/>
  <c r="H62" i="9"/>
  <c r="I62" i="9"/>
  <c r="J62" i="9"/>
  <c r="K62" i="9"/>
  <c r="L62" i="9"/>
  <c r="M62" i="9"/>
  <c r="N62" i="9"/>
  <c r="O62" i="9"/>
  <c r="P62" i="9"/>
  <c r="Q62" i="9"/>
  <c r="AO62" i="9"/>
  <c r="AN62" i="9" s="1"/>
  <c r="AM62" i="9" s="1"/>
  <c r="AL62" i="9" s="1"/>
  <c r="AK62" i="9" s="1"/>
  <c r="AJ62" i="9" s="1"/>
  <c r="AI62" i="9" s="1"/>
  <c r="AH62" i="9" s="1"/>
  <c r="AG62" i="9" s="1"/>
  <c r="AF62" i="9" s="1"/>
  <c r="AE62" i="9" s="1"/>
  <c r="AD62" i="9" s="1"/>
  <c r="AC62" i="9" s="1"/>
  <c r="AB62" i="9" s="1"/>
  <c r="AA62" i="9" s="1"/>
  <c r="Z62" i="9" s="1"/>
  <c r="Y62" i="9" s="1"/>
  <c r="X62" i="9" s="1"/>
  <c r="W62" i="9" s="1"/>
  <c r="V62" i="9" s="1"/>
  <c r="U62" i="9" s="1"/>
  <c r="T62" i="9" s="1"/>
  <c r="S62" i="9" s="1"/>
  <c r="R62" i="9" s="1"/>
  <c r="AQ62" i="9"/>
  <c r="AP62" i="9" s="1"/>
  <c r="AR62" i="9"/>
  <c r="AS62" i="9"/>
  <c r="AT62" i="9" s="1"/>
  <c r="AU62" i="9"/>
  <c r="AV62" i="9" s="1"/>
  <c r="AW62" i="9" s="1"/>
  <c r="AX62" i="9" s="1"/>
  <c r="AY62" i="9" s="1"/>
  <c r="AZ62" i="9" s="1"/>
  <c r="BA62" i="9" s="1"/>
  <c r="BB62" i="9" s="1"/>
  <c r="BC62" i="9" s="1"/>
  <c r="H63" i="9"/>
  <c r="I63" i="9"/>
  <c r="J63" i="9"/>
  <c r="K63" i="9"/>
  <c r="L63" i="9"/>
  <c r="M63" i="9"/>
  <c r="N63" i="9"/>
  <c r="O63" i="9"/>
  <c r="P63" i="9"/>
  <c r="Q63" i="9"/>
  <c r="AK63" i="9"/>
  <c r="AJ63" i="9" s="1"/>
  <c r="AI63" i="9" s="1"/>
  <c r="AH63" i="9" s="1"/>
  <c r="AG63" i="9" s="1"/>
  <c r="AF63" i="9" s="1"/>
  <c r="AE63" i="9" s="1"/>
  <c r="AD63" i="9" s="1"/>
  <c r="AC63" i="9" s="1"/>
  <c r="AB63" i="9" s="1"/>
  <c r="AA63" i="9" s="1"/>
  <c r="Z63" i="9" s="1"/>
  <c r="Y63" i="9" s="1"/>
  <c r="X63" i="9" s="1"/>
  <c r="W63" i="9" s="1"/>
  <c r="V63" i="9" s="1"/>
  <c r="U63" i="9" s="1"/>
  <c r="T63" i="9" s="1"/>
  <c r="S63" i="9" s="1"/>
  <c r="R63" i="9" s="1"/>
  <c r="AO63" i="9"/>
  <c r="AN63" i="9" s="1"/>
  <c r="AM63" i="9" s="1"/>
  <c r="AL63" i="9" s="1"/>
  <c r="AQ63" i="9"/>
  <c r="AP63" i="9" s="1"/>
  <c r="AR63" i="9"/>
  <c r="AS63" i="9" s="1"/>
  <c r="AT63" i="9" s="1"/>
  <c r="AU63" i="9"/>
  <c r="AV63" i="9" s="1"/>
  <c r="AW63" i="9" s="1"/>
  <c r="AX63" i="9" s="1"/>
  <c r="AY63" i="9" s="1"/>
  <c r="AZ63" i="9" s="1"/>
  <c r="BA63" i="9" s="1"/>
  <c r="BB63" i="9" s="1"/>
  <c r="BC63" i="9" s="1"/>
  <c r="H64" i="9"/>
  <c r="I64" i="9"/>
  <c r="J64" i="9"/>
  <c r="K64" i="9"/>
  <c r="L64" i="9"/>
  <c r="M64" i="9"/>
  <c r="N64" i="9"/>
  <c r="O64" i="9"/>
  <c r="P64" i="9"/>
  <c r="Q64" i="9"/>
  <c r="AI64" i="9"/>
  <c r="AH64" i="9" s="1"/>
  <c r="AG64" i="9" s="1"/>
  <c r="AF64" i="9" s="1"/>
  <c r="AE64" i="9" s="1"/>
  <c r="AD64" i="9" s="1"/>
  <c r="AC64" i="9" s="1"/>
  <c r="AB64" i="9" s="1"/>
  <c r="AA64" i="9" s="1"/>
  <c r="Z64" i="9" s="1"/>
  <c r="Y64" i="9" s="1"/>
  <c r="X64" i="9" s="1"/>
  <c r="W64" i="9" s="1"/>
  <c r="V64" i="9" s="1"/>
  <c r="U64" i="9" s="1"/>
  <c r="T64" i="9" s="1"/>
  <c r="S64" i="9" s="1"/>
  <c r="R64" i="9" s="1"/>
  <c r="AM64" i="9"/>
  <c r="AL64" i="9" s="1"/>
  <c r="AK64" i="9" s="1"/>
  <c r="AJ64" i="9" s="1"/>
  <c r="AN64" i="9"/>
  <c r="AR64" i="9"/>
  <c r="AQ64" i="9" s="1"/>
  <c r="AP64" i="9" s="1"/>
  <c r="AO64" i="9" s="1"/>
  <c r="AS64" i="9"/>
  <c r="AT64" i="9" s="1"/>
  <c r="AU64" i="9" s="1"/>
  <c r="AV64" i="9" s="1"/>
  <c r="AW64" i="9" s="1"/>
  <c r="AX64" i="9" s="1"/>
  <c r="AY64" i="9" s="1"/>
  <c r="AZ64" i="9" s="1"/>
  <c r="BA64" i="9" s="1"/>
  <c r="BB64" i="9" s="1"/>
  <c r="BC64" i="9" s="1"/>
  <c r="H65" i="9"/>
  <c r="I65" i="9"/>
  <c r="J65" i="9"/>
  <c r="K65" i="9"/>
  <c r="L65" i="9"/>
  <c r="M65" i="9"/>
  <c r="N65" i="9"/>
  <c r="O65" i="9"/>
  <c r="P65" i="9"/>
  <c r="Q65" i="9"/>
  <c r="AR65" i="9"/>
  <c r="AQ65" i="9" s="1"/>
  <c r="AP65" i="9" s="1"/>
  <c r="AO65" i="9" s="1"/>
  <c r="AN65" i="9" s="1"/>
  <c r="AM65" i="9" s="1"/>
  <c r="AL65" i="9" s="1"/>
  <c r="AK65" i="9" s="1"/>
  <c r="AJ65" i="9" s="1"/>
  <c r="AI65" i="9" s="1"/>
  <c r="AH65" i="9" s="1"/>
  <c r="AG65" i="9" s="1"/>
  <c r="AF65" i="9" s="1"/>
  <c r="AE65" i="9" s="1"/>
  <c r="AD65" i="9" s="1"/>
  <c r="AC65" i="9" s="1"/>
  <c r="AB65" i="9" s="1"/>
  <c r="AA65" i="9" s="1"/>
  <c r="Z65" i="9" s="1"/>
  <c r="Y65" i="9" s="1"/>
  <c r="X65" i="9" s="1"/>
  <c r="W65" i="9" s="1"/>
  <c r="V65" i="9" s="1"/>
  <c r="U65" i="9" s="1"/>
  <c r="T65" i="9" s="1"/>
  <c r="S65" i="9" s="1"/>
  <c r="R65" i="9" s="1"/>
  <c r="H66" i="9"/>
  <c r="I66" i="9"/>
  <c r="J66" i="9"/>
  <c r="K66" i="9"/>
  <c r="L66" i="9"/>
  <c r="M66" i="9"/>
  <c r="N66" i="9"/>
  <c r="O66" i="9"/>
  <c r="P66" i="9"/>
  <c r="Q66" i="9"/>
  <c r="AR66" i="9"/>
  <c r="AQ66" i="9" s="1"/>
  <c r="AP66" i="9" s="1"/>
  <c r="AO66" i="9" s="1"/>
  <c r="AN66" i="9" s="1"/>
  <c r="AM66" i="9" s="1"/>
  <c r="AL66" i="9" s="1"/>
  <c r="AK66" i="9" s="1"/>
  <c r="AJ66" i="9" s="1"/>
  <c r="AI66" i="9" s="1"/>
  <c r="AH66" i="9" s="1"/>
  <c r="AG66" i="9" s="1"/>
  <c r="AF66" i="9" s="1"/>
  <c r="AE66" i="9" s="1"/>
  <c r="AD66" i="9" s="1"/>
  <c r="AC66" i="9" s="1"/>
  <c r="AB66" i="9" s="1"/>
  <c r="AA66" i="9" s="1"/>
  <c r="Z66" i="9" s="1"/>
  <c r="Y66" i="9" s="1"/>
  <c r="X66" i="9" s="1"/>
  <c r="W66" i="9" s="1"/>
  <c r="V66" i="9" s="1"/>
  <c r="U66" i="9" s="1"/>
  <c r="T66" i="9" s="1"/>
  <c r="S66" i="9" s="1"/>
  <c r="R66" i="9" s="1"/>
  <c r="H67" i="9"/>
  <c r="I67" i="9"/>
  <c r="J67" i="9"/>
  <c r="K67" i="9"/>
  <c r="L67" i="9"/>
  <c r="M67" i="9"/>
  <c r="N67" i="9"/>
  <c r="O67" i="9"/>
  <c r="P67" i="9"/>
  <c r="Q67" i="9"/>
  <c r="AR67" i="9"/>
  <c r="AQ67" i="9" s="1"/>
  <c r="AP67" i="9" s="1"/>
  <c r="AO67" i="9" s="1"/>
  <c r="AN67" i="9" s="1"/>
  <c r="AM67" i="9" s="1"/>
  <c r="AL67" i="9" s="1"/>
  <c r="AK67" i="9" s="1"/>
  <c r="AJ67" i="9" s="1"/>
  <c r="AI67" i="9" s="1"/>
  <c r="AH67" i="9" s="1"/>
  <c r="AG67" i="9" s="1"/>
  <c r="AF67" i="9" s="1"/>
  <c r="AE67" i="9" s="1"/>
  <c r="AD67" i="9" s="1"/>
  <c r="AC67" i="9" s="1"/>
  <c r="AB67" i="9" s="1"/>
  <c r="AA67" i="9" s="1"/>
  <c r="Z67" i="9" s="1"/>
  <c r="Y67" i="9" s="1"/>
  <c r="X67" i="9" s="1"/>
  <c r="W67" i="9" s="1"/>
  <c r="V67" i="9" s="1"/>
  <c r="U67" i="9" s="1"/>
  <c r="T67" i="9" s="1"/>
  <c r="S67" i="9" s="1"/>
  <c r="R67" i="9" s="1"/>
  <c r="H68" i="9"/>
  <c r="I68" i="9"/>
  <c r="J68" i="9"/>
  <c r="K68" i="9"/>
  <c r="L68" i="9"/>
  <c r="M68" i="9"/>
  <c r="N68" i="9"/>
  <c r="O68" i="9"/>
  <c r="P68" i="9"/>
  <c r="AR68" i="9"/>
  <c r="AQ68" i="9" s="1"/>
  <c r="AP68" i="9" s="1"/>
  <c r="AO68" i="9" s="1"/>
  <c r="AN68" i="9" s="1"/>
  <c r="AM68" i="9" s="1"/>
  <c r="AL68" i="9" s="1"/>
  <c r="AK68" i="9" s="1"/>
  <c r="AJ68" i="9" s="1"/>
  <c r="AI68" i="9" s="1"/>
  <c r="AH68" i="9" s="1"/>
  <c r="AG68" i="9" s="1"/>
  <c r="AF68" i="9" s="1"/>
  <c r="AE68" i="9" s="1"/>
  <c r="AD68" i="9" s="1"/>
  <c r="AC68" i="9" s="1"/>
  <c r="AB68" i="9" s="1"/>
  <c r="AA68" i="9" s="1"/>
  <c r="Z68" i="9" s="1"/>
  <c r="Y68" i="9" s="1"/>
  <c r="X68" i="9" s="1"/>
  <c r="W68" i="9" s="1"/>
  <c r="V68" i="9" s="1"/>
  <c r="U68" i="9" s="1"/>
  <c r="T68" i="9" s="1"/>
  <c r="S68" i="9" s="1"/>
  <c r="R68" i="9" s="1"/>
  <c r="Q68" i="9" s="1"/>
  <c r="H69" i="9"/>
  <c r="I69" i="9"/>
  <c r="J69" i="9"/>
  <c r="K69" i="9"/>
  <c r="L69" i="9"/>
  <c r="M69" i="9"/>
  <c r="N69" i="9"/>
  <c r="O69" i="9"/>
  <c r="P69" i="9"/>
  <c r="AR69" i="9"/>
  <c r="AQ69" i="9" s="1"/>
  <c r="AP69" i="9" s="1"/>
  <c r="AO69" i="9" s="1"/>
  <c r="AN69" i="9" s="1"/>
  <c r="AM69" i="9" s="1"/>
  <c r="AL69" i="9" s="1"/>
  <c r="AK69" i="9" s="1"/>
  <c r="AJ69" i="9" s="1"/>
  <c r="AI69" i="9" s="1"/>
  <c r="AH69" i="9" s="1"/>
  <c r="AG69" i="9" s="1"/>
  <c r="AF69" i="9" s="1"/>
  <c r="AE69" i="9" s="1"/>
  <c r="AD69" i="9" s="1"/>
  <c r="AC69" i="9" s="1"/>
  <c r="AB69" i="9" s="1"/>
  <c r="AA69" i="9" s="1"/>
  <c r="Z69" i="9" s="1"/>
  <c r="Y69" i="9" s="1"/>
  <c r="X69" i="9" s="1"/>
  <c r="W69" i="9" s="1"/>
  <c r="V69" i="9" s="1"/>
  <c r="U69" i="9" s="1"/>
  <c r="T69" i="9" s="1"/>
  <c r="S69" i="9" s="1"/>
  <c r="R69" i="9" s="1"/>
  <c r="Q69" i="9" s="1"/>
  <c r="H70" i="9"/>
  <c r="I70" i="9"/>
  <c r="J70" i="9"/>
  <c r="K70" i="9"/>
  <c r="L70" i="9"/>
  <c r="M70" i="9"/>
  <c r="N70" i="9"/>
  <c r="O70" i="9"/>
  <c r="AR70" i="9"/>
  <c r="AQ70" i="9" s="1"/>
  <c r="AP70" i="9" s="1"/>
  <c r="AO70" i="9" s="1"/>
  <c r="AN70" i="9" s="1"/>
  <c r="AM70" i="9" s="1"/>
  <c r="AL70" i="9" s="1"/>
  <c r="AK70" i="9" s="1"/>
  <c r="AJ70" i="9" s="1"/>
  <c r="AI70" i="9" s="1"/>
  <c r="AH70" i="9" s="1"/>
  <c r="AG70" i="9" s="1"/>
  <c r="AF70" i="9" s="1"/>
  <c r="AE70" i="9" s="1"/>
  <c r="AD70" i="9" s="1"/>
  <c r="AC70" i="9" s="1"/>
  <c r="AB70" i="9" s="1"/>
  <c r="AA70" i="9" s="1"/>
  <c r="Z70" i="9" s="1"/>
  <c r="Y70" i="9" s="1"/>
  <c r="X70" i="9" s="1"/>
  <c r="W70" i="9" s="1"/>
  <c r="V70" i="9" s="1"/>
  <c r="U70" i="9" s="1"/>
  <c r="T70" i="9" s="1"/>
  <c r="S70" i="9" s="1"/>
  <c r="R70" i="9" s="1"/>
  <c r="Q70" i="9" s="1"/>
  <c r="P70" i="9" s="1"/>
  <c r="H71" i="9"/>
  <c r="I71" i="9"/>
  <c r="J71" i="9"/>
  <c r="K71" i="9"/>
  <c r="L71" i="9"/>
  <c r="M71" i="9"/>
  <c r="N71" i="9"/>
  <c r="O71" i="9"/>
  <c r="AR71" i="9"/>
  <c r="AQ71" i="9" s="1"/>
  <c r="AP71" i="9" s="1"/>
  <c r="AO71" i="9" s="1"/>
  <c r="AN71" i="9" s="1"/>
  <c r="AM71" i="9" s="1"/>
  <c r="AL71" i="9" s="1"/>
  <c r="AK71" i="9" s="1"/>
  <c r="AJ71" i="9" s="1"/>
  <c r="AI71" i="9" s="1"/>
  <c r="AH71" i="9" s="1"/>
  <c r="AG71" i="9" s="1"/>
  <c r="AF71" i="9" s="1"/>
  <c r="AE71" i="9" s="1"/>
  <c r="AD71" i="9" s="1"/>
  <c r="AC71" i="9" s="1"/>
  <c r="AB71" i="9" s="1"/>
  <c r="AA71" i="9" s="1"/>
  <c r="Z71" i="9" s="1"/>
  <c r="Y71" i="9" s="1"/>
  <c r="X71" i="9" s="1"/>
  <c r="W71" i="9" s="1"/>
  <c r="V71" i="9" s="1"/>
  <c r="U71" i="9" s="1"/>
  <c r="T71" i="9" s="1"/>
  <c r="S71" i="9" s="1"/>
  <c r="R71" i="9" s="1"/>
  <c r="Q71" i="9" s="1"/>
  <c r="P71" i="9" s="1"/>
  <c r="H72" i="9"/>
  <c r="I72" i="9"/>
  <c r="J72" i="9"/>
  <c r="K72" i="9"/>
  <c r="L72" i="9"/>
  <c r="M72" i="9"/>
  <c r="N72" i="9"/>
  <c r="AP72" i="9"/>
  <c r="AO72" i="9" s="1"/>
  <c r="AN72" i="9" s="1"/>
  <c r="AM72" i="9" s="1"/>
  <c r="AL72" i="9" s="1"/>
  <c r="AK72" i="9" s="1"/>
  <c r="AJ72" i="9" s="1"/>
  <c r="AI72" i="9" s="1"/>
  <c r="AH72" i="9" s="1"/>
  <c r="AG72" i="9" s="1"/>
  <c r="AF72" i="9" s="1"/>
  <c r="AE72" i="9" s="1"/>
  <c r="AD72" i="9" s="1"/>
  <c r="AC72" i="9" s="1"/>
  <c r="AB72" i="9" s="1"/>
  <c r="AA72" i="9" s="1"/>
  <c r="Z72" i="9" s="1"/>
  <c r="Y72" i="9" s="1"/>
  <c r="X72" i="9" s="1"/>
  <c r="W72" i="9" s="1"/>
  <c r="V72" i="9" s="1"/>
  <c r="U72" i="9" s="1"/>
  <c r="T72" i="9" s="1"/>
  <c r="S72" i="9" s="1"/>
  <c r="R72" i="9" s="1"/>
  <c r="Q72" i="9" s="1"/>
  <c r="P72" i="9" s="1"/>
  <c r="O72" i="9" s="1"/>
  <c r="AR72" i="9"/>
  <c r="AQ72" i="9" s="1"/>
  <c r="H73" i="9"/>
  <c r="I73" i="9"/>
  <c r="J73" i="9"/>
  <c r="K73" i="9"/>
  <c r="L73" i="9"/>
  <c r="M73" i="9"/>
  <c r="AO73" i="9"/>
  <c r="AN73" i="9" s="1"/>
  <c r="AM73" i="9" s="1"/>
  <c r="AL73" i="9" s="1"/>
  <c r="AK73" i="9" s="1"/>
  <c r="AJ73" i="9" s="1"/>
  <c r="AI73" i="9" s="1"/>
  <c r="AH73" i="9" s="1"/>
  <c r="AG73" i="9" s="1"/>
  <c r="AF73" i="9" s="1"/>
  <c r="AE73" i="9" s="1"/>
  <c r="AD73" i="9" s="1"/>
  <c r="AC73" i="9" s="1"/>
  <c r="AB73" i="9" s="1"/>
  <c r="AA73" i="9" s="1"/>
  <c r="Z73" i="9" s="1"/>
  <c r="Y73" i="9" s="1"/>
  <c r="X73" i="9" s="1"/>
  <c r="W73" i="9" s="1"/>
  <c r="V73" i="9" s="1"/>
  <c r="U73" i="9" s="1"/>
  <c r="T73" i="9" s="1"/>
  <c r="S73" i="9" s="1"/>
  <c r="R73" i="9" s="1"/>
  <c r="Q73" i="9" s="1"/>
  <c r="P73" i="9" s="1"/>
  <c r="O73" i="9" s="1"/>
  <c r="N73" i="9" s="1"/>
  <c r="AP73" i="9"/>
  <c r="AR73" i="9"/>
  <c r="AQ73" i="9" s="1"/>
  <c r="H74" i="9"/>
  <c r="I74" i="9"/>
  <c r="J74" i="9"/>
  <c r="K74" i="9"/>
  <c r="L74" i="9"/>
  <c r="M74" i="9"/>
  <c r="AH74" i="9"/>
  <c r="AG74" i="9" s="1"/>
  <c r="AF74" i="9" s="1"/>
  <c r="AE74" i="9" s="1"/>
  <c r="AD74" i="9" s="1"/>
  <c r="AC74" i="9" s="1"/>
  <c r="AB74" i="9" s="1"/>
  <c r="AA74" i="9" s="1"/>
  <c r="Z74" i="9" s="1"/>
  <c r="Y74" i="9" s="1"/>
  <c r="X74" i="9" s="1"/>
  <c r="W74" i="9" s="1"/>
  <c r="V74" i="9" s="1"/>
  <c r="U74" i="9" s="1"/>
  <c r="T74" i="9" s="1"/>
  <c r="S74" i="9" s="1"/>
  <c r="R74" i="9" s="1"/>
  <c r="Q74" i="9" s="1"/>
  <c r="P74" i="9" s="1"/>
  <c r="O74" i="9" s="1"/>
  <c r="N74" i="9" s="1"/>
  <c r="AN74" i="9"/>
  <c r="AM74" i="9" s="1"/>
  <c r="AL74" i="9" s="1"/>
  <c r="AK74" i="9" s="1"/>
  <c r="AJ74" i="9" s="1"/>
  <c r="AI74" i="9" s="1"/>
  <c r="AO74" i="9"/>
  <c r="AP74" i="9"/>
  <c r="AR74" i="9"/>
  <c r="AQ74" i="9" s="1"/>
  <c r="AS74" i="9"/>
  <c r="AT74" i="9" s="1"/>
  <c r="AU74" i="9" s="1"/>
  <c r="AV74" i="9" s="1"/>
  <c r="AW74" i="9" s="1"/>
  <c r="AX74" i="9"/>
  <c r="AY74" i="9" s="1"/>
  <c r="AZ74" i="9" s="1"/>
  <c r="BA74" i="9" s="1"/>
  <c r="BB74" i="9" s="1"/>
  <c r="BC74" i="9" s="1"/>
  <c r="H75" i="9"/>
  <c r="I75" i="9"/>
  <c r="J75" i="9"/>
  <c r="K75" i="9"/>
  <c r="L75" i="9"/>
  <c r="M75" i="9"/>
  <c r="AR75" i="9"/>
  <c r="H76" i="9"/>
  <c r="I76" i="9"/>
  <c r="J76" i="9"/>
  <c r="K76" i="9"/>
  <c r="L76" i="9"/>
  <c r="M76" i="9"/>
  <c r="AP76" i="9"/>
  <c r="AO76" i="9" s="1"/>
  <c r="AN76" i="9" s="1"/>
  <c r="AM76" i="9" s="1"/>
  <c r="AL76" i="9" s="1"/>
  <c r="AK76" i="9" s="1"/>
  <c r="AJ76" i="9" s="1"/>
  <c r="AI76" i="9" s="1"/>
  <c r="AH76" i="9" s="1"/>
  <c r="AG76" i="9" s="1"/>
  <c r="AF76" i="9" s="1"/>
  <c r="AE76" i="9" s="1"/>
  <c r="AD76" i="9" s="1"/>
  <c r="AC76" i="9" s="1"/>
  <c r="AB76" i="9" s="1"/>
  <c r="AA76" i="9" s="1"/>
  <c r="Z76" i="9" s="1"/>
  <c r="Y76" i="9" s="1"/>
  <c r="X76" i="9" s="1"/>
  <c r="W76" i="9" s="1"/>
  <c r="V76" i="9" s="1"/>
  <c r="U76" i="9" s="1"/>
  <c r="T76" i="9" s="1"/>
  <c r="S76" i="9" s="1"/>
  <c r="R76" i="9" s="1"/>
  <c r="Q76" i="9" s="1"/>
  <c r="P76" i="9" s="1"/>
  <c r="O76" i="9" s="1"/>
  <c r="N76" i="9" s="1"/>
  <c r="AQ76" i="9"/>
  <c r="AR76" i="9"/>
  <c r="AS76" i="9" s="1"/>
  <c r="AT76" i="9"/>
  <c r="AU76" i="9" s="1"/>
  <c r="AV76" i="9" s="1"/>
  <c r="AW76" i="9" s="1"/>
  <c r="AX76" i="9"/>
  <c r="AY76" i="9" s="1"/>
  <c r="AZ76" i="9" s="1"/>
  <c r="BA76" i="9" s="1"/>
  <c r="BB76" i="9"/>
  <c r="BC76" i="9" s="1"/>
  <c r="H77" i="9"/>
  <c r="I77" i="9"/>
  <c r="J77" i="9"/>
  <c r="K77" i="9"/>
  <c r="AP77" i="9"/>
  <c r="AO77" i="9" s="1"/>
  <c r="AN77" i="9" s="1"/>
  <c r="AM77" i="9" s="1"/>
  <c r="AL77" i="9" s="1"/>
  <c r="AK77" i="9" s="1"/>
  <c r="AJ77" i="9" s="1"/>
  <c r="AI77" i="9" s="1"/>
  <c r="AH77" i="9" s="1"/>
  <c r="AG77" i="9" s="1"/>
  <c r="AF77" i="9" s="1"/>
  <c r="AE77" i="9" s="1"/>
  <c r="AD77" i="9" s="1"/>
  <c r="AC77" i="9" s="1"/>
  <c r="AB77" i="9" s="1"/>
  <c r="AA77" i="9" s="1"/>
  <c r="Z77" i="9" s="1"/>
  <c r="Y77" i="9" s="1"/>
  <c r="X77" i="9" s="1"/>
  <c r="W77" i="9" s="1"/>
  <c r="V77" i="9" s="1"/>
  <c r="U77" i="9" s="1"/>
  <c r="T77" i="9" s="1"/>
  <c r="S77" i="9" s="1"/>
  <c r="R77" i="9" s="1"/>
  <c r="Q77" i="9" s="1"/>
  <c r="P77" i="9" s="1"/>
  <c r="O77" i="9" s="1"/>
  <c r="N77" i="9" s="1"/>
  <c r="M77" i="9" s="1"/>
  <c r="L77" i="9" s="1"/>
  <c r="AR77" i="9"/>
  <c r="AQ77" i="9" s="1"/>
  <c r="H78" i="9"/>
  <c r="I78" i="9"/>
  <c r="J78" i="9"/>
  <c r="AR78" i="9"/>
  <c r="AQ78" i="9" s="1"/>
  <c r="AP78" i="9" s="1"/>
  <c r="AO78" i="9" s="1"/>
  <c r="AN78" i="9" s="1"/>
  <c r="AM78" i="9" s="1"/>
  <c r="AL78" i="9" s="1"/>
  <c r="AK78" i="9" s="1"/>
  <c r="AJ78" i="9" s="1"/>
  <c r="AI78" i="9" s="1"/>
  <c r="AH78" i="9" s="1"/>
  <c r="AG78" i="9" s="1"/>
  <c r="AF78" i="9" s="1"/>
  <c r="AE78" i="9" s="1"/>
  <c r="AD78" i="9" s="1"/>
  <c r="AC78" i="9" s="1"/>
  <c r="AB78" i="9" s="1"/>
  <c r="AA78" i="9" s="1"/>
  <c r="Z78" i="9" s="1"/>
  <c r="Y78" i="9" s="1"/>
  <c r="X78" i="9" s="1"/>
  <c r="W78" i="9" s="1"/>
  <c r="V78" i="9" s="1"/>
  <c r="U78" i="9" s="1"/>
  <c r="T78" i="9" s="1"/>
  <c r="S78" i="9" s="1"/>
  <c r="R78" i="9" s="1"/>
  <c r="Q78" i="9" s="1"/>
  <c r="P78" i="9" s="1"/>
  <c r="O78" i="9" s="1"/>
  <c r="N78" i="9" s="1"/>
  <c r="M78" i="9" s="1"/>
  <c r="L78" i="9" s="1"/>
  <c r="K78" i="9" s="1"/>
  <c r="H79" i="9"/>
  <c r="I79" i="9"/>
  <c r="AR79" i="9"/>
  <c r="AQ79" i="9" s="1"/>
  <c r="AP79" i="9" s="1"/>
  <c r="AO79" i="9" s="1"/>
  <c r="AN79" i="9" s="1"/>
  <c r="AM79" i="9" s="1"/>
  <c r="AL79" i="9" s="1"/>
  <c r="AK79" i="9" s="1"/>
  <c r="AJ79" i="9" s="1"/>
  <c r="AI79" i="9" s="1"/>
  <c r="AH79" i="9" s="1"/>
  <c r="AG79" i="9" s="1"/>
  <c r="AF79" i="9" s="1"/>
  <c r="AE79" i="9" s="1"/>
  <c r="AD79" i="9" s="1"/>
  <c r="AC79" i="9" s="1"/>
  <c r="AB79" i="9" s="1"/>
  <c r="AA79" i="9" s="1"/>
  <c r="Z79" i="9" s="1"/>
  <c r="Y79" i="9" s="1"/>
  <c r="X79" i="9" s="1"/>
  <c r="W79" i="9" s="1"/>
  <c r="V79" i="9" s="1"/>
  <c r="U79" i="9" s="1"/>
  <c r="T79" i="9" s="1"/>
  <c r="S79" i="9" s="1"/>
  <c r="R79" i="9" s="1"/>
  <c r="Q79" i="9" s="1"/>
  <c r="P79" i="9" s="1"/>
  <c r="O79" i="9" s="1"/>
  <c r="N79" i="9" s="1"/>
  <c r="M79" i="9" s="1"/>
  <c r="L79" i="9" s="1"/>
  <c r="K79" i="9" s="1"/>
  <c r="J79" i="9" s="1"/>
  <c r="H80" i="9"/>
  <c r="I80" i="9"/>
  <c r="AR80" i="9"/>
  <c r="AQ80" i="9" s="1"/>
  <c r="AP80" i="9" s="1"/>
  <c r="AO80" i="9" s="1"/>
  <c r="AN80" i="9" s="1"/>
  <c r="AM80" i="9" s="1"/>
  <c r="AL80" i="9" s="1"/>
  <c r="AK80" i="9" s="1"/>
  <c r="AJ80" i="9" s="1"/>
  <c r="AI80" i="9" s="1"/>
  <c r="AH80" i="9" s="1"/>
  <c r="AG80" i="9" s="1"/>
  <c r="AF80" i="9" s="1"/>
  <c r="AE80" i="9" s="1"/>
  <c r="AD80" i="9" s="1"/>
  <c r="AC80" i="9" s="1"/>
  <c r="AB80" i="9" s="1"/>
  <c r="AA80" i="9" s="1"/>
  <c r="Z80" i="9" s="1"/>
  <c r="Y80" i="9" s="1"/>
  <c r="X80" i="9" s="1"/>
  <c r="W80" i="9" s="1"/>
  <c r="V80" i="9" s="1"/>
  <c r="U80" i="9" s="1"/>
  <c r="T80" i="9" s="1"/>
  <c r="S80" i="9" s="1"/>
  <c r="R80" i="9" s="1"/>
  <c r="Q80" i="9" s="1"/>
  <c r="P80" i="9" s="1"/>
  <c r="O80" i="9" s="1"/>
  <c r="N80" i="9" s="1"/>
  <c r="M80" i="9" s="1"/>
  <c r="L80" i="9" s="1"/>
  <c r="K80" i="9" s="1"/>
  <c r="J80" i="9" s="1"/>
  <c r="AR81" i="9"/>
  <c r="AQ81" i="9" s="1"/>
  <c r="AP81" i="9" s="1"/>
  <c r="AO81" i="9" s="1"/>
  <c r="AN81" i="9" s="1"/>
  <c r="AM81" i="9" s="1"/>
  <c r="AL81" i="9" s="1"/>
  <c r="AK81" i="9" s="1"/>
  <c r="AJ81" i="9" s="1"/>
  <c r="AI81" i="9" s="1"/>
  <c r="AH81" i="9" s="1"/>
  <c r="AG81" i="9" s="1"/>
  <c r="AF81" i="9" s="1"/>
  <c r="AE81" i="9" s="1"/>
  <c r="AD81" i="9" s="1"/>
  <c r="AC81" i="9" s="1"/>
  <c r="AB81" i="9" s="1"/>
  <c r="AA81" i="9" s="1"/>
  <c r="Z81" i="9" s="1"/>
  <c r="Y81" i="9" s="1"/>
  <c r="X81" i="9" s="1"/>
  <c r="W81" i="9" s="1"/>
  <c r="V81" i="9" s="1"/>
  <c r="U81" i="9" s="1"/>
  <c r="T81" i="9" s="1"/>
  <c r="S81" i="9" s="1"/>
  <c r="R81" i="9" s="1"/>
  <c r="Q81" i="9" s="1"/>
  <c r="P81" i="9" s="1"/>
  <c r="O81" i="9" s="1"/>
  <c r="N81" i="9" s="1"/>
  <c r="M81" i="9" s="1"/>
  <c r="L81" i="9" s="1"/>
  <c r="K81" i="9" s="1"/>
  <c r="J81" i="9" s="1"/>
  <c r="I81" i="9" s="1"/>
  <c r="H81" i="9" s="1"/>
  <c r="K3" i="24" l="1"/>
  <c r="J3" i="24"/>
  <c r="L3" i="24" s="1"/>
  <c r="O4" i="25" s="1"/>
  <c r="J4" i="24"/>
  <c r="L4" i="24" s="1"/>
  <c r="I5" i="24"/>
  <c r="K4" i="24"/>
  <c r="E3" i="24"/>
  <c r="G3" i="24" s="1"/>
  <c r="B21" i="25" s="1"/>
  <c r="F16" i="25"/>
  <c r="B6" i="25" s="1"/>
  <c r="J4" i="25" s="1"/>
  <c r="C29" i="23"/>
  <c r="M6" i="25"/>
  <c r="N5" i="25"/>
  <c r="F3" i="20"/>
  <c r="R13" i="21"/>
  <c r="P13" i="21"/>
  <c r="Q13" i="21" s="1"/>
  <c r="P68" i="21"/>
  <c r="P18" i="21"/>
  <c r="P70" i="21"/>
  <c r="P78" i="21"/>
  <c r="N11" i="21"/>
  <c r="R11" i="21" s="1"/>
  <c r="O17" i="21"/>
  <c r="S17" i="21" s="1"/>
  <c r="N18" i="21"/>
  <c r="R18" i="21" s="1"/>
  <c r="N19" i="21"/>
  <c r="R19" i="21" s="1"/>
  <c r="N24" i="21"/>
  <c r="R24" i="21" s="1"/>
  <c r="N28" i="21"/>
  <c r="R28" i="21" s="1"/>
  <c r="O55" i="21"/>
  <c r="S55" i="21" s="1"/>
  <c r="P72" i="21"/>
  <c r="P14" i="21"/>
  <c r="Q14" i="21" s="1"/>
  <c r="E14" i="21" s="1"/>
  <c r="P15" i="21"/>
  <c r="O18" i="21"/>
  <c r="S18" i="21" s="1"/>
  <c r="N23" i="21"/>
  <c r="R23" i="21" s="1"/>
  <c r="O9" i="21"/>
  <c r="S9" i="21" s="1"/>
  <c r="N9" i="21"/>
  <c r="R9" i="21" s="1"/>
  <c r="O5" i="21"/>
  <c r="S5" i="21" s="1"/>
  <c r="N5" i="21"/>
  <c r="R5" i="21" s="1"/>
  <c r="Q18" i="21"/>
  <c r="E18" i="21" s="1"/>
  <c r="O4" i="21"/>
  <c r="S4" i="21" s="1"/>
  <c r="N4" i="21"/>
  <c r="R4" i="21" s="1"/>
  <c r="O6" i="21"/>
  <c r="S6" i="21" s="1"/>
  <c r="N6" i="21"/>
  <c r="R6" i="21" s="1"/>
  <c r="O8" i="21"/>
  <c r="S8" i="21" s="1"/>
  <c r="N8" i="21"/>
  <c r="R8" i="21" s="1"/>
  <c r="O10" i="21"/>
  <c r="S10" i="21" s="1"/>
  <c r="N10" i="21"/>
  <c r="R10" i="21" s="1"/>
  <c r="Q15" i="21"/>
  <c r="E15" i="21" s="1"/>
  <c r="O3" i="21"/>
  <c r="S3" i="21" s="1"/>
  <c r="N3" i="21"/>
  <c r="R3" i="21" s="1"/>
  <c r="O7" i="21"/>
  <c r="S7" i="21" s="1"/>
  <c r="N7" i="21"/>
  <c r="R7" i="21" s="1"/>
  <c r="P7" i="21"/>
  <c r="P22" i="21"/>
  <c r="P57" i="21"/>
  <c r="O57" i="21"/>
  <c r="S57" i="21" s="1"/>
  <c r="N57" i="21"/>
  <c r="R57" i="21" s="1"/>
  <c r="O11" i="21"/>
  <c r="N12" i="21"/>
  <c r="R12" i="21" s="1"/>
  <c r="O15" i="21"/>
  <c r="S15" i="21" s="1"/>
  <c r="N16" i="21"/>
  <c r="R16" i="21" s="1"/>
  <c r="P21" i="21"/>
  <c r="N22" i="21"/>
  <c r="R22" i="21" s="1"/>
  <c r="O29" i="21"/>
  <c r="S29" i="21" s="1"/>
  <c r="N29" i="21"/>
  <c r="R29" i="21" s="1"/>
  <c r="P55" i="21"/>
  <c r="O12" i="21"/>
  <c r="S12" i="21" s="1"/>
  <c r="O16" i="21"/>
  <c r="S16" i="21" s="1"/>
  <c r="P20" i="21"/>
  <c r="O22" i="21"/>
  <c r="S22" i="21" s="1"/>
  <c r="P25" i="21"/>
  <c r="P26" i="21"/>
  <c r="P27" i="21"/>
  <c r="P28" i="21"/>
  <c r="E13" i="21"/>
  <c r="E17" i="21"/>
  <c r="P19" i="21"/>
  <c r="P23" i="21"/>
  <c r="O30" i="21"/>
  <c r="S30" i="21" s="1"/>
  <c r="P30" i="21"/>
  <c r="O58" i="21"/>
  <c r="S58" i="21" s="1"/>
  <c r="N58" i="21"/>
  <c r="R58" i="21" s="1"/>
  <c r="N63" i="21"/>
  <c r="R63" i="21" s="1"/>
  <c r="O63" i="21"/>
  <c r="S63" i="21" s="1"/>
  <c r="Q64" i="21"/>
  <c r="N67" i="21"/>
  <c r="R67" i="21" s="1"/>
  <c r="O67" i="21"/>
  <c r="S67" i="21" s="1"/>
  <c r="Q68" i="21"/>
  <c r="E68" i="21" s="1"/>
  <c r="N71" i="21"/>
  <c r="R71" i="21" s="1"/>
  <c r="O71" i="21"/>
  <c r="S71" i="21" s="1"/>
  <c r="Q72" i="21"/>
  <c r="N75" i="21"/>
  <c r="R75" i="21" s="1"/>
  <c r="O75" i="21"/>
  <c r="S75" i="21" s="1"/>
  <c r="Q76" i="21"/>
  <c r="N79" i="21"/>
  <c r="R79" i="21" s="1"/>
  <c r="O79" i="21"/>
  <c r="S79" i="21" s="1"/>
  <c r="P31" i="21"/>
  <c r="O31" i="21"/>
  <c r="S31" i="21" s="1"/>
  <c r="P32" i="21"/>
  <c r="O32" i="21"/>
  <c r="S32" i="21" s="1"/>
  <c r="P33" i="21"/>
  <c r="O33" i="21"/>
  <c r="S33" i="21" s="1"/>
  <c r="P34" i="21"/>
  <c r="O34" i="21"/>
  <c r="S34" i="21" s="1"/>
  <c r="P35" i="21"/>
  <c r="O35" i="21"/>
  <c r="S35" i="21" s="1"/>
  <c r="P36" i="21"/>
  <c r="O36" i="21"/>
  <c r="S36" i="21" s="1"/>
  <c r="P37" i="21"/>
  <c r="O37" i="21"/>
  <c r="S37" i="21" s="1"/>
  <c r="P38" i="21"/>
  <c r="O38" i="21"/>
  <c r="S38" i="21" s="1"/>
  <c r="P39" i="21"/>
  <c r="O39" i="21"/>
  <c r="S39" i="21" s="1"/>
  <c r="P40" i="21"/>
  <c r="O40" i="21"/>
  <c r="S40" i="21" s="1"/>
  <c r="P41" i="21"/>
  <c r="O41" i="21"/>
  <c r="S41" i="21" s="1"/>
  <c r="P42" i="21"/>
  <c r="O42" i="21"/>
  <c r="S42" i="21" s="1"/>
  <c r="P43" i="21"/>
  <c r="O43" i="21"/>
  <c r="S43" i="21" s="1"/>
  <c r="P44" i="21"/>
  <c r="O44" i="21"/>
  <c r="S44" i="21" s="1"/>
  <c r="P45" i="21"/>
  <c r="O45" i="21"/>
  <c r="S45" i="21" s="1"/>
  <c r="P46" i="21"/>
  <c r="O46" i="21"/>
  <c r="S46" i="21" s="1"/>
  <c r="P47" i="21"/>
  <c r="O47" i="21"/>
  <c r="S47" i="21" s="1"/>
  <c r="P48" i="21"/>
  <c r="O48" i="21"/>
  <c r="S48" i="21" s="1"/>
  <c r="P49" i="21"/>
  <c r="O49" i="21"/>
  <c r="S49" i="21" s="1"/>
  <c r="P50" i="21"/>
  <c r="O50" i="21"/>
  <c r="S50" i="21" s="1"/>
  <c r="P51" i="21"/>
  <c r="O51" i="21"/>
  <c r="S51" i="21" s="1"/>
  <c r="P52" i="21"/>
  <c r="O52" i="21"/>
  <c r="S52" i="21" s="1"/>
  <c r="P53" i="21"/>
  <c r="O53" i="21"/>
  <c r="S53" i="21" s="1"/>
  <c r="P58" i="21"/>
  <c r="P59" i="21"/>
  <c r="O54" i="21"/>
  <c r="S54" i="21" s="1"/>
  <c r="N54" i="21"/>
  <c r="R54" i="21" s="1"/>
  <c r="P56" i="21"/>
  <c r="P60" i="21"/>
  <c r="O61" i="21"/>
  <c r="S61" i="21" s="1"/>
  <c r="N61" i="21"/>
  <c r="R61" i="21" s="1"/>
  <c r="N65" i="21"/>
  <c r="R65" i="21" s="1"/>
  <c r="O65" i="21"/>
  <c r="S65" i="21" s="1"/>
  <c r="Q66" i="21"/>
  <c r="N69" i="21"/>
  <c r="R69" i="21" s="1"/>
  <c r="O69" i="21"/>
  <c r="S69" i="21" s="1"/>
  <c r="Q70" i="21"/>
  <c r="E70" i="21" s="1"/>
  <c r="N73" i="21"/>
  <c r="R73" i="21" s="1"/>
  <c r="P73" i="21"/>
  <c r="O73" i="21"/>
  <c r="S73" i="21" s="1"/>
  <c r="Q74" i="21"/>
  <c r="N77" i="21"/>
  <c r="R77" i="21" s="1"/>
  <c r="O77" i="21"/>
  <c r="S77" i="21" s="1"/>
  <c r="Q78" i="21"/>
  <c r="N62" i="21"/>
  <c r="R62" i="21" s="1"/>
  <c r="O80" i="21"/>
  <c r="S80" i="21" s="1"/>
  <c r="N80" i="21"/>
  <c r="R80" i="21" s="1"/>
  <c r="O81" i="21"/>
  <c r="S81" i="21" s="1"/>
  <c r="N81" i="21"/>
  <c r="R81" i="21" s="1"/>
  <c r="O64" i="21"/>
  <c r="S64" i="21" s="1"/>
  <c r="O66" i="21"/>
  <c r="S66" i="21" s="1"/>
  <c r="O68" i="21"/>
  <c r="S68" i="21" s="1"/>
  <c r="O70" i="21"/>
  <c r="S70" i="21" s="1"/>
  <c r="O72" i="21"/>
  <c r="O74" i="21"/>
  <c r="S74" i="21" s="1"/>
  <c r="E74" i="21" s="1"/>
  <c r="O76" i="21"/>
  <c r="O78" i="21"/>
  <c r="S78" i="21" s="1"/>
  <c r="N45" i="17"/>
  <c r="N49" i="17"/>
  <c r="N53" i="17"/>
  <c r="R53" i="17" s="1"/>
  <c r="N57" i="17"/>
  <c r="P76" i="17"/>
  <c r="P78" i="17"/>
  <c r="N41" i="17"/>
  <c r="R41" i="17" s="1"/>
  <c r="N47" i="17"/>
  <c r="R47" i="17" s="1"/>
  <c r="N51" i="17"/>
  <c r="R51" i="17" s="1"/>
  <c r="N59" i="17"/>
  <c r="R59" i="17" s="1"/>
  <c r="O15" i="17"/>
  <c r="S15" i="17" s="1"/>
  <c r="N15" i="17"/>
  <c r="R15" i="17" s="1"/>
  <c r="O17" i="17"/>
  <c r="S17" i="17" s="1"/>
  <c r="N17" i="17"/>
  <c r="R17" i="17" s="1"/>
  <c r="O19" i="17"/>
  <c r="S19" i="17" s="1"/>
  <c r="N19" i="17"/>
  <c r="R19" i="17" s="1"/>
  <c r="O21" i="17"/>
  <c r="S21" i="17" s="1"/>
  <c r="N21" i="17"/>
  <c r="R21" i="17" s="1"/>
  <c r="O23" i="17"/>
  <c r="S23" i="17" s="1"/>
  <c r="N23" i="17"/>
  <c r="R23" i="17" s="1"/>
  <c r="O25" i="17"/>
  <c r="S25" i="17" s="1"/>
  <c r="N25" i="17"/>
  <c r="R25" i="17" s="1"/>
  <c r="O27" i="17"/>
  <c r="S27" i="17" s="1"/>
  <c r="N27" i="17"/>
  <c r="R27" i="17" s="1"/>
  <c r="O29" i="17"/>
  <c r="S29" i="17" s="1"/>
  <c r="N29" i="17"/>
  <c r="R29" i="17" s="1"/>
  <c r="O31" i="17"/>
  <c r="S31" i="17" s="1"/>
  <c r="N31" i="17"/>
  <c r="R31" i="17" s="1"/>
  <c r="O3" i="17"/>
  <c r="S3" i="17" s="1"/>
  <c r="N3" i="17"/>
  <c r="R3" i="17" s="1"/>
  <c r="O4" i="17"/>
  <c r="S4" i="17" s="1"/>
  <c r="N4" i="17"/>
  <c r="R4" i="17" s="1"/>
  <c r="O5" i="17"/>
  <c r="S5" i="17" s="1"/>
  <c r="N5" i="17"/>
  <c r="R5" i="17" s="1"/>
  <c r="O6" i="17"/>
  <c r="S6" i="17" s="1"/>
  <c r="N6" i="17"/>
  <c r="R6" i="17" s="1"/>
  <c r="O7" i="17"/>
  <c r="S7" i="17" s="1"/>
  <c r="N7" i="17"/>
  <c r="R7" i="17" s="1"/>
  <c r="O8" i="17"/>
  <c r="S8" i="17" s="1"/>
  <c r="N8" i="17"/>
  <c r="R8" i="17" s="1"/>
  <c r="O9" i="17"/>
  <c r="S9" i="17" s="1"/>
  <c r="N9" i="17"/>
  <c r="R9" i="17" s="1"/>
  <c r="O10" i="17"/>
  <c r="S10" i="17" s="1"/>
  <c r="N10" i="17"/>
  <c r="R10" i="17" s="1"/>
  <c r="P12" i="17"/>
  <c r="O12" i="17"/>
  <c r="S12" i="17" s="1"/>
  <c r="N12" i="17"/>
  <c r="R12" i="17" s="1"/>
  <c r="P3" i="17"/>
  <c r="P4" i="17"/>
  <c r="P5" i="17"/>
  <c r="P6" i="17"/>
  <c r="P7" i="17"/>
  <c r="P8" i="17"/>
  <c r="P14" i="17"/>
  <c r="O14" i="17"/>
  <c r="S14" i="17" s="1"/>
  <c r="N14" i="17"/>
  <c r="R14" i="17" s="1"/>
  <c r="O16" i="17"/>
  <c r="S16" i="17" s="1"/>
  <c r="N16" i="17"/>
  <c r="R16" i="17" s="1"/>
  <c r="O18" i="17"/>
  <c r="S18" i="17" s="1"/>
  <c r="N18" i="17"/>
  <c r="R18" i="17" s="1"/>
  <c r="P20" i="17"/>
  <c r="O20" i="17"/>
  <c r="S20" i="17" s="1"/>
  <c r="N20" i="17"/>
  <c r="R20" i="17" s="1"/>
  <c r="O22" i="17"/>
  <c r="S22" i="17" s="1"/>
  <c r="N22" i="17"/>
  <c r="R22" i="17" s="1"/>
  <c r="O24" i="17"/>
  <c r="S24" i="17" s="1"/>
  <c r="N24" i="17"/>
  <c r="R24" i="17" s="1"/>
  <c r="O26" i="17"/>
  <c r="S26" i="17" s="1"/>
  <c r="N26" i="17"/>
  <c r="R26" i="17" s="1"/>
  <c r="O28" i="17"/>
  <c r="S28" i="17" s="1"/>
  <c r="N28" i="17"/>
  <c r="R28" i="17" s="1"/>
  <c r="P30" i="17"/>
  <c r="O30" i="17"/>
  <c r="S30" i="17" s="1"/>
  <c r="N30" i="17"/>
  <c r="R30" i="17" s="1"/>
  <c r="O11" i="17"/>
  <c r="S11" i="17" s="1"/>
  <c r="N11" i="17"/>
  <c r="R11" i="17" s="1"/>
  <c r="O13" i="17"/>
  <c r="S13" i="17" s="1"/>
  <c r="N13" i="17"/>
  <c r="P33" i="17"/>
  <c r="O36" i="17"/>
  <c r="S36" i="17" s="1"/>
  <c r="P39" i="17"/>
  <c r="O40" i="17"/>
  <c r="S40" i="17" s="1"/>
  <c r="P43" i="17"/>
  <c r="O44" i="17"/>
  <c r="S44" i="17" s="1"/>
  <c r="N58" i="17"/>
  <c r="R58" i="17" s="1"/>
  <c r="P59" i="17"/>
  <c r="N60" i="17"/>
  <c r="R60" i="17" s="1"/>
  <c r="N32" i="17"/>
  <c r="R32" i="17" s="1"/>
  <c r="N33" i="17"/>
  <c r="R33" i="17" s="1"/>
  <c r="N34" i="17"/>
  <c r="R34" i="17" s="1"/>
  <c r="N35" i="17"/>
  <c r="R35" i="17" s="1"/>
  <c r="P36" i="17"/>
  <c r="N38" i="17"/>
  <c r="R38" i="17" s="1"/>
  <c r="P40" i="17"/>
  <c r="N42" i="17"/>
  <c r="R42" i="17" s="1"/>
  <c r="P44" i="17"/>
  <c r="N48" i="17"/>
  <c r="R48" i="17" s="1"/>
  <c r="N52" i="17"/>
  <c r="R52" i="17" s="1"/>
  <c r="N54" i="17"/>
  <c r="R54" i="17" s="1"/>
  <c r="P54" i="17"/>
  <c r="Q55" i="17"/>
  <c r="E55" i="17" s="1"/>
  <c r="N56" i="17"/>
  <c r="R56" i="17" s="1"/>
  <c r="O58" i="17"/>
  <c r="S58" i="17" s="1"/>
  <c r="O60" i="17"/>
  <c r="S60" i="17" s="1"/>
  <c r="P37" i="17"/>
  <c r="P48" i="17"/>
  <c r="N62" i="17"/>
  <c r="R62" i="17" s="1"/>
  <c r="O62" i="17"/>
  <c r="S62" i="17" s="1"/>
  <c r="N63" i="17"/>
  <c r="R63" i="17" s="1"/>
  <c r="O63" i="17"/>
  <c r="S63" i="17" s="1"/>
  <c r="N64" i="17"/>
  <c r="R64" i="17" s="1"/>
  <c r="O64" i="17"/>
  <c r="S64" i="17" s="1"/>
  <c r="N46" i="17"/>
  <c r="P47" i="17"/>
  <c r="N50" i="17"/>
  <c r="P51" i="17"/>
  <c r="P61" i="17"/>
  <c r="P64" i="17"/>
  <c r="O66" i="17"/>
  <c r="S66" i="17" s="1"/>
  <c r="O68" i="17"/>
  <c r="S68" i="17" s="1"/>
  <c r="O70" i="17"/>
  <c r="S70" i="17" s="1"/>
  <c r="O72" i="17"/>
  <c r="S72" i="17" s="1"/>
  <c r="O74" i="17"/>
  <c r="S74" i="17" s="1"/>
  <c r="O76" i="17"/>
  <c r="S76" i="17" s="1"/>
  <c r="O78" i="17"/>
  <c r="S78" i="17" s="1"/>
  <c r="P66" i="17"/>
  <c r="P68" i="17"/>
  <c r="P70" i="17"/>
  <c r="P72" i="17"/>
  <c r="P74" i="17"/>
  <c r="Q76" i="17"/>
  <c r="E76" i="17" s="1"/>
  <c r="Q78" i="17"/>
  <c r="E78" i="17" s="1"/>
  <c r="O65" i="17"/>
  <c r="S65" i="17" s="1"/>
  <c r="O67" i="17"/>
  <c r="S67" i="17" s="1"/>
  <c r="O69" i="17"/>
  <c r="S69" i="17" s="1"/>
  <c r="O71" i="17"/>
  <c r="S71" i="17" s="1"/>
  <c r="O73" i="17"/>
  <c r="S73" i="17" s="1"/>
  <c r="O75" i="17"/>
  <c r="S75" i="17" s="1"/>
  <c r="O77" i="17"/>
  <c r="S77" i="17" s="1"/>
  <c r="O79" i="17"/>
  <c r="S79" i="17" s="1"/>
  <c r="P65" i="17"/>
  <c r="P67" i="17"/>
  <c r="P69" i="17"/>
  <c r="P71" i="17"/>
  <c r="P73" i="17"/>
  <c r="P75" i="17"/>
  <c r="P77" i="17"/>
  <c r="P79" i="17"/>
  <c r="O80" i="17"/>
  <c r="S80" i="17" s="1"/>
  <c r="N80" i="17"/>
  <c r="R80" i="17" s="1"/>
  <c r="O81" i="17"/>
  <c r="S81" i="17" s="1"/>
  <c r="N81" i="17"/>
  <c r="R81" i="17" s="1"/>
  <c r="AQ75" i="9"/>
  <c r="AP75" i="9" s="1"/>
  <c r="AO75" i="9" s="1"/>
  <c r="AN75" i="9" s="1"/>
  <c r="AM75" i="9" s="1"/>
  <c r="AL75" i="9" s="1"/>
  <c r="AK75" i="9" s="1"/>
  <c r="AJ75" i="9" s="1"/>
  <c r="AI75" i="9" s="1"/>
  <c r="AH75" i="9" s="1"/>
  <c r="AG75" i="9" s="1"/>
  <c r="AF75" i="9" s="1"/>
  <c r="AE75" i="9" s="1"/>
  <c r="AD75" i="9" s="1"/>
  <c r="AC75" i="9" s="1"/>
  <c r="AB75" i="9" s="1"/>
  <c r="AA75" i="9" s="1"/>
  <c r="Z75" i="9" s="1"/>
  <c r="Y75" i="9" s="1"/>
  <c r="X75" i="9" s="1"/>
  <c r="W75" i="9" s="1"/>
  <c r="V75" i="9" s="1"/>
  <c r="U75" i="9" s="1"/>
  <c r="T75" i="9" s="1"/>
  <c r="S75" i="9" s="1"/>
  <c r="R75" i="9" s="1"/>
  <c r="Q75" i="9" s="1"/>
  <c r="P75" i="9" s="1"/>
  <c r="O75" i="9" s="1"/>
  <c r="N75" i="9" s="1"/>
  <c r="AS75" i="9"/>
  <c r="AT75" i="9" s="1"/>
  <c r="AU75" i="9" s="1"/>
  <c r="AV75" i="9" s="1"/>
  <c r="AW75" i="9" s="1"/>
  <c r="AX75" i="9" s="1"/>
  <c r="AY75" i="9" s="1"/>
  <c r="AZ75" i="9" s="1"/>
  <c r="BA75" i="9" s="1"/>
  <c r="BB75" i="9" s="1"/>
  <c r="BC75" i="9" s="1"/>
  <c r="AS81" i="9"/>
  <c r="AT81" i="9" s="1"/>
  <c r="AU81" i="9" s="1"/>
  <c r="AV81" i="9" s="1"/>
  <c r="AW81" i="9" s="1"/>
  <c r="AX81" i="9" s="1"/>
  <c r="AY81" i="9" s="1"/>
  <c r="AZ81" i="9" s="1"/>
  <c r="BA81" i="9" s="1"/>
  <c r="BB81" i="9" s="1"/>
  <c r="BC81" i="9" s="1"/>
  <c r="AS80" i="9"/>
  <c r="AT80" i="9" s="1"/>
  <c r="AU80" i="9" s="1"/>
  <c r="AV80" i="9" s="1"/>
  <c r="AW80" i="9" s="1"/>
  <c r="AX80" i="9" s="1"/>
  <c r="AY80" i="9" s="1"/>
  <c r="AZ80" i="9" s="1"/>
  <c r="BA80" i="9" s="1"/>
  <c r="BB80" i="9" s="1"/>
  <c r="BC80" i="9" s="1"/>
  <c r="AS79" i="9"/>
  <c r="AT79" i="9" s="1"/>
  <c r="AU79" i="9" s="1"/>
  <c r="AV79" i="9" s="1"/>
  <c r="AW79" i="9" s="1"/>
  <c r="AX79" i="9" s="1"/>
  <c r="AY79" i="9" s="1"/>
  <c r="AZ79" i="9" s="1"/>
  <c r="BA79" i="9" s="1"/>
  <c r="BB79" i="9" s="1"/>
  <c r="BC79" i="9" s="1"/>
  <c r="AS78" i="9"/>
  <c r="AT78" i="9" s="1"/>
  <c r="AU78" i="9" s="1"/>
  <c r="AV78" i="9" s="1"/>
  <c r="AW78" i="9" s="1"/>
  <c r="AX78" i="9" s="1"/>
  <c r="AY78" i="9" s="1"/>
  <c r="AZ78" i="9" s="1"/>
  <c r="BA78" i="9" s="1"/>
  <c r="BB78" i="9" s="1"/>
  <c r="BC78" i="9" s="1"/>
  <c r="AS77" i="9"/>
  <c r="AT77" i="9" s="1"/>
  <c r="AU77" i="9" s="1"/>
  <c r="AV77" i="9" s="1"/>
  <c r="AW77" i="9" s="1"/>
  <c r="AX77" i="9" s="1"/>
  <c r="AY77" i="9" s="1"/>
  <c r="AZ77" i="9" s="1"/>
  <c r="BA77" i="9" s="1"/>
  <c r="BB77" i="9" s="1"/>
  <c r="BC77" i="9" s="1"/>
  <c r="AS73" i="9"/>
  <c r="AT73" i="9" s="1"/>
  <c r="AU73" i="9" s="1"/>
  <c r="AV73" i="9" s="1"/>
  <c r="AW73" i="9" s="1"/>
  <c r="AX73" i="9" s="1"/>
  <c r="AY73" i="9" s="1"/>
  <c r="AZ73" i="9" s="1"/>
  <c r="BA73" i="9" s="1"/>
  <c r="BB73" i="9" s="1"/>
  <c r="BC73" i="9" s="1"/>
  <c r="AS70" i="9"/>
  <c r="AT70" i="9" s="1"/>
  <c r="AU70" i="9" s="1"/>
  <c r="AV70" i="9" s="1"/>
  <c r="AW70" i="9" s="1"/>
  <c r="AX70" i="9" s="1"/>
  <c r="AY70" i="9" s="1"/>
  <c r="AZ70" i="9" s="1"/>
  <c r="BA70" i="9" s="1"/>
  <c r="BB70" i="9" s="1"/>
  <c r="BC70" i="9" s="1"/>
  <c r="AS72" i="9"/>
  <c r="AT72" i="9" s="1"/>
  <c r="AU72" i="9" s="1"/>
  <c r="AV72" i="9" s="1"/>
  <c r="AW72" i="9" s="1"/>
  <c r="AX72" i="9" s="1"/>
  <c r="AY72" i="9" s="1"/>
  <c r="AZ72" i="9" s="1"/>
  <c r="BA72" i="9" s="1"/>
  <c r="BB72" i="9" s="1"/>
  <c r="BC72" i="9" s="1"/>
  <c r="AS71" i="9"/>
  <c r="AT71" i="9" s="1"/>
  <c r="AU71" i="9" s="1"/>
  <c r="AV71" i="9" s="1"/>
  <c r="AW71" i="9" s="1"/>
  <c r="AX71" i="9" s="1"/>
  <c r="AY71" i="9" s="1"/>
  <c r="AZ71" i="9" s="1"/>
  <c r="BA71" i="9" s="1"/>
  <c r="BB71" i="9" s="1"/>
  <c r="BC71" i="9" s="1"/>
  <c r="AS69" i="9"/>
  <c r="AT69" i="9" s="1"/>
  <c r="AU69" i="9" s="1"/>
  <c r="AV69" i="9" s="1"/>
  <c r="AW69" i="9" s="1"/>
  <c r="AX69" i="9" s="1"/>
  <c r="AY69" i="9" s="1"/>
  <c r="AZ69" i="9" s="1"/>
  <c r="BA69" i="9" s="1"/>
  <c r="BB69" i="9" s="1"/>
  <c r="BC69" i="9" s="1"/>
  <c r="AS68" i="9"/>
  <c r="AT68" i="9" s="1"/>
  <c r="AU68" i="9" s="1"/>
  <c r="AV68" i="9" s="1"/>
  <c r="AW68" i="9" s="1"/>
  <c r="AX68" i="9" s="1"/>
  <c r="AY68" i="9" s="1"/>
  <c r="AZ68" i="9" s="1"/>
  <c r="BA68" i="9" s="1"/>
  <c r="BB68" i="9" s="1"/>
  <c r="BC68" i="9" s="1"/>
  <c r="AS67" i="9"/>
  <c r="AT67" i="9" s="1"/>
  <c r="AU67" i="9" s="1"/>
  <c r="AV67" i="9" s="1"/>
  <c r="AW67" i="9" s="1"/>
  <c r="AX67" i="9" s="1"/>
  <c r="AY67" i="9" s="1"/>
  <c r="AZ67" i="9" s="1"/>
  <c r="BA67" i="9" s="1"/>
  <c r="BB67" i="9" s="1"/>
  <c r="BC67" i="9" s="1"/>
  <c r="AS66" i="9"/>
  <c r="AT66" i="9" s="1"/>
  <c r="AU66" i="9" s="1"/>
  <c r="AV66" i="9" s="1"/>
  <c r="AW66" i="9" s="1"/>
  <c r="AX66" i="9" s="1"/>
  <c r="AY66" i="9" s="1"/>
  <c r="AZ66" i="9" s="1"/>
  <c r="BA66" i="9" s="1"/>
  <c r="BB66" i="9" s="1"/>
  <c r="BC66" i="9" s="1"/>
  <c r="AS65" i="9"/>
  <c r="AT65" i="9" s="1"/>
  <c r="AU65" i="9" s="1"/>
  <c r="AV65" i="9" s="1"/>
  <c r="AW65" i="9" s="1"/>
  <c r="AX65" i="9" s="1"/>
  <c r="AY65" i="9" s="1"/>
  <c r="AZ65" i="9" s="1"/>
  <c r="BA65" i="9" s="1"/>
  <c r="BB65" i="9" s="1"/>
  <c r="BC65" i="9" s="1"/>
  <c r="AS15" i="9"/>
  <c r="AT15" i="9" s="1"/>
  <c r="AU15" i="9" s="1"/>
  <c r="AV15" i="9" s="1"/>
  <c r="AW15" i="9" s="1"/>
  <c r="AX15" i="9" s="1"/>
  <c r="AY15" i="9" s="1"/>
  <c r="AZ15" i="9" s="1"/>
  <c r="BA15" i="9" s="1"/>
  <c r="BB15" i="9" s="1"/>
  <c r="BC15" i="9" s="1"/>
  <c r="AQ15" i="9"/>
  <c r="AP15" i="9" s="1"/>
  <c r="AO15" i="9" s="1"/>
  <c r="AN15" i="9" s="1"/>
  <c r="AM15" i="9" s="1"/>
  <c r="AL15" i="9" s="1"/>
  <c r="AK15" i="9" s="1"/>
  <c r="AJ15" i="9" s="1"/>
  <c r="AI15" i="9" s="1"/>
  <c r="AS18" i="9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AQ18" i="9"/>
  <c r="AP18" i="9" s="1"/>
  <c r="AO18" i="9" s="1"/>
  <c r="AN18" i="9" s="1"/>
  <c r="AM18" i="9" s="1"/>
  <c r="AL18" i="9" s="1"/>
  <c r="AK18" i="9" s="1"/>
  <c r="AJ18" i="9" s="1"/>
  <c r="AI18" i="9" s="1"/>
  <c r="AH18" i="9" s="1"/>
  <c r="AS16" i="9"/>
  <c r="AT16" i="9" s="1"/>
  <c r="AU16" i="9" s="1"/>
  <c r="AV16" i="9" s="1"/>
  <c r="AW16" i="9" s="1"/>
  <c r="AX16" i="9" s="1"/>
  <c r="AY16" i="9" s="1"/>
  <c r="AZ16" i="9" s="1"/>
  <c r="BA16" i="9" s="1"/>
  <c r="BB16" i="9" s="1"/>
  <c r="BC16" i="9" s="1"/>
  <c r="AQ16" i="9"/>
  <c r="AP16" i="9" s="1"/>
  <c r="AO16" i="9" s="1"/>
  <c r="AN16" i="9" s="1"/>
  <c r="AM16" i="9" s="1"/>
  <c r="AL16" i="9" s="1"/>
  <c r="AK16" i="9" s="1"/>
  <c r="AJ16" i="9" s="1"/>
  <c r="AI16" i="9" s="1"/>
  <c r="AS17" i="9"/>
  <c r="AT17" i="9" s="1"/>
  <c r="AU17" i="9" s="1"/>
  <c r="AV17" i="9" s="1"/>
  <c r="AW17" i="9" s="1"/>
  <c r="AX17" i="9" s="1"/>
  <c r="AY17" i="9" s="1"/>
  <c r="AZ17" i="9" s="1"/>
  <c r="BA17" i="9" s="1"/>
  <c r="BB17" i="9" s="1"/>
  <c r="BC17" i="9" s="1"/>
  <c r="L81" i="13"/>
  <c r="M81" i="13" s="1"/>
  <c r="L80" i="13"/>
  <c r="M80" i="13" s="1"/>
  <c r="L79" i="13"/>
  <c r="M79" i="13" s="1"/>
  <c r="L78" i="13"/>
  <c r="M78" i="13" s="1"/>
  <c r="L77" i="13"/>
  <c r="L76" i="13"/>
  <c r="M76" i="13" s="1"/>
  <c r="L75" i="13"/>
  <c r="M75" i="13" s="1"/>
  <c r="L74" i="13"/>
  <c r="M74" i="13" s="1"/>
  <c r="L73" i="13"/>
  <c r="M73" i="13" s="1"/>
  <c r="O73" i="13" s="1"/>
  <c r="S73" i="13" s="1"/>
  <c r="L72" i="13"/>
  <c r="M72" i="13" s="1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L64" i="13"/>
  <c r="M64" i="13" s="1"/>
  <c r="L63" i="13"/>
  <c r="M63" i="13" s="1"/>
  <c r="L62" i="13"/>
  <c r="M62" i="13" s="1"/>
  <c r="L61" i="13"/>
  <c r="M61" i="13" s="1"/>
  <c r="L60" i="13"/>
  <c r="M60" i="13" s="1"/>
  <c r="L59" i="13"/>
  <c r="M59" i="13" s="1"/>
  <c r="O59" i="13" s="1"/>
  <c r="S59" i="13" s="1"/>
  <c r="L58" i="13"/>
  <c r="M58" i="13" s="1"/>
  <c r="L57" i="13"/>
  <c r="M57" i="13" s="1"/>
  <c r="O57" i="13" s="1"/>
  <c r="S57" i="13" s="1"/>
  <c r="L56" i="13"/>
  <c r="M56" i="13" s="1"/>
  <c r="L55" i="13"/>
  <c r="M55" i="13" s="1"/>
  <c r="L54" i="13"/>
  <c r="M54" i="13" s="1"/>
  <c r="L53" i="13"/>
  <c r="M53" i="13" s="1"/>
  <c r="L52" i="13"/>
  <c r="M52" i="13" s="1"/>
  <c r="L51" i="13"/>
  <c r="M51" i="13" s="1"/>
  <c r="L50" i="13"/>
  <c r="M50" i="13" s="1"/>
  <c r="L49" i="13"/>
  <c r="M49" i="13" s="1"/>
  <c r="L48" i="13"/>
  <c r="M48" i="13" s="1"/>
  <c r="L47" i="13"/>
  <c r="M47" i="13" s="1"/>
  <c r="L46" i="13"/>
  <c r="M46" i="13" s="1"/>
  <c r="L45" i="13"/>
  <c r="M45" i="13" s="1"/>
  <c r="L44" i="13"/>
  <c r="M44" i="13" s="1"/>
  <c r="L43" i="13"/>
  <c r="M43" i="13" s="1"/>
  <c r="L42" i="13"/>
  <c r="L41" i="13"/>
  <c r="M41" i="13" s="1"/>
  <c r="L40" i="13"/>
  <c r="L39" i="13"/>
  <c r="M39" i="13" s="1"/>
  <c r="L38" i="13"/>
  <c r="M38" i="13" s="1"/>
  <c r="N38" i="13" s="1"/>
  <c r="R38" i="13" s="1"/>
  <c r="L37" i="13"/>
  <c r="M37" i="13" s="1"/>
  <c r="L36" i="13"/>
  <c r="M36" i="13" s="1"/>
  <c r="N36" i="13" s="1"/>
  <c r="L35" i="13"/>
  <c r="M35" i="13" s="1"/>
  <c r="L34" i="13"/>
  <c r="L33" i="13"/>
  <c r="M33" i="13" s="1"/>
  <c r="L32" i="13"/>
  <c r="M32" i="13" s="1"/>
  <c r="L31" i="13"/>
  <c r="M31" i="13" s="1"/>
  <c r="L30" i="13"/>
  <c r="M30" i="13" s="1"/>
  <c r="L29" i="13"/>
  <c r="M29" i="13" s="1"/>
  <c r="L28" i="13"/>
  <c r="M28" i="13" s="1"/>
  <c r="L27" i="13"/>
  <c r="M27" i="13" s="1"/>
  <c r="L26" i="13"/>
  <c r="M26" i="13" s="1"/>
  <c r="L25" i="13"/>
  <c r="M25" i="13" s="1"/>
  <c r="O25" i="13" s="1"/>
  <c r="S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  <c r="L18" i="13"/>
  <c r="M18" i="13" s="1"/>
  <c r="L17" i="13"/>
  <c r="L16" i="13"/>
  <c r="M16" i="13" s="1"/>
  <c r="L15" i="13"/>
  <c r="L14" i="13"/>
  <c r="M14" i="13" s="1"/>
  <c r="L13" i="13"/>
  <c r="L12" i="13"/>
  <c r="M12" i="13" s="1"/>
  <c r="L11" i="13"/>
  <c r="M11" i="13" s="1"/>
  <c r="O11" i="13" s="1"/>
  <c r="S11" i="13" s="1"/>
  <c r="L10" i="13"/>
  <c r="M10" i="13" s="1"/>
  <c r="L9" i="13"/>
  <c r="M9" i="13" s="1"/>
  <c r="L8" i="13"/>
  <c r="M8" i="13" s="1"/>
  <c r="L7" i="13"/>
  <c r="M7" i="13" s="1"/>
  <c r="O7" i="13" s="1"/>
  <c r="S7" i="13" s="1"/>
  <c r="L6" i="13"/>
  <c r="M6" i="13" s="1"/>
  <c r="L5" i="13"/>
  <c r="L4" i="13"/>
  <c r="M4" i="13" s="1"/>
  <c r="L3" i="13"/>
  <c r="M3" i="13" s="1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10" i="12"/>
  <c r="E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K4" i="25" l="1"/>
  <c r="O5" i="25"/>
  <c r="J5" i="24"/>
  <c r="L5" i="24"/>
  <c r="I6" i="24"/>
  <c r="K5" i="24"/>
  <c r="D4" i="24"/>
  <c r="B14" i="25"/>
  <c r="C17" i="25"/>
  <c r="C18" i="25" s="1"/>
  <c r="I5" i="25"/>
  <c r="N6" i="25"/>
  <c r="M7" i="25"/>
  <c r="S11" i="21"/>
  <c r="P11" i="21"/>
  <c r="Q11" i="21" s="1"/>
  <c r="P80" i="21"/>
  <c r="Q80" i="21" s="1"/>
  <c r="E80" i="21" s="1"/>
  <c r="S72" i="21"/>
  <c r="E72" i="21" s="1"/>
  <c r="P77" i="21"/>
  <c r="P65" i="21"/>
  <c r="Q65" i="21" s="1"/>
  <c r="E65" i="21" s="1"/>
  <c r="P61" i="21"/>
  <c r="P63" i="21"/>
  <c r="P16" i="21"/>
  <c r="P10" i="21"/>
  <c r="P5" i="21"/>
  <c r="P9" i="21"/>
  <c r="S76" i="21"/>
  <c r="E76" i="21" s="1"/>
  <c r="E78" i="21"/>
  <c r="E66" i="21"/>
  <c r="D66" i="21" s="1"/>
  <c r="P79" i="21"/>
  <c r="P75" i="21"/>
  <c r="E64" i="21"/>
  <c r="P24" i="21"/>
  <c r="C66" i="21"/>
  <c r="D64" i="21"/>
  <c r="C64" i="21"/>
  <c r="D78" i="21"/>
  <c r="C78" i="21"/>
  <c r="D68" i="21"/>
  <c r="C68" i="21"/>
  <c r="D70" i="21"/>
  <c r="C70" i="21"/>
  <c r="D74" i="21"/>
  <c r="C74" i="21"/>
  <c r="Q61" i="21"/>
  <c r="E61" i="21"/>
  <c r="P54" i="21"/>
  <c r="Q52" i="21"/>
  <c r="E52" i="21" s="1"/>
  <c r="Q48" i="21"/>
  <c r="E48" i="21" s="1"/>
  <c r="Q44" i="21"/>
  <c r="E44" i="21" s="1"/>
  <c r="E40" i="21"/>
  <c r="Q40" i="21"/>
  <c r="Q38" i="21"/>
  <c r="E38" i="21" s="1"/>
  <c r="E63" i="21"/>
  <c r="Q63" i="21"/>
  <c r="Q30" i="21"/>
  <c r="E30" i="21"/>
  <c r="Q26" i="21"/>
  <c r="E26" i="21" s="1"/>
  <c r="Q20" i="21"/>
  <c r="E20" i="21" s="1"/>
  <c r="Q22" i="21"/>
  <c r="E22" i="21" s="1"/>
  <c r="D15" i="21"/>
  <c r="C15" i="21"/>
  <c r="Q16" i="21"/>
  <c r="E16" i="21" s="1"/>
  <c r="Q73" i="21"/>
  <c r="E73" i="21" s="1"/>
  <c r="Q75" i="21"/>
  <c r="E75" i="21" s="1"/>
  <c r="D13" i="21"/>
  <c r="C13" i="21"/>
  <c r="Q25" i="21"/>
  <c r="E25" i="21"/>
  <c r="P12" i="21"/>
  <c r="P3" i="21"/>
  <c r="P4" i="21"/>
  <c r="E9" i="21"/>
  <c r="Q9" i="21"/>
  <c r="P62" i="21"/>
  <c r="Q77" i="21"/>
  <c r="E77" i="21" s="1"/>
  <c r="Q60" i="21"/>
  <c r="E60" i="21" s="1"/>
  <c r="Q58" i="21"/>
  <c r="E58" i="21"/>
  <c r="E50" i="21"/>
  <c r="Q50" i="21"/>
  <c r="Q46" i="21"/>
  <c r="E46" i="21" s="1"/>
  <c r="Q42" i="21"/>
  <c r="E42" i="21" s="1"/>
  <c r="Q36" i="21"/>
  <c r="E36" i="21" s="1"/>
  <c r="Q34" i="21"/>
  <c r="E34" i="21" s="1"/>
  <c r="Q32" i="21"/>
  <c r="E32" i="21" s="1"/>
  <c r="E79" i="21"/>
  <c r="Q79" i="21"/>
  <c r="D17" i="21"/>
  <c r="C17" i="21"/>
  <c r="Q21" i="21"/>
  <c r="E21" i="21" s="1"/>
  <c r="D18" i="21"/>
  <c r="C18" i="21"/>
  <c r="E5" i="21"/>
  <c r="Q5" i="21"/>
  <c r="P81" i="21"/>
  <c r="P69" i="21"/>
  <c r="Q56" i="21"/>
  <c r="E56" i="21" s="1"/>
  <c r="Q59" i="21"/>
  <c r="E59" i="21" s="1"/>
  <c r="Q53" i="21"/>
  <c r="E53" i="21" s="1"/>
  <c r="Q51" i="21"/>
  <c r="E51" i="21" s="1"/>
  <c r="E49" i="21"/>
  <c r="Q49" i="21"/>
  <c r="Q47" i="21"/>
  <c r="E47" i="21" s="1"/>
  <c r="E45" i="21"/>
  <c r="Q45" i="21"/>
  <c r="Q43" i="21"/>
  <c r="E43" i="21" s="1"/>
  <c r="Q41" i="21"/>
  <c r="E41" i="21" s="1"/>
  <c r="Q39" i="21"/>
  <c r="E39" i="21" s="1"/>
  <c r="Q37" i="21"/>
  <c r="E37" i="21" s="1"/>
  <c r="Q35" i="21"/>
  <c r="E35" i="21" s="1"/>
  <c r="E33" i="21"/>
  <c r="Q33" i="21"/>
  <c r="Q31" i="21"/>
  <c r="E31" i="21" s="1"/>
  <c r="P71" i="21"/>
  <c r="Q23" i="21"/>
  <c r="E23" i="21" s="1"/>
  <c r="Q28" i="21"/>
  <c r="E28" i="21"/>
  <c r="Q24" i="21"/>
  <c r="E24" i="21" s="1"/>
  <c r="Q7" i="21"/>
  <c r="E7" i="21" s="1"/>
  <c r="D14" i="21"/>
  <c r="C14" i="21"/>
  <c r="P67" i="21"/>
  <c r="Q19" i="21"/>
  <c r="E19" i="21" s="1"/>
  <c r="Q27" i="21"/>
  <c r="E27" i="21"/>
  <c r="Q55" i="21"/>
  <c r="E55" i="21" s="1"/>
  <c r="Q57" i="21"/>
  <c r="E57" i="21" s="1"/>
  <c r="P8" i="21"/>
  <c r="P6" i="21"/>
  <c r="P29" i="21"/>
  <c r="P62" i="17"/>
  <c r="P52" i="17"/>
  <c r="P60" i="17"/>
  <c r="P22" i="17"/>
  <c r="Q22" i="17" s="1"/>
  <c r="E22" i="17" s="1"/>
  <c r="P49" i="17"/>
  <c r="Q49" i="17" s="1"/>
  <c r="R49" i="17"/>
  <c r="P28" i="17"/>
  <c r="P45" i="17"/>
  <c r="Q45" i="17" s="1"/>
  <c r="E45" i="17" s="1"/>
  <c r="R45" i="17"/>
  <c r="P53" i="17"/>
  <c r="P58" i="17"/>
  <c r="R57" i="17"/>
  <c r="P57" i="17"/>
  <c r="P41" i="17"/>
  <c r="C78" i="17"/>
  <c r="C76" i="17"/>
  <c r="Q70" i="17"/>
  <c r="E70" i="17" s="1"/>
  <c r="Q52" i="17"/>
  <c r="E52" i="17" s="1"/>
  <c r="C55" i="17"/>
  <c r="Q58" i="17"/>
  <c r="E58" i="17" s="1"/>
  <c r="Q20" i="17"/>
  <c r="E20" i="17" s="1"/>
  <c r="Q7" i="17"/>
  <c r="E7" i="17" s="1"/>
  <c r="P81" i="17"/>
  <c r="Q73" i="17"/>
  <c r="E73" i="17" s="1"/>
  <c r="E65" i="17"/>
  <c r="Q65" i="17"/>
  <c r="Q68" i="17"/>
  <c r="E68" i="17" s="1"/>
  <c r="Q61" i="17"/>
  <c r="E61" i="17" s="1"/>
  <c r="R46" i="17"/>
  <c r="P46" i="17"/>
  <c r="Q48" i="17"/>
  <c r="E48" i="17" s="1"/>
  <c r="Q43" i="17"/>
  <c r="E43" i="17" s="1"/>
  <c r="P42" i="17"/>
  <c r="P32" i="17"/>
  <c r="E30" i="17"/>
  <c r="Q30" i="17"/>
  <c r="Q14" i="17"/>
  <c r="E14" i="17" s="1"/>
  <c r="Q6" i="17"/>
  <c r="E6" i="17" s="1"/>
  <c r="P38" i="17"/>
  <c r="P25" i="17"/>
  <c r="P17" i="17"/>
  <c r="Q67" i="17"/>
  <c r="E67" i="17" s="1"/>
  <c r="Q53" i="17"/>
  <c r="E53" i="17" s="1"/>
  <c r="Q33" i="17"/>
  <c r="E33" i="17" s="1"/>
  <c r="Q3" i="17"/>
  <c r="E3" i="17" s="1"/>
  <c r="Q79" i="17"/>
  <c r="E79" i="17" s="1"/>
  <c r="Q71" i="17"/>
  <c r="E71" i="17" s="1"/>
  <c r="Q74" i="17"/>
  <c r="E74" i="17" s="1"/>
  <c r="Q66" i="17"/>
  <c r="E66" i="17" s="1"/>
  <c r="Q64" i="17"/>
  <c r="E64" i="17" s="1"/>
  <c r="Q51" i="17"/>
  <c r="E51" i="17"/>
  <c r="Q37" i="17"/>
  <c r="E37" i="17" s="1"/>
  <c r="Q54" i="17"/>
  <c r="E54" i="17"/>
  <c r="Q40" i="17"/>
  <c r="E40" i="17" s="1"/>
  <c r="Q60" i="17"/>
  <c r="E60" i="17"/>
  <c r="P35" i="17"/>
  <c r="R13" i="17"/>
  <c r="P13" i="17"/>
  <c r="P11" i="17"/>
  <c r="P24" i="17"/>
  <c r="P16" i="17"/>
  <c r="P9" i="17"/>
  <c r="E5" i="17"/>
  <c r="Q5" i="17"/>
  <c r="P27" i="17"/>
  <c r="P19" i="17"/>
  <c r="E75" i="17"/>
  <c r="Q75" i="17"/>
  <c r="Q62" i="17"/>
  <c r="E62" i="17" s="1"/>
  <c r="Q47" i="17"/>
  <c r="E47" i="17" s="1"/>
  <c r="Q36" i="17"/>
  <c r="E36" i="17" s="1"/>
  <c r="Q28" i="17"/>
  <c r="E28" i="17" s="1"/>
  <c r="Q12" i="17"/>
  <c r="E12" i="17" s="1"/>
  <c r="Q77" i="17"/>
  <c r="E77" i="17" s="1"/>
  <c r="Q69" i="17"/>
  <c r="E69" i="17" s="1"/>
  <c r="E72" i="17"/>
  <c r="Q72" i="17"/>
  <c r="P63" i="17"/>
  <c r="R50" i="17"/>
  <c r="P50" i="17"/>
  <c r="P80" i="17"/>
  <c r="P56" i="17"/>
  <c r="Q44" i="17"/>
  <c r="E44" i="17" s="1"/>
  <c r="Q59" i="17"/>
  <c r="E59" i="17"/>
  <c r="Q39" i="17"/>
  <c r="E39" i="17" s="1"/>
  <c r="P34" i="17"/>
  <c r="P26" i="17"/>
  <c r="P18" i="17"/>
  <c r="E8" i="17"/>
  <c r="Q8" i="17"/>
  <c r="Q4" i="17"/>
  <c r="E4" i="17" s="1"/>
  <c r="P10" i="17"/>
  <c r="P29" i="17"/>
  <c r="P21" i="17"/>
  <c r="P31" i="17"/>
  <c r="P23" i="17"/>
  <c r="P15" i="17"/>
  <c r="O38" i="13"/>
  <c r="S38" i="13" s="1"/>
  <c r="O36" i="13"/>
  <c r="S36" i="13" s="1"/>
  <c r="M42" i="13"/>
  <c r="N42" i="13" s="1"/>
  <c r="O13" i="13"/>
  <c r="S13" i="13" s="1"/>
  <c r="M13" i="13"/>
  <c r="M34" i="13"/>
  <c r="N34" i="13" s="1"/>
  <c r="M40" i="13"/>
  <c r="O40" i="13" s="1"/>
  <c r="S40" i="13" s="1"/>
  <c r="M17" i="13"/>
  <c r="O17" i="13" s="1"/>
  <c r="S17" i="13" s="1"/>
  <c r="M15" i="13"/>
  <c r="O15" i="13" s="1"/>
  <c r="S15" i="13" s="1"/>
  <c r="M65" i="13"/>
  <c r="N65" i="13" s="1"/>
  <c r="M77" i="13"/>
  <c r="N77" i="13" s="1"/>
  <c r="R77" i="13" s="1"/>
  <c r="O55" i="13"/>
  <c r="S55" i="13" s="1"/>
  <c r="N55" i="13"/>
  <c r="R55" i="13" s="1"/>
  <c r="O53" i="13"/>
  <c r="S53" i="13" s="1"/>
  <c r="N53" i="13"/>
  <c r="R53" i="13" s="1"/>
  <c r="R36" i="13"/>
  <c r="P36" i="13"/>
  <c r="N59" i="13"/>
  <c r="R59" i="13" s="1"/>
  <c r="N40" i="13"/>
  <c r="R40" i="13" s="1"/>
  <c r="N57" i="13"/>
  <c r="R57" i="13" s="1"/>
  <c r="N44" i="13"/>
  <c r="O81" i="13"/>
  <c r="S81" i="13" s="1"/>
  <c r="O4" i="13"/>
  <c r="S4" i="13" s="1"/>
  <c r="N5" i="13"/>
  <c r="R5" i="13" s="1"/>
  <c r="O5" i="13"/>
  <c r="S5" i="13" s="1"/>
  <c r="O52" i="13"/>
  <c r="S52" i="13" s="1"/>
  <c r="N52" i="13"/>
  <c r="R52" i="13" s="1"/>
  <c r="N23" i="13"/>
  <c r="R23" i="13" s="1"/>
  <c r="N21" i="13"/>
  <c r="R21" i="13" s="1"/>
  <c r="N31" i="13"/>
  <c r="R31" i="13" s="1"/>
  <c r="O66" i="13"/>
  <c r="S66" i="13" s="1"/>
  <c r="O69" i="13"/>
  <c r="S69" i="13" s="1"/>
  <c r="N11" i="13"/>
  <c r="R11" i="13" s="1"/>
  <c r="N13" i="13"/>
  <c r="R13" i="13" s="1"/>
  <c r="N15" i="13"/>
  <c r="R15" i="13" s="1"/>
  <c r="N19" i="13"/>
  <c r="R19" i="13" s="1"/>
  <c r="N29" i="13"/>
  <c r="R29" i="13" s="1"/>
  <c r="O31" i="13"/>
  <c r="S31" i="13" s="1"/>
  <c r="P38" i="13"/>
  <c r="O42" i="13"/>
  <c r="S42" i="13" s="1"/>
  <c r="N66" i="13"/>
  <c r="R66" i="13" s="1"/>
  <c r="N7" i="13"/>
  <c r="R7" i="13" s="1"/>
  <c r="N9" i="13"/>
  <c r="R9" i="13" s="1"/>
  <c r="N25" i="13"/>
  <c r="R25" i="13" s="1"/>
  <c r="N27" i="13"/>
  <c r="R27" i="13" s="1"/>
  <c r="O34" i="13"/>
  <c r="S34" i="13" s="1"/>
  <c r="O51" i="13"/>
  <c r="S51" i="13" s="1"/>
  <c r="N51" i="13"/>
  <c r="R51" i="13" s="1"/>
  <c r="P57" i="13"/>
  <c r="O65" i="13"/>
  <c r="S65" i="13" s="1"/>
  <c r="O67" i="13"/>
  <c r="S67" i="13" s="1"/>
  <c r="N67" i="13"/>
  <c r="R67" i="13" s="1"/>
  <c r="P40" i="13"/>
  <c r="P59" i="13"/>
  <c r="N73" i="13"/>
  <c r="R73" i="13" s="1"/>
  <c r="N81" i="13"/>
  <c r="R81" i="13" s="1"/>
  <c r="O20" i="13"/>
  <c r="S20" i="13" s="1"/>
  <c r="N20" i="13"/>
  <c r="R20" i="13" s="1"/>
  <c r="O21" i="13"/>
  <c r="S21" i="13" s="1"/>
  <c r="O22" i="13"/>
  <c r="S22" i="13" s="1"/>
  <c r="N22" i="13"/>
  <c r="R22" i="13" s="1"/>
  <c r="O27" i="13"/>
  <c r="S27" i="13" s="1"/>
  <c r="O3" i="13"/>
  <c r="S3" i="13" s="1"/>
  <c r="N3" i="13"/>
  <c r="R3" i="13" s="1"/>
  <c r="O6" i="13"/>
  <c r="S6" i="13" s="1"/>
  <c r="N6" i="13"/>
  <c r="R6" i="13" s="1"/>
  <c r="O9" i="13"/>
  <c r="S9" i="13" s="1"/>
  <c r="O16" i="13"/>
  <c r="S16" i="13" s="1"/>
  <c r="N16" i="13"/>
  <c r="R16" i="13" s="1"/>
  <c r="O19" i="13"/>
  <c r="S19" i="13" s="1"/>
  <c r="O29" i="13"/>
  <c r="S29" i="13" s="1"/>
  <c r="O30" i="13"/>
  <c r="S30" i="13" s="1"/>
  <c r="N30" i="13"/>
  <c r="R30" i="13" s="1"/>
  <c r="O35" i="13"/>
  <c r="S35" i="13" s="1"/>
  <c r="N35" i="13"/>
  <c r="R35" i="13" s="1"/>
  <c r="O37" i="13"/>
  <c r="S37" i="13" s="1"/>
  <c r="N37" i="13"/>
  <c r="R37" i="13" s="1"/>
  <c r="O39" i="13"/>
  <c r="S39" i="13" s="1"/>
  <c r="N39" i="13"/>
  <c r="R39" i="13" s="1"/>
  <c r="O48" i="13"/>
  <c r="S48" i="13" s="1"/>
  <c r="N48" i="13"/>
  <c r="R48" i="13" s="1"/>
  <c r="O8" i="13"/>
  <c r="S8" i="13" s="1"/>
  <c r="N8" i="13"/>
  <c r="R8" i="13" s="1"/>
  <c r="O18" i="13"/>
  <c r="S18" i="13" s="1"/>
  <c r="N18" i="13"/>
  <c r="R18" i="13" s="1"/>
  <c r="O24" i="13"/>
  <c r="S24" i="13" s="1"/>
  <c r="N24" i="13"/>
  <c r="R24" i="13" s="1"/>
  <c r="O28" i="13"/>
  <c r="S28" i="13" s="1"/>
  <c r="N28" i="13"/>
  <c r="R28" i="13" s="1"/>
  <c r="O32" i="13"/>
  <c r="S32" i="13" s="1"/>
  <c r="N32" i="13"/>
  <c r="R32" i="13" s="1"/>
  <c r="O33" i="13"/>
  <c r="S33" i="13" s="1"/>
  <c r="N33" i="13"/>
  <c r="R33" i="13" s="1"/>
  <c r="O10" i="13"/>
  <c r="S10" i="13" s="1"/>
  <c r="N10" i="13"/>
  <c r="R10" i="13" s="1"/>
  <c r="O23" i="13"/>
  <c r="S23" i="13" s="1"/>
  <c r="O12" i="13"/>
  <c r="S12" i="13" s="1"/>
  <c r="N12" i="13"/>
  <c r="R12" i="13" s="1"/>
  <c r="O14" i="13"/>
  <c r="S14" i="13" s="1"/>
  <c r="N14" i="13"/>
  <c r="R14" i="13" s="1"/>
  <c r="O26" i="13"/>
  <c r="S26" i="13" s="1"/>
  <c r="N26" i="13"/>
  <c r="R26" i="13" s="1"/>
  <c r="O43" i="13"/>
  <c r="S43" i="13" s="1"/>
  <c r="N43" i="13"/>
  <c r="R43" i="13" s="1"/>
  <c r="O50" i="13"/>
  <c r="S50" i="13" s="1"/>
  <c r="N50" i="13"/>
  <c r="R50" i="13" s="1"/>
  <c r="O70" i="13"/>
  <c r="S70" i="13" s="1"/>
  <c r="N70" i="13"/>
  <c r="R70" i="13" s="1"/>
  <c r="O56" i="13"/>
  <c r="S56" i="13" s="1"/>
  <c r="N56" i="13"/>
  <c r="R56" i="13" s="1"/>
  <c r="O63" i="13"/>
  <c r="S63" i="13" s="1"/>
  <c r="N63" i="13"/>
  <c r="R63" i="13" s="1"/>
  <c r="O64" i="13"/>
  <c r="S64" i="13" s="1"/>
  <c r="N64" i="13"/>
  <c r="R64" i="13" s="1"/>
  <c r="O72" i="13"/>
  <c r="S72" i="13" s="1"/>
  <c r="N72" i="13"/>
  <c r="R72" i="13" s="1"/>
  <c r="O75" i="13"/>
  <c r="S75" i="13" s="1"/>
  <c r="N75" i="13"/>
  <c r="O78" i="13"/>
  <c r="S78" i="13" s="1"/>
  <c r="N78" i="13"/>
  <c r="R78" i="13" s="1"/>
  <c r="O41" i="13"/>
  <c r="S41" i="13" s="1"/>
  <c r="N41" i="13"/>
  <c r="R41" i="13" s="1"/>
  <c r="O45" i="13"/>
  <c r="S45" i="13" s="1"/>
  <c r="N45" i="13"/>
  <c r="R45" i="13" s="1"/>
  <c r="O54" i="13"/>
  <c r="S54" i="13" s="1"/>
  <c r="N54" i="13"/>
  <c r="R54" i="13" s="1"/>
  <c r="O46" i="13"/>
  <c r="S46" i="13" s="1"/>
  <c r="N46" i="13"/>
  <c r="R46" i="13" s="1"/>
  <c r="O47" i="13"/>
  <c r="S47" i="13" s="1"/>
  <c r="N47" i="13"/>
  <c r="R47" i="13" s="1"/>
  <c r="O58" i="13"/>
  <c r="S58" i="13" s="1"/>
  <c r="N58" i="13"/>
  <c r="R58" i="13" s="1"/>
  <c r="O61" i="13"/>
  <c r="S61" i="13" s="1"/>
  <c r="N61" i="13"/>
  <c r="R61" i="13" s="1"/>
  <c r="O62" i="13"/>
  <c r="S62" i="13" s="1"/>
  <c r="N62" i="13"/>
  <c r="R62" i="13" s="1"/>
  <c r="O71" i="13"/>
  <c r="S71" i="13" s="1"/>
  <c r="N71" i="13"/>
  <c r="O74" i="13"/>
  <c r="S74" i="13" s="1"/>
  <c r="N74" i="13"/>
  <c r="R74" i="13" s="1"/>
  <c r="O80" i="13"/>
  <c r="S80" i="13" s="1"/>
  <c r="N80" i="13"/>
  <c r="R80" i="13" s="1"/>
  <c r="O49" i="13"/>
  <c r="S49" i="13" s="1"/>
  <c r="N49" i="13"/>
  <c r="R49" i="13" s="1"/>
  <c r="O60" i="13"/>
  <c r="S60" i="13" s="1"/>
  <c r="N60" i="13"/>
  <c r="R60" i="13" s="1"/>
  <c r="O76" i="13"/>
  <c r="S76" i="13" s="1"/>
  <c r="N76" i="13"/>
  <c r="O79" i="13"/>
  <c r="S79" i="13" s="1"/>
  <c r="N79" i="13"/>
  <c r="R79" i="13" s="1"/>
  <c r="O68" i="13"/>
  <c r="S68" i="13" s="1"/>
  <c r="N68" i="13"/>
  <c r="R68" i="13" s="1"/>
  <c r="N69" i="13"/>
  <c r="R69" i="13" s="1"/>
  <c r="AE2" i="10"/>
  <c r="AD2" i="10"/>
  <c r="AD3" i="11" s="1"/>
  <c r="K48" i="12"/>
  <c r="K49" i="12"/>
  <c r="K50" i="12" s="1"/>
  <c r="K51" i="12" s="1"/>
  <c r="A48" i="12"/>
  <c r="AE3" i="11"/>
  <c r="AX1" i="11"/>
  <c r="AY1" i="11" s="1"/>
  <c r="AZ1" i="11" s="1"/>
  <c r="BA1" i="11" s="1"/>
  <c r="BB1" i="11" s="1"/>
  <c r="BC1" i="11" s="1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G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G10" i="10"/>
  <c r="H10" i="10"/>
  <c r="H11" i="11" s="1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G3" i="9"/>
  <c r="AX1" i="9"/>
  <c r="AY1" i="9" s="1"/>
  <c r="AZ1" i="9" s="1"/>
  <c r="BA1" i="9" s="1"/>
  <c r="BB1" i="9" s="1"/>
  <c r="BC1" i="9" s="1"/>
  <c r="E18" i="25" l="1"/>
  <c r="E19" i="25" s="1"/>
  <c r="E21" i="25" s="1"/>
  <c r="E22" i="25" s="1"/>
  <c r="O6" i="25"/>
  <c r="J5" i="25"/>
  <c r="J6" i="24"/>
  <c r="L6" i="24" s="1"/>
  <c r="I7" i="24"/>
  <c r="K6" i="24"/>
  <c r="E4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D110" i="24" s="1"/>
  <c r="D111" i="24" s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I6" i="25"/>
  <c r="F4" i="24"/>
  <c r="G4" i="24" s="1"/>
  <c r="M8" i="25"/>
  <c r="N7" i="25"/>
  <c r="C72" i="21"/>
  <c r="D72" i="21"/>
  <c r="E10" i="21"/>
  <c r="D76" i="21"/>
  <c r="C76" i="21"/>
  <c r="Q10" i="21"/>
  <c r="E11" i="21"/>
  <c r="D55" i="21"/>
  <c r="C55" i="21"/>
  <c r="D24" i="21"/>
  <c r="C24" i="21"/>
  <c r="C35" i="21"/>
  <c r="D35" i="21"/>
  <c r="C51" i="21"/>
  <c r="D51" i="21"/>
  <c r="D56" i="21"/>
  <c r="C56" i="21"/>
  <c r="C32" i="21"/>
  <c r="D32" i="21"/>
  <c r="D77" i="21"/>
  <c r="C77" i="21"/>
  <c r="C52" i="21"/>
  <c r="D52" i="21"/>
  <c r="D31" i="21"/>
  <c r="C31" i="21"/>
  <c r="C47" i="21"/>
  <c r="D47" i="21"/>
  <c r="C53" i="21"/>
  <c r="D53" i="21"/>
  <c r="D75" i="21"/>
  <c r="C75" i="21"/>
  <c r="D26" i="21"/>
  <c r="C26" i="21"/>
  <c r="C44" i="21"/>
  <c r="D44" i="21"/>
  <c r="C43" i="21"/>
  <c r="D43" i="21"/>
  <c r="C46" i="21"/>
  <c r="D46" i="21"/>
  <c r="D22" i="21"/>
  <c r="C22" i="21"/>
  <c r="C38" i="21"/>
  <c r="D38" i="21"/>
  <c r="D19" i="21"/>
  <c r="C19" i="21"/>
  <c r="D7" i="21"/>
  <c r="C7" i="21"/>
  <c r="D23" i="21"/>
  <c r="C23" i="21"/>
  <c r="C39" i="21"/>
  <c r="D39" i="21"/>
  <c r="D21" i="21"/>
  <c r="C21" i="21"/>
  <c r="C36" i="21"/>
  <c r="D36" i="21"/>
  <c r="D60" i="21"/>
  <c r="C60" i="21"/>
  <c r="D65" i="21"/>
  <c r="C65" i="21"/>
  <c r="D80" i="21"/>
  <c r="C80" i="21"/>
  <c r="Q8" i="21"/>
  <c r="E8" i="21" s="1"/>
  <c r="Q71" i="21"/>
  <c r="E71" i="21" s="1"/>
  <c r="C41" i="21"/>
  <c r="D41" i="21"/>
  <c r="D5" i="21"/>
  <c r="C5" i="21"/>
  <c r="C42" i="21"/>
  <c r="D42" i="21"/>
  <c r="Q29" i="21"/>
  <c r="E29" i="21" s="1"/>
  <c r="Q81" i="21"/>
  <c r="E81" i="21" s="1"/>
  <c r="Q3" i="21"/>
  <c r="E3" i="21" s="1"/>
  <c r="Q54" i="21"/>
  <c r="E54" i="21" s="1"/>
  <c r="C33" i="21"/>
  <c r="D33" i="21"/>
  <c r="C45" i="21"/>
  <c r="D45" i="21"/>
  <c r="D25" i="21"/>
  <c r="C25" i="21"/>
  <c r="C30" i="21"/>
  <c r="D30" i="21"/>
  <c r="D61" i="21"/>
  <c r="C61" i="21"/>
  <c r="Q6" i="21"/>
  <c r="E6" i="21" s="1"/>
  <c r="Q62" i="21"/>
  <c r="E62" i="21" s="1"/>
  <c r="Q12" i="21"/>
  <c r="E12" i="21"/>
  <c r="D73" i="21"/>
  <c r="C73" i="21"/>
  <c r="C10" i="21"/>
  <c r="D10" i="21"/>
  <c r="D63" i="21"/>
  <c r="C63" i="21"/>
  <c r="C40" i="21"/>
  <c r="D40" i="21"/>
  <c r="C48" i="21"/>
  <c r="D48" i="21"/>
  <c r="D28" i="21"/>
  <c r="C28" i="21"/>
  <c r="C37" i="21"/>
  <c r="D37" i="21"/>
  <c r="C49" i="21"/>
  <c r="D49" i="21"/>
  <c r="D79" i="21"/>
  <c r="C79" i="21"/>
  <c r="C34" i="21"/>
  <c r="D34" i="21"/>
  <c r="C50" i="21"/>
  <c r="D50" i="21"/>
  <c r="D9" i="21"/>
  <c r="C9" i="21"/>
  <c r="D16" i="21"/>
  <c r="C16" i="21"/>
  <c r="D20" i="21"/>
  <c r="C20" i="21"/>
  <c r="D57" i="21"/>
  <c r="C57" i="21"/>
  <c r="D27" i="21"/>
  <c r="C27" i="21"/>
  <c r="E67" i="21"/>
  <c r="Q67" i="21"/>
  <c r="D59" i="21"/>
  <c r="C59" i="21"/>
  <c r="E69" i="21"/>
  <c r="Q69" i="21"/>
  <c r="D58" i="21"/>
  <c r="C58" i="21"/>
  <c r="E4" i="21"/>
  <c r="Q4" i="21"/>
  <c r="C45" i="17"/>
  <c r="Q41" i="17"/>
  <c r="E41" i="17"/>
  <c r="Q57" i="17"/>
  <c r="E57" i="17" s="1"/>
  <c r="E49" i="17"/>
  <c r="C53" i="17"/>
  <c r="C68" i="17"/>
  <c r="C12" i="17"/>
  <c r="C64" i="17"/>
  <c r="C79" i="17"/>
  <c r="C67" i="17"/>
  <c r="C6" i="17"/>
  <c r="C43" i="17"/>
  <c r="C7" i="17"/>
  <c r="C71" i="17"/>
  <c r="C22" i="17"/>
  <c r="C48" i="17"/>
  <c r="C69" i="17"/>
  <c r="C47" i="17"/>
  <c r="C66" i="17"/>
  <c r="C3" i="17"/>
  <c r="C4" i="17"/>
  <c r="C62" i="17"/>
  <c r="C74" i="17"/>
  <c r="C33" i="17"/>
  <c r="C61" i="17"/>
  <c r="C73" i="17"/>
  <c r="C8" i="17"/>
  <c r="C72" i="17"/>
  <c r="C75" i="17"/>
  <c r="C52" i="17"/>
  <c r="Q31" i="17"/>
  <c r="E31" i="17" s="1"/>
  <c r="Q18" i="17"/>
  <c r="E18" i="17" s="1"/>
  <c r="C36" i="17"/>
  <c r="Q19" i="17"/>
  <c r="E19" i="17" s="1"/>
  <c r="E9" i="17"/>
  <c r="Q9" i="17"/>
  <c r="Q13" i="17"/>
  <c r="E13" i="17" s="1"/>
  <c r="E32" i="17"/>
  <c r="Q32" i="17"/>
  <c r="Q46" i="17"/>
  <c r="E46" i="17"/>
  <c r="E23" i="17"/>
  <c r="Q23" i="17"/>
  <c r="C39" i="17"/>
  <c r="Q50" i="17"/>
  <c r="E50" i="17" s="1"/>
  <c r="C28" i="17"/>
  <c r="Q11" i="17"/>
  <c r="E11" i="17" s="1"/>
  <c r="C37" i="17"/>
  <c r="C14" i="17"/>
  <c r="C58" i="17"/>
  <c r="Q21" i="17"/>
  <c r="E21" i="17" s="1"/>
  <c r="Q26" i="17"/>
  <c r="E26" i="17" s="1"/>
  <c r="C59" i="17"/>
  <c r="Q56" i="17"/>
  <c r="E56" i="17" s="1"/>
  <c r="Q63" i="17"/>
  <c r="E63" i="17" s="1"/>
  <c r="Q27" i="17"/>
  <c r="E27" i="17" s="1"/>
  <c r="E16" i="17"/>
  <c r="Q16" i="17"/>
  <c r="C60" i="17"/>
  <c r="C54" i="17"/>
  <c r="C51" i="17"/>
  <c r="E17" i="17"/>
  <c r="Q17" i="17"/>
  <c r="Q42" i="17"/>
  <c r="E42" i="17"/>
  <c r="E10" i="17"/>
  <c r="Q10" i="17"/>
  <c r="C44" i="17"/>
  <c r="C77" i="17"/>
  <c r="C5" i="17"/>
  <c r="C40" i="17"/>
  <c r="Q38" i="17"/>
  <c r="E38" i="17"/>
  <c r="C30" i="17"/>
  <c r="C65" i="17"/>
  <c r="E15" i="17"/>
  <c r="Q15" i="17"/>
  <c r="Q29" i="17"/>
  <c r="E29" i="17" s="1"/>
  <c r="E34" i="17"/>
  <c r="Q34" i="17"/>
  <c r="Q80" i="17"/>
  <c r="E80" i="17" s="1"/>
  <c r="Q24" i="17"/>
  <c r="E24" i="17" s="1"/>
  <c r="Q35" i="17"/>
  <c r="E35" i="17" s="1"/>
  <c r="Q25" i="17"/>
  <c r="E25" i="17" s="1"/>
  <c r="Q81" i="17"/>
  <c r="E81" i="17" s="1"/>
  <c r="C20" i="17"/>
  <c r="C70" i="17"/>
  <c r="N17" i="13"/>
  <c r="R17" i="13" s="1"/>
  <c r="O77" i="13"/>
  <c r="S77" i="13" s="1"/>
  <c r="Q36" i="13"/>
  <c r="R65" i="13"/>
  <c r="P65" i="13"/>
  <c r="R42" i="13"/>
  <c r="P42" i="13"/>
  <c r="R34" i="13"/>
  <c r="P34" i="13"/>
  <c r="P77" i="13"/>
  <c r="Q77" i="13" s="1"/>
  <c r="P55" i="13"/>
  <c r="P27" i="13"/>
  <c r="P23" i="13"/>
  <c r="R44" i="13"/>
  <c r="P44" i="13"/>
  <c r="P53" i="13"/>
  <c r="P22" i="13"/>
  <c r="O44" i="13"/>
  <c r="S44" i="13" s="1"/>
  <c r="P31" i="13"/>
  <c r="N4" i="13"/>
  <c r="Q59" i="13"/>
  <c r="E59" i="13" s="1"/>
  <c r="Q57" i="13"/>
  <c r="Q22" i="13"/>
  <c r="P79" i="13"/>
  <c r="P81" i="13"/>
  <c r="Q40" i="13"/>
  <c r="Q55" i="13"/>
  <c r="Q34" i="13"/>
  <c r="P25" i="13"/>
  <c r="P61" i="13"/>
  <c r="Q38" i="13"/>
  <c r="P21" i="13"/>
  <c r="P3" i="13"/>
  <c r="P62" i="13"/>
  <c r="P70" i="13"/>
  <c r="P54" i="13"/>
  <c r="P49" i="13"/>
  <c r="P46" i="13"/>
  <c r="P45" i="13"/>
  <c r="P64" i="13"/>
  <c r="P20" i="13"/>
  <c r="P33" i="13"/>
  <c r="P60" i="13"/>
  <c r="P28" i="13"/>
  <c r="R76" i="13"/>
  <c r="P76" i="13"/>
  <c r="P67" i="13"/>
  <c r="P51" i="13"/>
  <c r="P7" i="13"/>
  <c r="P47" i="13"/>
  <c r="P19" i="13"/>
  <c r="P15" i="13"/>
  <c r="P11" i="13"/>
  <c r="P30" i="13"/>
  <c r="P66" i="13"/>
  <c r="P39" i="13"/>
  <c r="P43" i="13"/>
  <c r="P56" i="13"/>
  <c r="P48" i="13"/>
  <c r="P12" i="13"/>
  <c r="P18" i="13"/>
  <c r="P41" i="13"/>
  <c r="P16" i="13"/>
  <c r="P78" i="13"/>
  <c r="P37" i="13"/>
  <c r="P32" i="13"/>
  <c r="P6" i="13"/>
  <c r="P10" i="13"/>
  <c r="P14" i="13"/>
  <c r="P5" i="13"/>
  <c r="P68" i="13"/>
  <c r="R71" i="13"/>
  <c r="P71" i="13"/>
  <c r="R75" i="13"/>
  <c r="P75" i="13"/>
  <c r="P9" i="13"/>
  <c r="P74" i="13"/>
  <c r="P73" i="13"/>
  <c r="P58" i="13"/>
  <c r="P29" i="13"/>
  <c r="P17" i="13"/>
  <c r="P13" i="13"/>
  <c r="P69" i="13"/>
  <c r="P63" i="13"/>
  <c r="P35" i="13"/>
  <c r="P52" i="13"/>
  <c r="P26" i="13"/>
  <c r="P72" i="13"/>
  <c r="P80" i="13"/>
  <c r="P8" i="13"/>
  <c r="P50" i="13"/>
  <c r="P24" i="13"/>
  <c r="AT39" i="11"/>
  <c r="BB3" i="11"/>
  <c r="AT3" i="11"/>
  <c r="AP3" i="11"/>
  <c r="AL3" i="11"/>
  <c r="AH3" i="11"/>
  <c r="AB3" i="11"/>
  <c r="X3" i="11"/>
  <c r="T3" i="11"/>
  <c r="P3" i="11"/>
  <c r="L3" i="11"/>
  <c r="H3" i="11"/>
  <c r="AR79" i="11"/>
  <c r="AR75" i="11"/>
  <c r="AR71" i="11"/>
  <c r="AR67" i="11"/>
  <c r="AR63" i="11"/>
  <c r="AR59" i="11"/>
  <c r="AR55" i="11"/>
  <c r="AR47" i="11"/>
  <c r="AR43" i="11"/>
  <c r="AR39" i="11"/>
  <c r="AR35" i="11"/>
  <c r="AR31" i="11"/>
  <c r="BB29" i="11"/>
  <c r="AT29" i="11"/>
  <c r="AP29" i="11"/>
  <c r="AL29" i="11"/>
  <c r="AH29" i="11"/>
  <c r="AD29" i="11"/>
  <c r="Z29" i="11"/>
  <c r="V29" i="11"/>
  <c r="R29" i="11"/>
  <c r="N29" i="11"/>
  <c r="J29" i="11"/>
  <c r="BA28" i="11"/>
  <c r="AW28" i="11"/>
  <c r="AS28" i="11"/>
  <c r="AO28" i="11"/>
  <c r="AK28" i="11"/>
  <c r="AG28" i="11"/>
  <c r="AC28" i="11"/>
  <c r="Y28" i="11"/>
  <c r="U28" i="11"/>
  <c r="Q28" i="11"/>
  <c r="M28" i="11"/>
  <c r="I28" i="11"/>
  <c r="AZ27" i="11"/>
  <c r="AV27" i="11"/>
  <c r="AR27" i="11"/>
  <c r="AN27" i="11"/>
  <c r="AJ27" i="11"/>
  <c r="AF27" i="11"/>
  <c r="AB27" i="11"/>
  <c r="X27" i="11"/>
  <c r="T27" i="11"/>
  <c r="P27" i="11"/>
  <c r="L27" i="11"/>
  <c r="H27" i="11"/>
  <c r="BC26" i="11"/>
  <c r="AY26" i="11"/>
  <c r="AU26" i="11"/>
  <c r="AQ26" i="11"/>
  <c r="AM26" i="11"/>
  <c r="AI26" i="11"/>
  <c r="AE26" i="11"/>
  <c r="AA26" i="11"/>
  <c r="W26" i="11"/>
  <c r="S26" i="11"/>
  <c r="O26" i="11"/>
  <c r="K26" i="11"/>
  <c r="G26" i="11"/>
  <c r="BB25" i="11"/>
  <c r="AT25" i="11"/>
  <c r="AP25" i="11"/>
  <c r="AL25" i="11"/>
  <c r="AH25" i="11"/>
  <c r="AD25" i="11"/>
  <c r="Z25" i="11"/>
  <c r="V25" i="11"/>
  <c r="R25" i="11"/>
  <c r="N25" i="11"/>
  <c r="J25" i="11"/>
  <c r="BA24" i="11"/>
  <c r="AW24" i="11"/>
  <c r="AS24" i="11"/>
  <c r="AO24" i="11"/>
  <c r="AK24" i="11"/>
  <c r="AG24" i="11"/>
  <c r="AC24" i="11"/>
  <c r="Y24" i="11"/>
  <c r="U24" i="11"/>
  <c r="Q24" i="11"/>
  <c r="M24" i="11"/>
  <c r="I24" i="11"/>
  <c r="AZ23" i="11"/>
  <c r="AV23" i="11"/>
  <c r="AR23" i="11"/>
  <c r="AN23" i="11"/>
  <c r="AJ23" i="11"/>
  <c r="AF23" i="11"/>
  <c r="AB23" i="11"/>
  <c r="X23" i="11"/>
  <c r="T23" i="11"/>
  <c r="P23" i="11"/>
  <c r="L23" i="11"/>
  <c r="H23" i="11"/>
  <c r="BC22" i="11"/>
  <c r="AY22" i="11"/>
  <c r="AU22" i="11"/>
  <c r="AQ22" i="11"/>
  <c r="AM22" i="11"/>
  <c r="AI22" i="11"/>
  <c r="AE22" i="11"/>
  <c r="AA22" i="11"/>
  <c r="W22" i="11"/>
  <c r="S22" i="11"/>
  <c r="O22" i="11"/>
  <c r="K22" i="11"/>
  <c r="G22" i="11"/>
  <c r="BB21" i="11"/>
  <c r="AT21" i="11"/>
  <c r="AP21" i="11"/>
  <c r="AL21" i="11"/>
  <c r="AH21" i="11"/>
  <c r="AD21" i="11"/>
  <c r="Z21" i="11"/>
  <c r="V21" i="11"/>
  <c r="R21" i="11"/>
  <c r="N21" i="11"/>
  <c r="J21" i="11"/>
  <c r="BA20" i="11"/>
  <c r="AW20" i="11"/>
  <c r="AS20" i="11"/>
  <c r="AO20" i="11"/>
  <c r="AK20" i="11"/>
  <c r="AG20" i="11"/>
  <c r="AC20" i="11"/>
  <c r="Y20" i="11"/>
  <c r="U20" i="11"/>
  <c r="Q20" i="11"/>
  <c r="M20" i="11"/>
  <c r="I20" i="11"/>
  <c r="AZ19" i="11"/>
  <c r="AV19" i="11"/>
  <c r="AR19" i="11"/>
  <c r="AN19" i="11"/>
  <c r="AJ19" i="11"/>
  <c r="AF19" i="11"/>
  <c r="AB19" i="11"/>
  <c r="X19" i="11"/>
  <c r="T19" i="11"/>
  <c r="P19" i="11"/>
  <c r="L19" i="11"/>
  <c r="H19" i="11"/>
  <c r="BC18" i="11"/>
  <c r="AY18" i="11"/>
  <c r="AU18" i="11"/>
  <c r="AQ18" i="11"/>
  <c r="AM18" i="11"/>
  <c r="AI18" i="11"/>
  <c r="AE18" i="11"/>
  <c r="AA18" i="11"/>
  <c r="W18" i="11"/>
  <c r="S18" i="11"/>
  <c r="O18" i="11"/>
  <c r="K18" i="11"/>
  <c r="G18" i="11"/>
  <c r="BB17" i="11"/>
  <c r="AT17" i="11"/>
  <c r="AP17" i="11"/>
  <c r="AL17" i="11"/>
  <c r="AH17" i="11"/>
  <c r="AD17" i="11"/>
  <c r="Z17" i="11"/>
  <c r="V17" i="11"/>
  <c r="R17" i="11"/>
  <c r="N17" i="11"/>
  <c r="J17" i="11"/>
  <c r="BA16" i="11"/>
  <c r="AW16" i="11"/>
  <c r="AS16" i="11"/>
  <c r="AO16" i="11"/>
  <c r="AK16" i="11"/>
  <c r="AG16" i="11"/>
  <c r="AC16" i="11"/>
  <c r="Y16" i="11"/>
  <c r="U16" i="11"/>
  <c r="Q16" i="11"/>
  <c r="M16" i="11"/>
  <c r="I16" i="11"/>
  <c r="AZ15" i="11"/>
  <c r="AV15" i="11"/>
  <c r="AR15" i="11"/>
  <c r="AN15" i="11"/>
  <c r="AJ15" i="11"/>
  <c r="AF15" i="11"/>
  <c r="AB15" i="11"/>
  <c r="X15" i="11"/>
  <c r="T15" i="11"/>
  <c r="P15" i="11"/>
  <c r="L15" i="11"/>
  <c r="H15" i="11"/>
  <c r="BC14" i="11"/>
  <c r="AY14" i="11"/>
  <c r="AU14" i="11"/>
  <c r="AQ14" i="11"/>
  <c r="AM14" i="11"/>
  <c r="AI14" i="11"/>
  <c r="AE14" i="11"/>
  <c r="AA14" i="11"/>
  <c r="W14" i="11"/>
  <c r="S14" i="11"/>
  <c r="O14" i="11"/>
  <c r="K14" i="11"/>
  <c r="G14" i="11"/>
  <c r="BB13" i="11"/>
  <c r="AT13" i="11"/>
  <c r="AP13" i="11"/>
  <c r="AO62" i="11"/>
  <c r="AT79" i="11"/>
  <c r="BA3" i="11"/>
  <c r="AW3" i="11"/>
  <c r="AS3" i="11"/>
  <c r="AO3" i="11"/>
  <c r="AK3" i="11"/>
  <c r="AG3" i="11"/>
  <c r="AA3" i="11"/>
  <c r="W3" i="11"/>
  <c r="S3" i="11"/>
  <c r="O3" i="11"/>
  <c r="K3" i="11"/>
  <c r="AR80" i="11"/>
  <c r="AR76" i="11"/>
  <c r="AR72" i="11"/>
  <c r="AR68" i="11"/>
  <c r="AR64" i="11"/>
  <c r="AR60" i="11"/>
  <c r="AR56" i="11"/>
  <c r="AR52" i="11"/>
  <c r="AR48" i="11"/>
  <c r="AR44" i="11"/>
  <c r="AR40" i="11"/>
  <c r="AR36" i="11"/>
  <c r="AR32" i="11"/>
  <c r="BA29" i="11"/>
  <c r="AW29" i="11"/>
  <c r="AS29" i="11"/>
  <c r="AO29" i="11"/>
  <c r="AK29" i="11"/>
  <c r="AG29" i="11"/>
  <c r="AC29" i="11"/>
  <c r="Y29" i="11"/>
  <c r="U29" i="11"/>
  <c r="Q29" i="11"/>
  <c r="M29" i="11"/>
  <c r="I29" i="11"/>
  <c r="AZ28" i="11"/>
  <c r="AV28" i="11"/>
  <c r="AR28" i="11"/>
  <c r="AN28" i="11"/>
  <c r="AJ28" i="11"/>
  <c r="AF28" i="11"/>
  <c r="AB28" i="11"/>
  <c r="X28" i="11"/>
  <c r="T28" i="11"/>
  <c r="P28" i="11"/>
  <c r="L28" i="11"/>
  <c r="H28" i="11"/>
  <c r="BC27" i="11"/>
  <c r="AY27" i="11"/>
  <c r="AU27" i="11"/>
  <c r="AQ27" i="11"/>
  <c r="AM27" i="11"/>
  <c r="AI27" i="11"/>
  <c r="AE27" i="11"/>
  <c r="AA27" i="11"/>
  <c r="W27" i="11"/>
  <c r="S27" i="11"/>
  <c r="O27" i="11"/>
  <c r="K27" i="11"/>
  <c r="G27" i="11"/>
  <c r="BB26" i="11"/>
  <c r="AT26" i="11"/>
  <c r="AP26" i="11"/>
  <c r="AL26" i="11"/>
  <c r="AH26" i="11"/>
  <c r="AD26" i="11"/>
  <c r="Z26" i="11"/>
  <c r="V26" i="11"/>
  <c r="R26" i="11"/>
  <c r="N26" i="11"/>
  <c r="J26" i="11"/>
  <c r="BA25" i="11"/>
  <c r="AW25" i="11"/>
  <c r="AS25" i="11"/>
  <c r="AO25" i="11"/>
  <c r="AK25" i="11"/>
  <c r="AG25" i="11"/>
  <c r="AC25" i="11"/>
  <c r="Y25" i="11"/>
  <c r="U25" i="11"/>
  <c r="Q25" i="11"/>
  <c r="M25" i="11"/>
  <c r="I25" i="11"/>
  <c r="AZ24" i="11"/>
  <c r="AV24" i="11"/>
  <c r="AR24" i="11"/>
  <c r="AN24" i="11"/>
  <c r="AJ24" i="11"/>
  <c r="AF24" i="11"/>
  <c r="AB24" i="11"/>
  <c r="X24" i="11"/>
  <c r="T24" i="11"/>
  <c r="P24" i="11"/>
  <c r="L24" i="11"/>
  <c r="H24" i="11"/>
  <c r="BC23" i="11"/>
  <c r="AY23" i="11"/>
  <c r="AU23" i="11"/>
  <c r="AQ23" i="11"/>
  <c r="AM23" i="11"/>
  <c r="AI23" i="11"/>
  <c r="AE23" i="11"/>
  <c r="AA23" i="11"/>
  <c r="W23" i="11"/>
  <c r="S23" i="11"/>
  <c r="O23" i="11"/>
  <c r="K23" i="11"/>
  <c r="G23" i="11"/>
  <c r="BB22" i="11"/>
  <c r="AT22" i="11"/>
  <c r="AP22" i="11"/>
  <c r="AL22" i="11"/>
  <c r="AH22" i="11"/>
  <c r="AD22" i="11"/>
  <c r="Z22" i="11"/>
  <c r="V22" i="11"/>
  <c r="R22" i="11"/>
  <c r="N22" i="11"/>
  <c r="J22" i="11"/>
  <c r="BA21" i="11"/>
  <c r="AW21" i="11"/>
  <c r="AS21" i="11"/>
  <c r="AO21" i="11"/>
  <c r="AK21" i="11"/>
  <c r="AG21" i="11"/>
  <c r="AC21" i="11"/>
  <c r="Y21" i="11"/>
  <c r="U21" i="11"/>
  <c r="Q21" i="11"/>
  <c r="M21" i="11"/>
  <c r="I21" i="11"/>
  <c r="AZ20" i="11"/>
  <c r="AV20" i="11"/>
  <c r="AR20" i="11"/>
  <c r="AN20" i="11"/>
  <c r="AJ20" i="11"/>
  <c r="AF20" i="11"/>
  <c r="AB20" i="11"/>
  <c r="X20" i="11"/>
  <c r="T20" i="11"/>
  <c r="P20" i="11"/>
  <c r="L20" i="11"/>
  <c r="H20" i="11"/>
  <c r="BC19" i="11"/>
  <c r="AY19" i="11"/>
  <c r="AU19" i="11"/>
  <c r="AQ19" i="11"/>
  <c r="AM19" i="11"/>
  <c r="AI19" i="11"/>
  <c r="AE19" i="11"/>
  <c r="AA19" i="11"/>
  <c r="W19" i="11"/>
  <c r="S19" i="11"/>
  <c r="O19" i="11"/>
  <c r="K19" i="11"/>
  <c r="G19" i="11"/>
  <c r="BB18" i="11"/>
  <c r="AT18" i="11"/>
  <c r="AP18" i="11"/>
  <c r="AL18" i="11"/>
  <c r="AH18" i="11"/>
  <c r="AD18" i="11"/>
  <c r="Z18" i="11"/>
  <c r="V18" i="11"/>
  <c r="R18" i="11"/>
  <c r="N18" i="11"/>
  <c r="J18" i="11"/>
  <c r="BA17" i="11"/>
  <c r="AW17" i="11"/>
  <c r="AS17" i="11"/>
  <c r="AO17" i="11"/>
  <c r="AK17" i="11"/>
  <c r="AG17" i="11"/>
  <c r="AC17" i="11"/>
  <c r="Y17" i="11"/>
  <c r="U17" i="11"/>
  <c r="Q17" i="11"/>
  <c r="M17" i="11"/>
  <c r="I17" i="11"/>
  <c r="AZ16" i="11"/>
  <c r="AV16" i="11"/>
  <c r="AR16" i="11"/>
  <c r="AN16" i="11"/>
  <c r="AJ16" i="11"/>
  <c r="AF16" i="11"/>
  <c r="AB16" i="11"/>
  <c r="X16" i="11"/>
  <c r="T16" i="11"/>
  <c r="P16" i="11"/>
  <c r="L16" i="11"/>
  <c r="H16" i="11"/>
  <c r="BC15" i="11"/>
  <c r="AY15" i="11"/>
  <c r="AU15" i="11"/>
  <c r="AQ15" i="11"/>
  <c r="AM15" i="11"/>
  <c r="AI15" i="11"/>
  <c r="AE15" i="11"/>
  <c r="AA15" i="11"/>
  <c r="W15" i="11"/>
  <c r="S15" i="11"/>
  <c r="O15" i="11"/>
  <c r="K15" i="11"/>
  <c r="G15" i="11"/>
  <c r="BB14" i="11"/>
  <c r="AT14" i="11"/>
  <c r="AP14" i="11"/>
  <c r="AL14" i="11"/>
  <c r="AH14" i="11"/>
  <c r="AD14" i="11"/>
  <c r="Z14" i="11"/>
  <c r="V14" i="11"/>
  <c r="R14" i="11"/>
  <c r="N14" i="11"/>
  <c r="J14" i="11"/>
  <c r="BA13" i="11"/>
  <c r="AW13" i="11"/>
  <c r="AS13" i="11"/>
  <c r="AP48" i="11"/>
  <c r="AZ3" i="11"/>
  <c r="AV3" i="11"/>
  <c r="AR3" i="11"/>
  <c r="AN3" i="11"/>
  <c r="AJ3" i="11"/>
  <c r="AF3" i="11"/>
  <c r="Z3" i="11"/>
  <c r="V3" i="11"/>
  <c r="R3" i="11"/>
  <c r="N3" i="11"/>
  <c r="J3" i="11"/>
  <c r="AR81" i="11"/>
  <c r="AR77" i="11"/>
  <c r="AR73" i="11"/>
  <c r="AR69" i="11"/>
  <c r="AR65" i="11"/>
  <c r="AR61" i="11"/>
  <c r="AR57" i="11"/>
  <c r="AR53" i="11"/>
  <c r="AR49" i="11"/>
  <c r="AR45" i="11"/>
  <c r="AR41" i="11"/>
  <c r="AR37" i="11"/>
  <c r="AR33" i="11"/>
  <c r="AZ29" i="11"/>
  <c r="AV29" i="11"/>
  <c r="AR29" i="11"/>
  <c r="AN29" i="11"/>
  <c r="AJ29" i="11"/>
  <c r="AF29" i="11"/>
  <c r="AB29" i="11"/>
  <c r="X29" i="11"/>
  <c r="T29" i="11"/>
  <c r="P29" i="11"/>
  <c r="L29" i="11"/>
  <c r="H29" i="11"/>
  <c r="BC28" i="11"/>
  <c r="AY28" i="11"/>
  <c r="AU28" i="11"/>
  <c r="AQ28" i="11"/>
  <c r="AM28" i="11"/>
  <c r="AI28" i="11"/>
  <c r="AE28" i="11"/>
  <c r="AA28" i="11"/>
  <c r="W28" i="11"/>
  <c r="S28" i="11"/>
  <c r="O28" i="11"/>
  <c r="K28" i="11"/>
  <c r="G28" i="11"/>
  <c r="BB27" i="11"/>
  <c r="AT27" i="11"/>
  <c r="AP27" i="11"/>
  <c r="AL27" i="11"/>
  <c r="AH27" i="11"/>
  <c r="AD27" i="11"/>
  <c r="Z27" i="11"/>
  <c r="V27" i="11"/>
  <c r="R27" i="11"/>
  <c r="N27" i="11"/>
  <c r="J27" i="11"/>
  <c r="BA26" i="11"/>
  <c r="AW26" i="11"/>
  <c r="AS26" i="11"/>
  <c r="AO26" i="11"/>
  <c r="AK26" i="11"/>
  <c r="AG26" i="11"/>
  <c r="AC26" i="11"/>
  <c r="Y26" i="11"/>
  <c r="U26" i="11"/>
  <c r="Q26" i="11"/>
  <c r="M26" i="11"/>
  <c r="I26" i="11"/>
  <c r="AZ25" i="11"/>
  <c r="AV25" i="11"/>
  <c r="AR25" i="11"/>
  <c r="AN25" i="11"/>
  <c r="AJ25" i="11"/>
  <c r="AF25" i="11"/>
  <c r="AB25" i="11"/>
  <c r="X25" i="11"/>
  <c r="T25" i="11"/>
  <c r="P25" i="11"/>
  <c r="L25" i="11"/>
  <c r="H25" i="11"/>
  <c r="BC24" i="11"/>
  <c r="AY24" i="11"/>
  <c r="AU24" i="11"/>
  <c r="AQ24" i="11"/>
  <c r="AM24" i="11"/>
  <c r="AI24" i="11"/>
  <c r="AE24" i="11"/>
  <c r="AA24" i="11"/>
  <c r="W24" i="11"/>
  <c r="S24" i="11"/>
  <c r="O24" i="11"/>
  <c r="K24" i="11"/>
  <c r="G24" i="11"/>
  <c r="BB23" i="11"/>
  <c r="AT23" i="11"/>
  <c r="AP23" i="11"/>
  <c r="AL23" i="11"/>
  <c r="AH23" i="11"/>
  <c r="AD23" i="11"/>
  <c r="Z23" i="11"/>
  <c r="V23" i="11"/>
  <c r="R23" i="11"/>
  <c r="N23" i="11"/>
  <c r="J23" i="11"/>
  <c r="BA22" i="11"/>
  <c r="AW22" i="11"/>
  <c r="AS22" i="11"/>
  <c r="AO22" i="11"/>
  <c r="AK22" i="11"/>
  <c r="AG22" i="11"/>
  <c r="AC22" i="11"/>
  <c r="Y22" i="11"/>
  <c r="U22" i="11"/>
  <c r="Q22" i="11"/>
  <c r="M22" i="11"/>
  <c r="I22" i="11"/>
  <c r="AZ21" i="11"/>
  <c r="AV21" i="11"/>
  <c r="AR21" i="11"/>
  <c r="AN21" i="11"/>
  <c r="AJ21" i="11"/>
  <c r="AF21" i="11"/>
  <c r="AB21" i="11"/>
  <c r="X21" i="11"/>
  <c r="T21" i="11"/>
  <c r="P21" i="11"/>
  <c r="L21" i="11"/>
  <c r="H21" i="11"/>
  <c r="BC20" i="11"/>
  <c r="AY20" i="11"/>
  <c r="AU20" i="11"/>
  <c r="AQ20" i="11"/>
  <c r="AM20" i="11"/>
  <c r="AI20" i="11"/>
  <c r="AE20" i="11"/>
  <c r="AA20" i="11"/>
  <c r="W20" i="11"/>
  <c r="S20" i="11"/>
  <c r="O20" i="11"/>
  <c r="K20" i="11"/>
  <c r="G20" i="11"/>
  <c r="BB19" i="11"/>
  <c r="AT19" i="11"/>
  <c r="AP19" i="11"/>
  <c r="AL19" i="11"/>
  <c r="AH19" i="11"/>
  <c r="AD19" i="11"/>
  <c r="Z19" i="11"/>
  <c r="V19" i="11"/>
  <c r="R19" i="11"/>
  <c r="N19" i="11"/>
  <c r="J19" i="11"/>
  <c r="BA18" i="11"/>
  <c r="AW18" i="11"/>
  <c r="AS18" i="11"/>
  <c r="AO18" i="11"/>
  <c r="AK18" i="11"/>
  <c r="AG18" i="11"/>
  <c r="AC18" i="11"/>
  <c r="Y18" i="11"/>
  <c r="U18" i="11"/>
  <c r="Q18" i="11"/>
  <c r="M18" i="11"/>
  <c r="I18" i="11"/>
  <c r="AZ17" i="11"/>
  <c r="AV17" i="11"/>
  <c r="AR17" i="11"/>
  <c r="AN17" i="11"/>
  <c r="AJ17" i="11"/>
  <c r="AF17" i="11"/>
  <c r="AB17" i="11"/>
  <c r="X17" i="11"/>
  <c r="T17" i="11"/>
  <c r="P17" i="11"/>
  <c r="L17" i="11"/>
  <c r="H17" i="11"/>
  <c r="BC16" i="11"/>
  <c r="AY16" i="11"/>
  <c r="AU16" i="11"/>
  <c r="AQ16" i="11"/>
  <c r="AM16" i="11"/>
  <c r="AI16" i="11"/>
  <c r="AE16" i="11"/>
  <c r="AA16" i="11"/>
  <c r="W16" i="11"/>
  <c r="S16" i="11"/>
  <c r="O16" i="11"/>
  <c r="K16" i="11"/>
  <c r="G16" i="11"/>
  <c r="BB15" i="11"/>
  <c r="AT15" i="11"/>
  <c r="AP15" i="11"/>
  <c r="AL15" i="11"/>
  <c r="AH15" i="11"/>
  <c r="AD15" i="11"/>
  <c r="Z15" i="11"/>
  <c r="V15" i="11"/>
  <c r="R15" i="11"/>
  <c r="N15" i="11"/>
  <c r="BC3" i="11"/>
  <c r="AY3" i="11"/>
  <c r="AU3" i="11"/>
  <c r="AQ3" i="11"/>
  <c r="AM3" i="11"/>
  <c r="AI3" i="11"/>
  <c r="AC3" i="11"/>
  <c r="Y3" i="11"/>
  <c r="U3" i="11"/>
  <c r="Q3" i="11"/>
  <c r="M3" i="11"/>
  <c r="I3" i="11"/>
  <c r="G81" i="11"/>
  <c r="AR78" i="11"/>
  <c r="AR74" i="11"/>
  <c r="AR70" i="11"/>
  <c r="AR66" i="11"/>
  <c r="AR62" i="11"/>
  <c r="AR58" i="11"/>
  <c r="AR54" i="11"/>
  <c r="AR50" i="11"/>
  <c r="AR46" i="11"/>
  <c r="AR42" i="11"/>
  <c r="AR38" i="11"/>
  <c r="AR34" i="11"/>
  <c r="AR30" i="11"/>
  <c r="BC29" i="11"/>
  <c r="AY29" i="11"/>
  <c r="AU29" i="11"/>
  <c r="AQ29" i="11"/>
  <c r="AM29" i="11"/>
  <c r="AI29" i="11"/>
  <c r="AE29" i="11"/>
  <c r="AA29" i="11"/>
  <c r="W29" i="11"/>
  <c r="S29" i="11"/>
  <c r="O29" i="11"/>
  <c r="K29" i="11"/>
  <c r="G29" i="11"/>
  <c r="BB28" i="11"/>
  <c r="AT28" i="11"/>
  <c r="AP28" i="11"/>
  <c r="AL28" i="11"/>
  <c r="AH28" i="11"/>
  <c r="AD28" i="11"/>
  <c r="Z28" i="11"/>
  <c r="V28" i="11"/>
  <c r="R28" i="11"/>
  <c r="N28" i="11"/>
  <c r="J28" i="11"/>
  <c r="BA27" i="11"/>
  <c r="AW27" i="11"/>
  <c r="AS27" i="11"/>
  <c r="AO27" i="11"/>
  <c r="AK27" i="11"/>
  <c r="AG27" i="11"/>
  <c r="AC27" i="11"/>
  <c r="Y27" i="11"/>
  <c r="U27" i="11"/>
  <c r="Q27" i="11"/>
  <c r="M27" i="11"/>
  <c r="I27" i="11"/>
  <c r="AZ26" i="11"/>
  <c r="AV26" i="11"/>
  <c r="AR26" i="11"/>
  <c r="AN26" i="11"/>
  <c r="AJ26" i="11"/>
  <c r="AF26" i="11"/>
  <c r="AB26" i="11"/>
  <c r="X26" i="11"/>
  <c r="T26" i="11"/>
  <c r="P26" i="11"/>
  <c r="L26" i="11"/>
  <c r="H26" i="11"/>
  <c r="BC25" i="11"/>
  <c r="AY25" i="11"/>
  <c r="AU25" i="11"/>
  <c r="AQ25" i="11"/>
  <c r="AM25" i="11"/>
  <c r="AI25" i="11"/>
  <c r="AE25" i="11"/>
  <c r="AA25" i="11"/>
  <c r="W25" i="11"/>
  <c r="S25" i="11"/>
  <c r="O25" i="11"/>
  <c r="K25" i="11"/>
  <c r="G25" i="11"/>
  <c r="BB24" i="11"/>
  <c r="AT24" i="11"/>
  <c r="AP24" i="11"/>
  <c r="AL24" i="11"/>
  <c r="AH24" i="11"/>
  <c r="AD24" i="11"/>
  <c r="Z24" i="11"/>
  <c r="V24" i="11"/>
  <c r="R24" i="11"/>
  <c r="N24" i="11"/>
  <c r="J24" i="11"/>
  <c r="BA23" i="11"/>
  <c r="AW23" i="11"/>
  <c r="AS23" i="11"/>
  <c r="AO23" i="11"/>
  <c r="AK23" i="11"/>
  <c r="AG23" i="11"/>
  <c r="AC23" i="11"/>
  <c r="Y23" i="11"/>
  <c r="U23" i="11"/>
  <c r="Q23" i="11"/>
  <c r="M23" i="11"/>
  <c r="I23" i="11"/>
  <c r="AZ22" i="11"/>
  <c r="AV22" i="11"/>
  <c r="AR22" i="11"/>
  <c r="AN22" i="11"/>
  <c r="AJ22" i="11"/>
  <c r="AF22" i="11"/>
  <c r="AB22" i="11"/>
  <c r="X22" i="11"/>
  <c r="T22" i="11"/>
  <c r="P22" i="11"/>
  <c r="L22" i="11"/>
  <c r="H22" i="11"/>
  <c r="BC21" i="11"/>
  <c r="AY21" i="11"/>
  <c r="AU21" i="11"/>
  <c r="AQ21" i="11"/>
  <c r="AM21" i="11"/>
  <c r="AI21" i="11"/>
  <c r="AE21" i="11"/>
  <c r="AA21" i="11"/>
  <c r="W21" i="11"/>
  <c r="S21" i="11"/>
  <c r="O21" i="11"/>
  <c r="K21" i="11"/>
  <c r="G21" i="11"/>
  <c r="BB20" i="11"/>
  <c r="AT20" i="11"/>
  <c r="AP20" i="11"/>
  <c r="AL20" i="11"/>
  <c r="AH20" i="11"/>
  <c r="AD20" i="11"/>
  <c r="Z20" i="11"/>
  <c r="V20" i="11"/>
  <c r="R20" i="11"/>
  <c r="N20" i="11"/>
  <c r="J20" i="11"/>
  <c r="BA19" i="11"/>
  <c r="AW19" i="11"/>
  <c r="AS19" i="11"/>
  <c r="AO19" i="11"/>
  <c r="AK19" i="11"/>
  <c r="AG19" i="11"/>
  <c r="AC19" i="11"/>
  <c r="Y19" i="11"/>
  <c r="U19" i="11"/>
  <c r="Q19" i="11"/>
  <c r="M19" i="11"/>
  <c r="I19" i="11"/>
  <c r="AZ18" i="11"/>
  <c r="AV18" i="11"/>
  <c r="AR18" i="11"/>
  <c r="AN18" i="11"/>
  <c r="AJ18" i="11"/>
  <c r="AF18" i="11"/>
  <c r="AB18" i="11"/>
  <c r="X18" i="11"/>
  <c r="T18" i="11"/>
  <c r="P18" i="11"/>
  <c r="L18" i="11"/>
  <c r="H18" i="11"/>
  <c r="BC17" i="11"/>
  <c r="AY17" i="11"/>
  <c r="AU17" i="11"/>
  <c r="AQ17" i="11"/>
  <c r="AM17" i="11"/>
  <c r="AI17" i="11"/>
  <c r="AE17" i="11"/>
  <c r="AA17" i="11"/>
  <c r="W17" i="11"/>
  <c r="S17" i="11"/>
  <c r="O17" i="11"/>
  <c r="K17" i="11"/>
  <c r="G17" i="11"/>
  <c r="BB16" i="11"/>
  <c r="AT16" i="11"/>
  <c r="AP16" i="11"/>
  <c r="AL16" i="11"/>
  <c r="AH16" i="11"/>
  <c r="AD16" i="11"/>
  <c r="Z16" i="11"/>
  <c r="V16" i="11"/>
  <c r="R16" i="11"/>
  <c r="N16" i="11"/>
  <c r="J16" i="11"/>
  <c r="BA15" i="11"/>
  <c r="AW15" i="11"/>
  <c r="AS15" i="11"/>
  <c r="AO15" i="11"/>
  <c r="AK15" i="11"/>
  <c r="AG15" i="11"/>
  <c r="AC15" i="11"/>
  <c r="Y15" i="11"/>
  <c r="U15" i="11"/>
  <c r="Q15" i="11"/>
  <c r="M15" i="11"/>
  <c r="I15" i="11"/>
  <c r="AZ14" i="11"/>
  <c r="AV14" i="11"/>
  <c r="AR14" i="11"/>
  <c r="AN14" i="11"/>
  <c r="AJ14" i="11"/>
  <c r="AF14" i="11"/>
  <c r="AB14" i="11"/>
  <c r="X14" i="11"/>
  <c r="T14" i="11"/>
  <c r="P14" i="11"/>
  <c r="L14" i="11"/>
  <c r="H14" i="11"/>
  <c r="BC13" i="11"/>
  <c r="AY13" i="11"/>
  <c r="AU13" i="11"/>
  <c r="AQ13" i="11"/>
  <c r="AM13" i="11"/>
  <c r="AI13" i="11"/>
  <c r="AE13" i="11"/>
  <c r="AA13" i="11"/>
  <c r="W13" i="11"/>
  <c r="S13" i="11"/>
  <c r="O13" i="11"/>
  <c r="K13" i="11"/>
  <c r="G13" i="11"/>
  <c r="BB12" i="11"/>
  <c r="AT12" i="11"/>
  <c r="AP12" i="11"/>
  <c r="AL12" i="11"/>
  <c r="AH12" i="11"/>
  <c r="AD12" i="11"/>
  <c r="Z12" i="11"/>
  <c r="V12" i="11"/>
  <c r="R12" i="11"/>
  <c r="N12" i="11"/>
  <c r="J12" i="11"/>
  <c r="BA11" i="11"/>
  <c r="AW11" i="11"/>
  <c r="AS11" i="11"/>
  <c r="AO11" i="11"/>
  <c r="AK11" i="11"/>
  <c r="AG11" i="11"/>
  <c r="AC11" i="11"/>
  <c r="Y11" i="11"/>
  <c r="U11" i="11"/>
  <c r="Q11" i="11"/>
  <c r="M11" i="11"/>
  <c r="I11" i="11"/>
  <c r="AZ10" i="11"/>
  <c r="AV10" i="11"/>
  <c r="AR10" i="11"/>
  <c r="AN10" i="11"/>
  <c r="AJ10" i="11"/>
  <c r="AF10" i="11"/>
  <c r="AB10" i="11"/>
  <c r="X10" i="11"/>
  <c r="T10" i="11"/>
  <c r="P10" i="11"/>
  <c r="L10" i="11"/>
  <c r="H10" i="11"/>
  <c r="BC9" i="11"/>
  <c r="AY9" i="11"/>
  <c r="AU9" i="11"/>
  <c r="AQ9" i="11"/>
  <c r="AM9" i="11"/>
  <c r="AI9" i="11"/>
  <c r="AE9" i="11"/>
  <c r="AA9" i="11"/>
  <c r="W9" i="11"/>
  <c r="S9" i="11"/>
  <c r="O9" i="11"/>
  <c r="K9" i="11"/>
  <c r="G9" i="11"/>
  <c r="BB8" i="11"/>
  <c r="AT8" i="11"/>
  <c r="AP8" i="11"/>
  <c r="AL8" i="11"/>
  <c r="AH8" i="11"/>
  <c r="AD8" i="11"/>
  <c r="Z8" i="11"/>
  <c r="V8" i="11"/>
  <c r="R8" i="11"/>
  <c r="N8" i="11"/>
  <c r="J8" i="11"/>
  <c r="BA7" i="11"/>
  <c r="AW7" i="11"/>
  <c r="AS7" i="11"/>
  <c r="AO7" i="11"/>
  <c r="AK7" i="11"/>
  <c r="AG7" i="11"/>
  <c r="AC7" i="11"/>
  <c r="Y7" i="11"/>
  <c r="U7" i="11"/>
  <c r="Q7" i="11"/>
  <c r="M7" i="11"/>
  <c r="I7" i="11"/>
  <c r="AZ6" i="11"/>
  <c r="AV6" i="11"/>
  <c r="AR6" i="11"/>
  <c r="AN6" i="11"/>
  <c r="AJ6" i="11"/>
  <c r="AF6" i="11"/>
  <c r="AB6" i="11"/>
  <c r="X6" i="11"/>
  <c r="T6" i="11"/>
  <c r="P6" i="11"/>
  <c r="L6" i="11"/>
  <c r="H6" i="11"/>
  <c r="BC5" i="11"/>
  <c r="AY5" i="11"/>
  <c r="AU5" i="11"/>
  <c r="AQ5" i="11"/>
  <c r="AM5" i="11"/>
  <c r="AI5" i="11"/>
  <c r="AE5" i="11"/>
  <c r="AA5" i="11"/>
  <c r="W5" i="11"/>
  <c r="S5" i="11"/>
  <c r="O5" i="11"/>
  <c r="K5" i="11"/>
  <c r="G5" i="11"/>
  <c r="BB4" i="11"/>
  <c r="AT4" i="11"/>
  <c r="AP4" i="11"/>
  <c r="AL4" i="11"/>
  <c r="AH4" i="11"/>
  <c r="AD4" i="11"/>
  <c r="Z4" i="11"/>
  <c r="V4" i="11"/>
  <c r="R4" i="11"/>
  <c r="N4" i="11"/>
  <c r="J4" i="11"/>
  <c r="AW14" i="11"/>
  <c r="AG14" i="11"/>
  <c r="AL13" i="11"/>
  <c r="AH13" i="11"/>
  <c r="AD13" i="11"/>
  <c r="Z13" i="11"/>
  <c r="V13" i="11"/>
  <c r="R13" i="11"/>
  <c r="N13" i="11"/>
  <c r="J13" i="11"/>
  <c r="BA12" i="11"/>
  <c r="AW12" i="11"/>
  <c r="AS12" i="11"/>
  <c r="AO12" i="11"/>
  <c r="AK12" i="11"/>
  <c r="AG12" i="11"/>
  <c r="AC12" i="11"/>
  <c r="Y12" i="11"/>
  <c r="U12" i="11"/>
  <c r="Q12" i="11"/>
  <c r="M12" i="11"/>
  <c r="I12" i="11"/>
  <c r="AZ11" i="11"/>
  <c r="AV11" i="11"/>
  <c r="AR11" i="11"/>
  <c r="AN11" i="11"/>
  <c r="AJ11" i="11"/>
  <c r="AF11" i="11"/>
  <c r="AB11" i="11"/>
  <c r="X11" i="11"/>
  <c r="T11" i="11"/>
  <c r="P11" i="11"/>
  <c r="L11" i="11"/>
  <c r="BC10" i="11"/>
  <c r="AY10" i="11"/>
  <c r="AU10" i="11"/>
  <c r="AQ10" i="11"/>
  <c r="AM10" i="11"/>
  <c r="AI10" i="11"/>
  <c r="AE10" i="11"/>
  <c r="AA10" i="11"/>
  <c r="W10" i="11"/>
  <c r="S10" i="11"/>
  <c r="O10" i="11"/>
  <c r="K10" i="11"/>
  <c r="G10" i="11"/>
  <c r="BB9" i="11"/>
  <c r="AT9" i="11"/>
  <c r="AP9" i="11"/>
  <c r="AL9" i="11"/>
  <c r="AH9" i="11"/>
  <c r="AD9" i="11"/>
  <c r="Z9" i="11"/>
  <c r="V9" i="11"/>
  <c r="R9" i="11"/>
  <c r="N9" i="11"/>
  <c r="J9" i="11"/>
  <c r="BA8" i="11"/>
  <c r="AW8" i="11"/>
  <c r="AS8" i="11"/>
  <c r="AO8" i="11"/>
  <c r="AK8" i="11"/>
  <c r="AG8" i="11"/>
  <c r="AC8" i="11"/>
  <c r="Y8" i="11"/>
  <c r="U8" i="11"/>
  <c r="Q8" i="11"/>
  <c r="M8" i="11"/>
  <c r="I8" i="11"/>
  <c r="AZ7" i="11"/>
  <c r="AV7" i="11"/>
  <c r="AR7" i="11"/>
  <c r="AN7" i="11"/>
  <c r="AJ7" i="11"/>
  <c r="AF7" i="11"/>
  <c r="AB7" i="11"/>
  <c r="X7" i="11"/>
  <c r="T7" i="11"/>
  <c r="P7" i="11"/>
  <c r="L7" i="11"/>
  <c r="H7" i="11"/>
  <c r="BC6" i="11"/>
  <c r="AY6" i="11"/>
  <c r="AU6" i="11"/>
  <c r="AQ6" i="11"/>
  <c r="AM6" i="11"/>
  <c r="AI6" i="11"/>
  <c r="AE6" i="11"/>
  <c r="AA6" i="11"/>
  <c r="W6" i="11"/>
  <c r="S6" i="11"/>
  <c r="O6" i="11"/>
  <c r="K6" i="11"/>
  <c r="G6" i="11"/>
  <c r="BB5" i="11"/>
  <c r="AT5" i="11"/>
  <c r="AP5" i="11"/>
  <c r="AL5" i="11"/>
  <c r="AH5" i="11"/>
  <c r="AD5" i="11"/>
  <c r="Z5" i="11"/>
  <c r="V5" i="11"/>
  <c r="R5" i="11"/>
  <c r="N5" i="11"/>
  <c r="J5" i="11"/>
  <c r="BA4" i="11"/>
  <c r="AW4" i="11"/>
  <c r="AS4" i="11"/>
  <c r="AO4" i="11"/>
  <c r="AK4" i="11"/>
  <c r="AG4" i="11"/>
  <c r="AC4" i="11"/>
  <c r="Y4" i="11"/>
  <c r="U4" i="11"/>
  <c r="Q4" i="11"/>
  <c r="M4" i="11"/>
  <c r="I4" i="11"/>
  <c r="AS14" i="11"/>
  <c r="AC14" i="11"/>
  <c r="AO13" i="11"/>
  <c r="AK13" i="11"/>
  <c r="AG13" i="11"/>
  <c r="AC13" i="11"/>
  <c r="Y13" i="11"/>
  <c r="U13" i="11"/>
  <c r="Q13" i="11"/>
  <c r="M13" i="11"/>
  <c r="I13" i="11"/>
  <c r="AZ12" i="11"/>
  <c r="AV12" i="11"/>
  <c r="AR12" i="11"/>
  <c r="AN12" i="11"/>
  <c r="AJ12" i="11"/>
  <c r="AF12" i="11"/>
  <c r="AB12" i="11"/>
  <c r="X12" i="11"/>
  <c r="T12" i="11"/>
  <c r="P12" i="11"/>
  <c r="L12" i="11"/>
  <c r="H12" i="11"/>
  <c r="BC11" i="11"/>
  <c r="AY11" i="11"/>
  <c r="AU11" i="11"/>
  <c r="AQ11" i="11"/>
  <c r="AM11" i="11"/>
  <c r="AI11" i="11"/>
  <c r="AE11" i="11"/>
  <c r="AA11" i="11"/>
  <c r="W11" i="11"/>
  <c r="S11" i="11"/>
  <c r="O11" i="11"/>
  <c r="K11" i="11"/>
  <c r="G11" i="11"/>
  <c r="BB10" i="11"/>
  <c r="AT10" i="11"/>
  <c r="AP10" i="11"/>
  <c r="AL10" i="11"/>
  <c r="AH10" i="11"/>
  <c r="AD10" i="11"/>
  <c r="Z10" i="11"/>
  <c r="V10" i="11"/>
  <c r="R10" i="11"/>
  <c r="N10" i="11"/>
  <c r="J10" i="11"/>
  <c r="BA9" i="11"/>
  <c r="AW9" i="11"/>
  <c r="AS9" i="11"/>
  <c r="AO9" i="11"/>
  <c r="AK9" i="11"/>
  <c r="AG9" i="11"/>
  <c r="AC9" i="11"/>
  <c r="Y9" i="11"/>
  <c r="U9" i="11"/>
  <c r="Q9" i="11"/>
  <c r="M9" i="11"/>
  <c r="I9" i="11"/>
  <c r="AZ8" i="11"/>
  <c r="AV8" i="11"/>
  <c r="AR8" i="11"/>
  <c r="AN8" i="11"/>
  <c r="AJ8" i="11"/>
  <c r="AF8" i="11"/>
  <c r="AB8" i="11"/>
  <c r="X8" i="11"/>
  <c r="T8" i="11"/>
  <c r="P8" i="11"/>
  <c r="L8" i="11"/>
  <c r="H8" i="11"/>
  <c r="BC7" i="11"/>
  <c r="AY7" i="11"/>
  <c r="AU7" i="11"/>
  <c r="AQ7" i="11"/>
  <c r="AM7" i="11"/>
  <c r="AI7" i="11"/>
  <c r="AE7" i="11"/>
  <c r="AA7" i="11"/>
  <c r="W7" i="11"/>
  <c r="S7" i="11"/>
  <c r="O7" i="11"/>
  <c r="K7" i="11"/>
  <c r="G7" i="11"/>
  <c r="BB6" i="11"/>
  <c r="AT6" i="11"/>
  <c r="AP6" i="11"/>
  <c r="AL6" i="11"/>
  <c r="AH6" i="11"/>
  <c r="AD6" i="11"/>
  <c r="Z6" i="11"/>
  <c r="V6" i="11"/>
  <c r="R6" i="11"/>
  <c r="N6" i="11"/>
  <c r="J6" i="11"/>
  <c r="BA5" i="11"/>
  <c r="AW5" i="11"/>
  <c r="AS5" i="11"/>
  <c r="AO5" i="11"/>
  <c r="AK5" i="11"/>
  <c r="AG5" i="11"/>
  <c r="AC5" i="11"/>
  <c r="Y5" i="11"/>
  <c r="U5" i="11"/>
  <c r="Q5" i="11"/>
  <c r="M5" i="11"/>
  <c r="I5" i="11"/>
  <c r="AZ4" i="11"/>
  <c r="AV4" i="11"/>
  <c r="AR4" i="11"/>
  <c r="AN4" i="11"/>
  <c r="AJ4" i="11"/>
  <c r="AF4" i="11"/>
  <c r="AB4" i="11"/>
  <c r="X4" i="11"/>
  <c r="T4" i="11"/>
  <c r="P4" i="11"/>
  <c r="L4" i="11"/>
  <c r="H4" i="11"/>
  <c r="AO14" i="11"/>
  <c r="Y14" i="11"/>
  <c r="U14" i="11"/>
  <c r="Q14" i="11"/>
  <c r="M14" i="11"/>
  <c r="I14" i="11"/>
  <c r="AZ13" i="11"/>
  <c r="AV13" i="11"/>
  <c r="AR13" i="11"/>
  <c r="AN13" i="11"/>
  <c r="AJ13" i="11"/>
  <c r="AF13" i="11"/>
  <c r="AB13" i="11"/>
  <c r="X13" i="11"/>
  <c r="T13" i="11"/>
  <c r="P13" i="11"/>
  <c r="L13" i="11"/>
  <c r="H13" i="11"/>
  <c r="BC12" i="11"/>
  <c r="AY12" i="11"/>
  <c r="AU12" i="11"/>
  <c r="AQ12" i="11"/>
  <c r="AM12" i="11"/>
  <c r="AI12" i="11"/>
  <c r="AE12" i="11"/>
  <c r="AA12" i="11"/>
  <c r="W12" i="11"/>
  <c r="S12" i="11"/>
  <c r="O12" i="11"/>
  <c r="K12" i="11"/>
  <c r="G12" i="11"/>
  <c r="BB11" i="11"/>
  <c r="AT11" i="11"/>
  <c r="AP11" i="11"/>
  <c r="AL11" i="11"/>
  <c r="AH11" i="11"/>
  <c r="AD11" i="11"/>
  <c r="Z11" i="11"/>
  <c r="V11" i="11"/>
  <c r="R11" i="11"/>
  <c r="N11" i="11"/>
  <c r="J11" i="11"/>
  <c r="BA10" i="11"/>
  <c r="AW10" i="11"/>
  <c r="AS10" i="11"/>
  <c r="AO10" i="11"/>
  <c r="AK10" i="11"/>
  <c r="AG10" i="11"/>
  <c r="AC10" i="11"/>
  <c r="Y10" i="11"/>
  <c r="U10" i="11"/>
  <c r="Q10" i="11"/>
  <c r="M10" i="11"/>
  <c r="I10" i="11"/>
  <c r="AZ9" i="11"/>
  <c r="AV9" i="11"/>
  <c r="AR9" i="11"/>
  <c r="AN9" i="11"/>
  <c r="AJ9" i="11"/>
  <c r="AF9" i="11"/>
  <c r="AB9" i="11"/>
  <c r="X9" i="11"/>
  <c r="T9" i="11"/>
  <c r="P9" i="11"/>
  <c r="L9" i="11"/>
  <c r="H9" i="11"/>
  <c r="BC8" i="11"/>
  <c r="AY8" i="11"/>
  <c r="AU8" i="11"/>
  <c r="AQ8" i="11"/>
  <c r="AM8" i="11"/>
  <c r="AI8" i="11"/>
  <c r="AE8" i="11"/>
  <c r="AA8" i="11"/>
  <c r="W8" i="11"/>
  <c r="S8" i="11"/>
  <c r="O8" i="11"/>
  <c r="K8" i="11"/>
  <c r="G8" i="11"/>
  <c r="BB7" i="11"/>
  <c r="AT7" i="11"/>
  <c r="AP7" i="11"/>
  <c r="AL7" i="11"/>
  <c r="AH7" i="11"/>
  <c r="AD7" i="11"/>
  <c r="Z7" i="11"/>
  <c r="V7" i="11"/>
  <c r="R7" i="11"/>
  <c r="N7" i="11"/>
  <c r="J7" i="11"/>
  <c r="BA6" i="11"/>
  <c r="AW6" i="11"/>
  <c r="AS6" i="11"/>
  <c r="AO6" i="11"/>
  <c r="AK6" i="11"/>
  <c r="AG6" i="11"/>
  <c r="AC6" i="11"/>
  <c r="Y6" i="11"/>
  <c r="U6" i="11"/>
  <c r="Q6" i="11"/>
  <c r="M6" i="11"/>
  <c r="I6" i="11"/>
  <c r="AZ5" i="11"/>
  <c r="AV5" i="11"/>
  <c r="AR5" i="11"/>
  <c r="AN5" i="11"/>
  <c r="AJ5" i="11"/>
  <c r="AF5" i="11"/>
  <c r="AB5" i="11"/>
  <c r="X5" i="11"/>
  <c r="T5" i="11"/>
  <c r="P5" i="11"/>
  <c r="L5" i="11"/>
  <c r="H5" i="11"/>
  <c r="BC4" i="11"/>
  <c r="AY4" i="11"/>
  <c r="AU4" i="11"/>
  <c r="AQ4" i="11"/>
  <c r="AM4" i="11"/>
  <c r="AI4" i="11"/>
  <c r="AE4" i="11"/>
  <c r="AA4" i="11"/>
  <c r="W4" i="11"/>
  <c r="S4" i="11"/>
  <c r="O4" i="11"/>
  <c r="K4" i="11"/>
  <c r="J15" i="11"/>
  <c r="BA14" i="11"/>
  <c r="AK14" i="11"/>
  <c r="K52" i="12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A49" i="12"/>
  <c r="M76" i="11"/>
  <c r="I76" i="11"/>
  <c r="AP75" i="11"/>
  <c r="AP72" i="11"/>
  <c r="AO67" i="11"/>
  <c r="N67" i="11"/>
  <c r="J67" i="11"/>
  <c r="AQ66" i="11"/>
  <c r="T54" i="11"/>
  <c r="P54" i="11"/>
  <c r="L54" i="11"/>
  <c r="H54" i="11"/>
  <c r="AP52" i="11"/>
  <c r="T52" i="11"/>
  <c r="P52" i="11"/>
  <c r="L52" i="11"/>
  <c r="H52" i="11"/>
  <c r="AQ42" i="11"/>
  <c r="Z42" i="11"/>
  <c r="V42" i="11"/>
  <c r="R42" i="11"/>
  <c r="N42" i="11"/>
  <c r="J42" i="11"/>
  <c r="AQ41" i="11"/>
  <c r="AO32" i="11"/>
  <c r="AP80" i="11"/>
  <c r="K74" i="11"/>
  <c r="G74" i="11"/>
  <c r="O70" i="11"/>
  <c r="K70" i="11"/>
  <c r="G70" i="11"/>
  <c r="O66" i="11"/>
  <c r="K66" i="11"/>
  <c r="G66" i="11"/>
  <c r="AN64" i="11"/>
  <c r="Q64" i="11"/>
  <c r="M64" i="11"/>
  <c r="I64" i="11"/>
  <c r="T56" i="11"/>
  <c r="P56" i="11"/>
  <c r="L56" i="11"/>
  <c r="H56" i="11"/>
  <c r="AB44" i="11"/>
  <c r="X44" i="11"/>
  <c r="T44" i="11"/>
  <c r="P44" i="11"/>
  <c r="L44" i="11"/>
  <c r="H44" i="11"/>
  <c r="AT49" i="11"/>
  <c r="AT47" i="11"/>
  <c r="AT43" i="11"/>
  <c r="AT41" i="11"/>
  <c r="AT37" i="11"/>
  <c r="AT35" i="11"/>
  <c r="AT33" i="11"/>
  <c r="AT31" i="11"/>
  <c r="AO80" i="11"/>
  <c r="I80" i="11"/>
  <c r="AP79" i="11"/>
  <c r="AQ78" i="11"/>
  <c r="G78" i="11"/>
  <c r="H77" i="11"/>
  <c r="M72" i="11"/>
  <c r="I72" i="11"/>
  <c r="N71" i="11"/>
  <c r="J71" i="11"/>
  <c r="P69" i="11"/>
  <c r="L69" i="11"/>
  <c r="H69" i="11"/>
  <c r="AQ68" i="11"/>
  <c r="M68" i="11"/>
  <c r="I68" i="11"/>
  <c r="AP67" i="11"/>
  <c r="P65" i="11"/>
  <c r="L65" i="11"/>
  <c r="H65" i="11"/>
  <c r="AB36" i="11"/>
  <c r="X36" i="11"/>
  <c r="T36" i="11"/>
  <c r="P36" i="11"/>
  <c r="L36" i="11"/>
  <c r="H36" i="11"/>
  <c r="AP76" i="11"/>
  <c r="J75" i="11"/>
  <c r="AQ74" i="11"/>
  <c r="L73" i="11"/>
  <c r="H73" i="11"/>
  <c r="AP63" i="11"/>
  <c r="N63" i="11"/>
  <c r="J63" i="11"/>
  <c r="AO61" i="11"/>
  <c r="P61" i="11"/>
  <c r="L61" i="11"/>
  <c r="H61" i="11"/>
  <c r="R59" i="11"/>
  <c r="N59" i="11"/>
  <c r="J59" i="11"/>
  <c r="T57" i="11"/>
  <c r="P57" i="11"/>
  <c r="L57" i="11"/>
  <c r="H57" i="11"/>
  <c r="U53" i="11"/>
  <c r="Q53" i="11"/>
  <c r="M53" i="11"/>
  <c r="H80" i="11"/>
  <c r="I79" i="11"/>
  <c r="J78" i="11"/>
  <c r="K77" i="11"/>
  <c r="G77" i="11"/>
  <c r="L76" i="11"/>
  <c r="H76" i="11"/>
  <c r="M75" i="11"/>
  <c r="I75" i="11"/>
  <c r="J74" i="11"/>
  <c r="K73" i="11"/>
  <c r="G73" i="11"/>
  <c r="L72" i="11"/>
  <c r="H72" i="11"/>
  <c r="M71" i="11"/>
  <c r="I71" i="11"/>
  <c r="N70" i="11"/>
  <c r="J70" i="11"/>
  <c r="O69" i="11"/>
  <c r="K69" i="11"/>
  <c r="G69" i="11"/>
  <c r="P68" i="11"/>
  <c r="L68" i="11"/>
  <c r="H68" i="11"/>
  <c r="Q67" i="11"/>
  <c r="M67" i="11"/>
  <c r="I67" i="11"/>
  <c r="N66" i="11"/>
  <c r="J66" i="11"/>
  <c r="O65" i="11"/>
  <c r="K65" i="11"/>
  <c r="G65" i="11"/>
  <c r="AO64" i="11"/>
  <c r="P64" i="11"/>
  <c r="L64" i="11"/>
  <c r="H64" i="11"/>
  <c r="Q63" i="11"/>
  <c r="M63" i="11"/>
  <c r="I63" i="11"/>
  <c r="P62" i="11"/>
  <c r="L62" i="11"/>
  <c r="H62" i="11"/>
  <c r="AP61" i="11"/>
  <c r="O61" i="11"/>
  <c r="K61" i="11"/>
  <c r="G61" i="11"/>
  <c r="AO60" i="11"/>
  <c r="R60" i="11"/>
  <c r="N60" i="11"/>
  <c r="J60" i="11"/>
  <c r="Q59" i="11"/>
  <c r="M59" i="11"/>
  <c r="I59" i="11"/>
  <c r="AQ58" i="11"/>
  <c r="P58" i="11"/>
  <c r="L58" i="11"/>
  <c r="H58" i="11"/>
  <c r="S57" i="11"/>
  <c r="O57" i="11"/>
  <c r="K57" i="11"/>
  <c r="G57" i="11"/>
  <c r="W55" i="11"/>
  <c r="S55" i="11"/>
  <c r="O55" i="11"/>
  <c r="K55" i="11"/>
  <c r="G55" i="11"/>
  <c r="W54" i="11"/>
  <c r="S54" i="11"/>
  <c r="O54" i="11"/>
  <c r="K54" i="11"/>
  <c r="G54" i="11"/>
  <c r="AO53" i="11"/>
  <c r="T53" i="11"/>
  <c r="P53" i="11"/>
  <c r="L53" i="11"/>
  <c r="AP50" i="11"/>
  <c r="AP46" i="11"/>
  <c r="AP45" i="11"/>
  <c r="AA45" i="11"/>
  <c r="W45" i="11"/>
  <c r="S45" i="11"/>
  <c r="O45" i="11"/>
  <c r="K45" i="11"/>
  <c r="G45" i="11"/>
  <c r="AB40" i="11"/>
  <c r="X40" i="11"/>
  <c r="T40" i="11"/>
  <c r="P40" i="11"/>
  <c r="L40" i="11"/>
  <c r="H40" i="11"/>
  <c r="AA37" i="11"/>
  <c r="W37" i="11"/>
  <c r="S37" i="11"/>
  <c r="O37" i="11"/>
  <c r="K37" i="11"/>
  <c r="G37" i="11"/>
  <c r="AP34" i="11"/>
  <c r="AE33" i="11"/>
  <c r="AA33" i="11"/>
  <c r="W33" i="11"/>
  <c r="S33" i="11"/>
  <c r="O33" i="11"/>
  <c r="K33" i="11"/>
  <c r="G33" i="11"/>
  <c r="AT81" i="11"/>
  <c r="AT77" i="11"/>
  <c r="AT75" i="11"/>
  <c r="AT73" i="11"/>
  <c r="AT71" i="11"/>
  <c r="AT69" i="11"/>
  <c r="AT67" i="11"/>
  <c r="AT65" i="11"/>
  <c r="AT61" i="11"/>
  <c r="AT59" i="11"/>
  <c r="AT57" i="11"/>
  <c r="AT55" i="11"/>
  <c r="AT53" i="11"/>
  <c r="AR51" i="11"/>
  <c r="G80" i="11"/>
  <c r="H79" i="11"/>
  <c r="I78" i="11"/>
  <c r="J77" i="11"/>
  <c r="K76" i="11"/>
  <c r="G76" i="11"/>
  <c r="L75" i="11"/>
  <c r="H75" i="11"/>
  <c r="M74" i="11"/>
  <c r="I74" i="11"/>
  <c r="AQ73" i="11"/>
  <c r="J73" i="11"/>
  <c r="AQ72" i="11"/>
  <c r="K72" i="11"/>
  <c r="G72" i="11"/>
  <c r="L71" i="11"/>
  <c r="H71" i="11"/>
  <c r="M70" i="11"/>
  <c r="I70" i="11"/>
  <c r="N69" i="11"/>
  <c r="J69" i="11"/>
  <c r="O68" i="11"/>
  <c r="K68" i="11"/>
  <c r="G68" i="11"/>
  <c r="P67" i="11"/>
  <c r="L67" i="11"/>
  <c r="H67" i="11"/>
  <c r="Q66" i="11"/>
  <c r="M66" i="11"/>
  <c r="I66" i="11"/>
  <c r="N65" i="11"/>
  <c r="J65" i="11"/>
  <c r="AP64" i="11"/>
  <c r="O64" i="11"/>
  <c r="K64" i="11"/>
  <c r="G64" i="11"/>
  <c r="P63" i="11"/>
  <c r="L63" i="11"/>
  <c r="H63" i="11"/>
  <c r="O62" i="11"/>
  <c r="K62" i="11"/>
  <c r="G62" i="11"/>
  <c r="AP60" i="11"/>
  <c r="Q60" i="11"/>
  <c r="M60" i="11"/>
  <c r="I60" i="11"/>
  <c r="S58" i="11"/>
  <c r="O58" i="11"/>
  <c r="K58" i="11"/>
  <c r="G58" i="11"/>
  <c r="AO56" i="11"/>
  <c r="R56" i="11"/>
  <c r="N56" i="11"/>
  <c r="J56" i="11"/>
  <c r="AQ55" i="11"/>
  <c r="V55" i="11"/>
  <c r="R55" i="11"/>
  <c r="N55" i="11"/>
  <c r="J55" i="11"/>
  <c r="V54" i="11"/>
  <c r="R54" i="11"/>
  <c r="N54" i="11"/>
  <c r="J54" i="11"/>
  <c r="W53" i="11"/>
  <c r="S53" i="11"/>
  <c r="O53" i="11"/>
  <c r="K53" i="11"/>
  <c r="G53" i="11"/>
  <c r="U51" i="11"/>
  <c r="Q51" i="11"/>
  <c r="M51" i="11"/>
  <c r="I51" i="11"/>
  <c r="V50" i="11"/>
  <c r="R50" i="11"/>
  <c r="N50" i="11"/>
  <c r="J50" i="11"/>
  <c r="AP49" i="11"/>
  <c r="Y47" i="11"/>
  <c r="U47" i="11"/>
  <c r="Q47" i="11"/>
  <c r="M47" i="11"/>
  <c r="I47" i="11"/>
  <c r="Z46" i="11"/>
  <c r="V46" i="11"/>
  <c r="R46" i="11"/>
  <c r="N46" i="11"/>
  <c r="J46" i="11"/>
  <c r="AP43" i="11"/>
  <c r="Y43" i="11"/>
  <c r="U43" i="11"/>
  <c r="Q43" i="11"/>
  <c r="M43" i="11"/>
  <c r="I43" i="11"/>
  <c r="AA41" i="11"/>
  <c r="W41" i="11"/>
  <c r="S41" i="11"/>
  <c r="O41" i="11"/>
  <c r="K41" i="11"/>
  <c r="G41" i="11"/>
  <c r="AD38" i="11"/>
  <c r="Z38" i="11"/>
  <c r="V38" i="11"/>
  <c r="R38" i="11"/>
  <c r="N38" i="11"/>
  <c r="J38" i="11"/>
  <c r="AQ37" i="11"/>
  <c r="AC35" i="11"/>
  <c r="Y35" i="11"/>
  <c r="U35" i="11"/>
  <c r="Q35" i="11"/>
  <c r="M35" i="11"/>
  <c r="I35" i="11"/>
  <c r="AD34" i="11"/>
  <c r="Z34" i="11"/>
  <c r="V34" i="11"/>
  <c r="R34" i="11"/>
  <c r="N34" i="11"/>
  <c r="J34" i="11"/>
  <c r="AQ33" i="11"/>
  <c r="AF32" i="11"/>
  <c r="AB32" i="11"/>
  <c r="X32" i="11"/>
  <c r="T32" i="11"/>
  <c r="P32" i="11"/>
  <c r="L32" i="11"/>
  <c r="H32" i="11"/>
  <c r="AC31" i="11"/>
  <c r="Y31" i="11"/>
  <c r="U31" i="11"/>
  <c r="Q31" i="11"/>
  <c r="M31" i="11"/>
  <c r="I31" i="11"/>
  <c r="AD30" i="11"/>
  <c r="Z30" i="11"/>
  <c r="V30" i="11"/>
  <c r="R30" i="11"/>
  <c r="N30" i="11"/>
  <c r="J30" i="11"/>
  <c r="AT50" i="11"/>
  <c r="AT48" i="11"/>
  <c r="AT46" i="11"/>
  <c r="AT44" i="11"/>
  <c r="AT42" i="11"/>
  <c r="AT40" i="11"/>
  <c r="AT38" i="11"/>
  <c r="AT36" i="11"/>
  <c r="AT34" i="11"/>
  <c r="AT32" i="11"/>
  <c r="AT30" i="11"/>
  <c r="AQ80" i="11"/>
  <c r="AQ79" i="11"/>
  <c r="G79" i="11"/>
  <c r="H78" i="11"/>
  <c r="I77" i="11"/>
  <c r="AQ76" i="11"/>
  <c r="J76" i="11"/>
  <c r="AQ75" i="11"/>
  <c r="K75" i="11"/>
  <c r="G75" i="11"/>
  <c r="L74" i="11"/>
  <c r="H74" i="11"/>
  <c r="M73" i="11"/>
  <c r="I73" i="11"/>
  <c r="N72" i="11"/>
  <c r="J72" i="11"/>
  <c r="O71" i="11"/>
  <c r="K71" i="11"/>
  <c r="G71" i="11"/>
  <c r="L70" i="11"/>
  <c r="H70" i="11"/>
  <c r="M69" i="11"/>
  <c r="I69" i="11"/>
  <c r="N68" i="11"/>
  <c r="J68" i="11"/>
  <c r="AQ67" i="11"/>
  <c r="O67" i="11"/>
  <c r="K67" i="11"/>
  <c r="G67" i="11"/>
  <c r="P66" i="11"/>
  <c r="L66" i="11"/>
  <c r="H66" i="11"/>
  <c r="Q65" i="11"/>
  <c r="M65" i="11"/>
  <c r="I65" i="11"/>
  <c r="AQ64" i="11"/>
  <c r="N64" i="11"/>
  <c r="J64" i="11"/>
  <c r="AQ63" i="11"/>
  <c r="O63" i="11"/>
  <c r="K63" i="11"/>
  <c r="G63" i="11"/>
  <c r="N62" i="11"/>
  <c r="J62" i="11"/>
  <c r="AQ61" i="11"/>
  <c r="Q61" i="11"/>
  <c r="M61" i="11"/>
  <c r="I61" i="11"/>
  <c r="AQ60" i="11"/>
  <c r="P60" i="11"/>
  <c r="L60" i="11"/>
  <c r="H60" i="11"/>
  <c r="S59" i="11"/>
  <c r="O59" i="11"/>
  <c r="K59" i="11"/>
  <c r="G59" i="11"/>
  <c r="R58" i="11"/>
  <c r="N58" i="11"/>
  <c r="J58" i="11"/>
  <c r="AQ57" i="11"/>
  <c r="Q57" i="11"/>
  <c r="M57" i="11"/>
  <c r="I57" i="11"/>
  <c r="AP56" i="11"/>
  <c r="U56" i="11"/>
  <c r="Q56" i="11"/>
  <c r="M56" i="11"/>
  <c r="I56" i="11"/>
  <c r="U55" i="11"/>
  <c r="Q55" i="11"/>
  <c r="M55" i="11"/>
  <c r="I55" i="11"/>
  <c r="W49" i="11"/>
  <c r="S49" i="11"/>
  <c r="O49" i="11"/>
  <c r="K49" i="11"/>
  <c r="G49" i="11"/>
  <c r="X48" i="11"/>
  <c r="T48" i="11"/>
  <c r="P48" i="11"/>
  <c r="L48" i="11"/>
  <c r="H48" i="11"/>
  <c r="AC39" i="11"/>
  <c r="Y39" i="11"/>
  <c r="U39" i="11"/>
  <c r="Q39" i="11"/>
  <c r="M39" i="11"/>
  <c r="I39" i="11"/>
  <c r="AQ35" i="11"/>
  <c r="AT80" i="11"/>
  <c r="AT78" i="11"/>
  <c r="AT76" i="11"/>
  <c r="AT74" i="11"/>
  <c r="AT70" i="11"/>
  <c r="AT68" i="11"/>
  <c r="AT66" i="11"/>
  <c r="AT64" i="11"/>
  <c r="AT62" i="11"/>
  <c r="AT58" i="11"/>
  <c r="AT56" i="11"/>
  <c r="AT54" i="11"/>
  <c r="AT52" i="11"/>
  <c r="Q62" i="11"/>
  <c r="M62" i="11"/>
  <c r="I62" i="11"/>
  <c r="R61" i="11"/>
  <c r="N61" i="11"/>
  <c r="J61" i="11"/>
  <c r="S60" i="11"/>
  <c r="O60" i="11"/>
  <c r="K60" i="11"/>
  <c r="G60" i="11"/>
  <c r="P59" i="11"/>
  <c r="L59" i="11"/>
  <c r="H59" i="11"/>
  <c r="Q58" i="11"/>
  <c r="M58" i="11"/>
  <c r="I58" i="11"/>
  <c r="R57" i="11"/>
  <c r="N57" i="11"/>
  <c r="J57" i="11"/>
  <c r="AQ56" i="11"/>
  <c r="S56" i="11"/>
  <c r="O56" i="11"/>
  <c r="K56" i="11"/>
  <c r="G56" i="11"/>
  <c r="T55" i="11"/>
  <c r="P55" i="11"/>
  <c r="L55" i="11"/>
  <c r="H55" i="11"/>
  <c r="U54" i="11"/>
  <c r="Q54" i="11"/>
  <c r="M54" i="11"/>
  <c r="I54" i="11"/>
  <c r="V53" i="11"/>
  <c r="R53" i="11"/>
  <c r="N53" i="11"/>
  <c r="J53" i="11"/>
  <c r="AQ52" i="11"/>
  <c r="W52" i="11"/>
  <c r="S52" i="11"/>
  <c r="O52" i="11"/>
  <c r="K52" i="11"/>
  <c r="G52" i="11"/>
  <c r="X51" i="11"/>
  <c r="T51" i="11"/>
  <c r="P51" i="11"/>
  <c r="L51" i="11"/>
  <c r="H51" i="11"/>
  <c r="AQ50" i="11"/>
  <c r="Y50" i="11"/>
  <c r="U50" i="11"/>
  <c r="Q50" i="11"/>
  <c r="M50" i="11"/>
  <c r="I50" i="11"/>
  <c r="AQ49" i="11"/>
  <c r="Z49" i="11"/>
  <c r="V49" i="11"/>
  <c r="R49" i="11"/>
  <c r="N49" i="11"/>
  <c r="J49" i="11"/>
  <c r="W48" i="11"/>
  <c r="S48" i="11"/>
  <c r="O48" i="11"/>
  <c r="K48" i="11"/>
  <c r="G48" i="11"/>
  <c r="X47" i="11"/>
  <c r="T47" i="11"/>
  <c r="P47" i="11"/>
  <c r="L47" i="11"/>
  <c r="H47" i="11"/>
  <c r="Y46" i="11"/>
  <c r="U46" i="11"/>
  <c r="Q46" i="11"/>
  <c r="M46" i="11"/>
  <c r="I46" i="11"/>
  <c r="AQ45" i="11"/>
  <c r="Z45" i="11"/>
  <c r="V45" i="11"/>
  <c r="R45" i="11"/>
  <c r="N45" i="11"/>
  <c r="J45" i="11"/>
  <c r="AA44" i="11"/>
  <c r="W44" i="11"/>
  <c r="S44" i="11"/>
  <c r="O44" i="11"/>
  <c r="K44" i="11"/>
  <c r="G44" i="11"/>
  <c r="AB43" i="11"/>
  <c r="X43" i="11"/>
  <c r="T43" i="11"/>
  <c r="P43" i="11"/>
  <c r="L43" i="11"/>
  <c r="H43" i="11"/>
  <c r="AC42" i="11"/>
  <c r="Y42" i="11"/>
  <c r="U42" i="11"/>
  <c r="Q42" i="11"/>
  <c r="M42" i="11"/>
  <c r="I42" i="11"/>
  <c r="Z41" i="11"/>
  <c r="V41" i="11"/>
  <c r="R41" i="11"/>
  <c r="N41" i="11"/>
  <c r="J41" i="11"/>
  <c r="AQ40" i="11"/>
  <c r="AA40" i="11"/>
  <c r="W40" i="11"/>
  <c r="S40" i="11"/>
  <c r="O40" i="11"/>
  <c r="K40" i="11"/>
  <c r="G40" i="11"/>
  <c r="AB39" i="11"/>
  <c r="X39" i="11"/>
  <c r="T39" i="11"/>
  <c r="P39" i="11"/>
  <c r="L39" i="11"/>
  <c r="H39" i="11"/>
  <c r="AC38" i="11"/>
  <c r="Y38" i="11"/>
  <c r="U38" i="11"/>
  <c r="Q38" i="11"/>
  <c r="M38" i="11"/>
  <c r="I38" i="11"/>
  <c r="AD37" i="11"/>
  <c r="Z37" i="11"/>
  <c r="V37" i="11"/>
  <c r="R37" i="11"/>
  <c r="N37" i="11"/>
  <c r="J37" i="11"/>
  <c r="AA36" i="11"/>
  <c r="W36" i="11"/>
  <c r="S36" i="11"/>
  <c r="O36" i="11"/>
  <c r="K36" i="11"/>
  <c r="G36" i="11"/>
  <c r="AB35" i="11"/>
  <c r="X35" i="11"/>
  <c r="T35" i="11"/>
  <c r="P35" i="11"/>
  <c r="L35" i="11"/>
  <c r="H35" i="11"/>
  <c r="AC34" i="11"/>
  <c r="Y34" i="11"/>
  <c r="U34" i="11"/>
  <c r="Q34" i="11"/>
  <c r="M34" i="11"/>
  <c r="I34" i="11"/>
  <c r="AD33" i="11"/>
  <c r="Z33" i="11"/>
  <c r="V33" i="11"/>
  <c r="R33" i="11"/>
  <c r="N33" i="11"/>
  <c r="J33" i="11"/>
  <c r="AE32" i="11"/>
  <c r="AA32" i="11"/>
  <c r="W32" i="11"/>
  <c r="S32" i="11"/>
  <c r="O32" i="11"/>
  <c r="K32" i="11"/>
  <c r="G32" i="11"/>
  <c r="AF31" i="11"/>
  <c r="AB31" i="11"/>
  <c r="X31" i="11"/>
  <c r="T31" i="11"/>
  <c r="P31" i="11"/>
  <c r="L31" i="11"/>
  <c r="H31" i="11"/>
  <c r="AC30" i="11"/>
  <c r="Y30" i="11"/>
  <c r="U30" i="11"/>
  <c r="Q30" i="11"/>
  <c r="M30" i="11"/>
  <c r="I30" i="11"/>
  <c r="AS81" i="11"/>
  <c r="AS80" i="11"/>
  <c r="AS78" i="11"/>
  <c r="AS77" i="11"/>
  <c r="AS76" i="11"/>
  <c r="AS75" i="11"/>
  <c r="AS74" i="11"/>
  <c r="AS73" i="11"/>
  <c r="AS71" i="11"/>
  <c r="AS70" i="11"/>
  <c r="AS69" i="11"/>
  <c r="AS68" i="11"/>
  <c r="AS67" i="11"/>
  <c r="AS66" i="11"/>
  <c r="AS65" i="11"/>
  <c r="AS64" i="11"/>
  <c r="AS62" i="11"/>
  <c r="AS61" i="11"/>
  <c r="AS59" i="11"/>
  <c r="AS58" i="11"/>
  <c r="AS57" i="11"/>
  <c r="AS56" i="11"/>
  <c r="AS55" i="11"/>
  <c r="AS54" i="11"/>
  <c r="AS53" i="11"/>
  <c r="AS52" i="11"/>
  <c r="AS50" i="11"/>
  <c r="AS49" i="11"/>
  <c r="AS48" i="11"/>
  <c r="AS47" i="11"/>
  <c r="AS44" i="11"/>
  <c r="AS43" i="11"/>
  <c r="AS42" i="11"/>
  <c r="AS41" i="11"/>
  <c r="AS40" i="11"/>
  <c r="AS37" i="11"/>
  <c r="AS36" i="11"/>
  <c r="AS35" i="11"/>
  <c r="AS34" i="11"/>
  <c r="AS33" i="11"/>
  <c r="AS32" i="11"/>
  <c r="AS31" i="11"/>
  <c r="AS30" i="11"/>
  <c r="I53" i="11"/>
  <c r="V52" i="11"/>
  <c r="R52" i="11"/>
  <c r="N52" i="11"/>
  <c r="J52" i="11"/>
  <c r="W51" i="11"/>
  <c r="S51" i="11"/>
  <c r="O51" i="11"/>
  <c r="K51" i="11"/>
  <c r="G51" i="11"/>
  <c r="X50" i="11"/>
  <c r="T50" i="11"/>
  <c r="P50" i="11"/>
  <c r="L50" i="11"/>
  <c r="H50" i="11"/>
  <c r="Y49" i="11"/>
  <c r="U49" i="11"/>
  <c r="Q49" i="11"/>
  <c r="M49" i="11"/>
  <c r="I49" i="11"/>
  <c r="V48" i="11"/>
  <c r="R48" i="11"/>
  <c r="N48" i="11"/>
  <c r="J48" i="11"/>
  <c r="AQ47" i="11"/>
  <c r="W47" i="11"/>
  <c r="S47" i="11"/>
  <c r="O47" i="11"/>
  <c r="K47" i="11"/>
  <c r="G47" i="11"/>
  <c r="X46" i="11"/>
  <c r="T46" i="11"/>
  <c r="P46" i="11"/>
  <c r="L46" i="11"/>
  <c r="H46" i="11"/>
  <c r="AC45" i="11"/>
  <c r="Y45" i="11"/>
  <c r="U45" i="11"/>
  <c r="Q45" i="11"/>
  <c r="M45" i="11"/>
  <c r="I45" i="11"/>
  <c r="Z44" i="11"/>
  <c r="V44" i="11"/>
  <c r="R44" i="11"/>
  <c r="N44" i="11"/>
  <c r="J44" i="11"/>
  <c r="AQ43" i="11"/>
  <c r="AA43" i="11"/>
  <c r="W43" i="11"/>
  <c r="S43" i="11"/>
  <c r="O43" i="11"/>
  <c r="K43" i="11"/>
  <c r="G43" i="11"/>
  <c r="AB42" i="11"/>
  <c r="X42" i="11"/>
  <c r="T42" i="11"/>
  <c r="P42" i="11"/>
  <c r="L42" i="11"/>
  <c r="H42" i="11"/>
  <c r="AC41" i="11"/>
  <c r="Y41" i="11"/>
  <c r="U41" i="11"/>
  <c r="Q41" i="11"/>
  <c r="M41" i="11"/>
  <c r="I41" i="11"/>
  <c r="AP40" i="11"/>
  <c r="Z40" i="11"/>
  <c r="V40" i="11"/>
  <c r="R40" i="11"/>
  <c r="N40" i="11"/>
  <c r="J40" i="11"/>
  <c r="AQ39" i="11"/>
  <c r="AA39" i="11"/>
  <c r="W39" i="11"/>
  <c r="S39" i="11"/>
  <c r="O39" i="11"/>
  <c r="K39" i="11"/>
  <c r="G39" i="11"/>
  <c r="AB38" i="11"/>
  <c r="X38" i="11"/>
  <c r="T38" i="11"/>
  <c r="P38" i="11"/>
  <c r="L38" i="11"/>
  <c r="H38" i="11"/>
  <c r="AC37" i="11"/>
  <c r="Y37" i="11"/>
  <c r="U37" i="11"/>
  <c r="Q37" i="11"/>
  <c r="M37" i="11"/>
  <c r="I37" i="11"/>
  <c r="AD36" i="11"/>
  <c r="Z36" i="11"/>
  <c r="V36" i="11"/>
  <c r="R36" i="11"/>
  <c r="N36" i="11"/>
  <c r="J36" i="11"/>
  <c r="AA35" i="11"/>
  <c r="W35" i="11"/>
  <c r="S35" i="11"/>
  <c r="O35" i="11"/>
  <c r="K35" i="11"/>
  <c r="G35" i="11"/>
  <c r="AB34" i="11"/>
  <c r="X34" i="11"/>
  <c r="T34" i="11"/>
  <c r="P34" i="11"/>
  <c r="L34" i="11"/>
  <c r="H34" i="11"/>
  <c r="AC33" i="11"/>
  <c r="Y33" i="11"/>
  <c r="U33" i="11"/>
  <c r="Q33" i="11"/>
  <c r="M33" i="11"/>
  <c r="I33" i="11"/>
  <c r="AP32" i="11"/>
  <c r="AD32" i="11"/>
  <c r="Z32" i="11"/>
  <c r="V32" i="11"/>
  <c r="R32" i="11"/>
  <c r="N32" i="11"/>
  <c r="J32" i="11"/>
  <c r="AE31" i="11"/>
  <c r="AA31" i="11"/>
  <c r="W31" i="11"/>
  <c r="S31" i="11"/>
  <c r="O31" i="11"/>
  <c r="K31" i="11"/>
  <c r="G31" i="11"/>
  <c r="AB30" i="11"/>
  <c r="X30" i="11"/>
  <c r="T30" i="11"/>
  <c r="P30" i="11"/>
  <c r="L30" i="11"/>
  <c r="H30" i="11"/>
  <c r="H53" i="11"/>
  <c r="U52" i="11"/>
  <c r="Q52" i="11"/>
  <c r="M52" i="11"/>
  <c r="I52" i="11"/>
  <c r="V51" i="11"/>
  <c r="R51" i="11"/>
  <c r="N51" i="11"/>
  <c r="J51" i="11"/>
  <c r="W50" i="11"/>
  <c r="S50" i="11"/>
  <c r="O50" i="11"/>
  <c r="K50" i="11"/>
  <c r="G50" i="11"/>
  <c r="X49" i="11"/>
  <c r="T49" i="11"/>
  <c r="P49" i="11"/>
  <c r="L49" i="11"/>
  <c r="H49" i="11"/>
  <c r="Y48" i="11"/>
  <c r="U48" i="11"/>
  <c r="Q48" i="11"/>
  <c r="M48" i="11"/>
  <c r="I48" i="11"/>
  <c r="V47" i="11"/>
  <c r="R47" i="11"/>
  <c r="N47" i="11"/>
  <c r="J47" i="11"/>
  <c r="AQ46" i="11"/>
  <c r="W46" i="11"/>
  <c r="S46" i="11"/>
  <c r="O46" i="11"/>
  <c r="K46" i="11"/>
  <c r="G46" i="11"/>
  <c r="AB45" i="11"/>
  <c r="X45" i="11"/>
  <c r="T45" i="11"/>
  <c r="P45" i="11"/>
  <c r="L45" i="11"/>
  <c r="H45" i="11"/>
  <c r="AC44" i="11"/>
  <c r="Y44" i="11"/>
  <c r="U44" i="11"/>
  <c r="Q44" i="11"/>
  <c r="M44" i="11"/>
  <c r="I44" i="11"/>
  <c r="Z43" i="11"/>
  <c r="V43" i="11"/>
  <c r="R43" i="11"/>
  <c r="N43" i="11"/>
  <c r="J43" i="11"/>
  <c r="AA42" i="11"/>
  <c r="W42" i="11"/>
  <c r="S42" i="11"/>
  <c r="O42" i="11"/>
  <c r="K42" i="11"/>
  <c r="G42" i="11"/>
  <c r="AB41" i="11"/>
  <c r="X41" i="11"/>
  <c r="T41" i="11"/>
  <c r="P41" i="11"/>
  <c r="L41" i="11"/>
  <c r="H41" i="11"/>
  <c r="AC40" i="11"/>
  <c r="Y40" i="11"/>
  <c r="U40" i="11"/>
  <c r="Q40" i="11"/>
  <c r="M40" i="11"/>
  <c r="I40" i="11"/>
  <c r="Z39" i="11"/>
  <c r="V39" i="11"/>
  <c r="R39" i="11"/>
  <c r="N39" i="11"/>
  <c r="J39" i="11"/>
  <c r="AQ38" i="11"/>
  <c r="AA38" i="11"/>
  <c r="W38" i="11"/>
  <c r="S38" i="11"/>
  <c r="O38" i="11"/>
  <c r="K38" i="11"/>
  <c r="G38" i="11"/>
  <c r="AB37" i="11"/>
  <c r="X37" i="11"/>
  <c r="T37" i="11"/>
  <c r="P37" i="11"/>
  <c r="L37" i="11"/>
  <c r="H37" i="11"/>
  <c r="AC36" i="11"/>
  <c r="Y36" i="11"/>
  <c r="U36" i="11"/>
  <c r="Q36" i="11"/>
  <c r="M36" i="11"/>
  <c r="I36" i="11"/>
  <c r="AD35" i="11"/>
  <c r="Z35" i="11"/>
  <c r="V35" i="11"/>
  <c r="R35" i="11"/>
  <c r="N35" i="11"/>
  <c r="J35" i="11"/>
  <c r="AQ34" i="11"/>
  <c r="AE34" i="11"/>
  <c r="AA34" i="11"/>
  <c r="W34" i="11"/>
  <c r="S34" i="11"/>
  <c r="O34" i="11"/>
  <c r="K34" i="11"/>
  <c r="G34" i="11"/>
  <c r="AB33" i="11"/>
  <c r="X33" i="11"/>
  <c r="T33" i="11"/>
  <c r="P33" i="11"/>
  <c r="L33" i="11"/>
  <c r="H33" i="11"/>
  <c r="AQ32" i="11"/>
  <c r="AC32" i="11"/>
  <c r="Y32" i="11"/>
  <c r="U32" i="11"/>
  <c r="Q32" i="11"/>
  <c r="M32" i="11"/>
  <c r="I32" i="11"/>
  <c r="AD31" i="11"/>
  <c r="Z31" i="11"/>
  <c r="V31" i="11"/>
  <c r="R31" i="11"/>
  <c r="N31" i="11"/>
  <c r="J31" i="11"/>
  <c r="AE30" i="11"/>
  <c r="AA30" i="11"/>
  <c r="W30" i="11"/>
  <c r="S30" i="11"/>
  <c r="O30" i="11"/>
  <c r="K30" i="11"/>
  <c r="G30" i="11"/>
  <c r="E23" i="25" l="1"/>
  <c r="O7" i="25"/>
  <c r="K5" i="25"/>
  <c r="I7" i="25"/>
  <c r="I8" i="25" s="1"/>
  <c r="J7" i="24"/>
  <c r="I8" i="24"/>
  <c r="K7" i="24"/>
  <c r="L7" i="24" s="1"/>
  <c r="J6" i="25"/>
  <c r="F5" i="24"/>
  <c r="E5" i="24"/>
  <c r="G5" i="24"/>
  <c r="M9" i="25"/>
  <c r="N8" i="25"/>
  <c r="D11" i="21"/>
  <c r="C11" i="21"/>
  <c r="C8" i="21"/>
  <c r="D8" i="21"/>
  <c r="D62" i="21"/>
  <c r="C62" i="21"/>
  <c r="D81" i="21"/>
  <c r="C81" i="21"/>
  <c r="C6" i="21"/>
  <c r="D6" i="21"/>
  <c r="D12" i="21"/>
  <c r="C12" i="21"/>
  <c r="D54" i="21"/>
  <c r="C54" i="21"/>
  <c r="C4" i="21"/>
  <c r="D4" i="21"/>
  <c r="D69" i="21"/>
  <c r="C69" i="21"/>
  <c r="D67" i="21"/>
  <c r="C67" i="21"/>
  <c r="D3" i="21"/>
  <c r="C3" i="21"/>
  <c r="D29" i="21"/>
  <c r="C29" i="21"/>
  <c r="D71" i="21"/>
  <c r="C71" i="21"/>
  <c r="C57" i="17"/>
  <c r="C41" i="17"/>
  <c r="C49" i="17"/>
  <c r="C80" i="17"/>
  <c r="C35" i="17"/>
  <c r="C26" i="17"/>
  <c r="C18" i="17"/>
  <c r="C81" i="17"/>
  <c r="C27" i="17"/>
  <c r="C50" i="17"/>
  <c r="C19" i="17"/>
  <c r="C29" i="17"/>
  <c r="C13" i="17"/>
  <c r="C56" i="17"/>
  <c r="C38" i="17"/>
  <c r="C42" i="17"/>
  <c r="C46" i="17"/>
  <c r="C25" i="17"/>
  <c r="C24" i="17"/>
  <c r="C34" i="17"/>
  <c r="C15" i="17"/>
  <c r="C10" i="17"/>
  <c r="C17" i="17"/>
  <c r="C16" i="17"/>
  <c r="C63" i="17"/>
  <c r="C21" i="17"/>
  <c r="C11" i="17"/>
  <c r="C23" i="17"/>
  <c r="C32" i="17"/>
  <c r="C9" i="17"/>
  <c r="C31" i="17"/>
  <c r="E57" i="13"/>
  <c r="E36" i="13"/>
  <c r="D36" i="13" s="1"/>
  <c r="C59" i="13"/>
  <c r="D59" i="13"/>
  <c r="Q27" i="13"/>
  <c r="E34" i="13"/>
  <c r="C36" i="13"/>
  <c r="E22" i="13"/>
  <c r="E55" i="13"/>
  <c r="Q3" i="13"/>
  <c r="E3" i="13"/>
  <c r="Q53" i="13"/>
  <c r="E53" i="13" s="1"/>
  <c r="Q42" i="13"/>
  <c r="E38" i="13"/>
  <c r="C57" i="13"/>
  <c r="D57" i="13"/>
  <c r="Q65" i="13"/>
  <c r="Q31" i="13"/>
  <c r="Q44" i="13"/>
  <c r="E44" i="13" s="1"/>
  <c r="Q23" i="13"/>
  <c r="E77" i="13"/>
  <c r="E40" i="13"/>
  <c r="AQ77" i="11"/>
  <c r="AT45" i="11"/>
  <c r="AT72" i="11"/>
  <c r="AT60" i="11"/>
  <c r="AP30" i="11"/>
  <c r="AP53" i="11"/>
  <c r="AP59" i="11"/>
  <c r="AP71" i="11"/>
  <c r="AQ54" i="11"/>
  <c r="AO69" i="11"/>
  <c r="AQ30" i="11"/>
  <c r="AS46" i="11"/>
  <c r="AS79" i="11"/>
  <c r="AQ53" i="11"/>
  <c r="AP69" i="11"/>
  <c r="AQ59" i="11"/>
  <c r="AN53" i="11"/>
  <c r="AQ70" i="11"/>
  <c r="AP73" i="11"/>
  <c r="AO73" i="11"/>
  <c r="AS60" i="11"/>
  <c r="AQ69" i="11"/>
  <c r="AQ71" i="11"/>
  <c r="AS38" i="11"/>
  <c r="AP36" i="11"/>
  <c r="AQ65" i="11"/>
  <c r="AO44" i="11"/>
  <c r="AS63" i="11"/>
  <c r="AQ81" i="11"/>
  <c r="AO81" i="11"/>
  <c r="AP44" i="11"/>
  <c r="AT63" i="11"/>
  <c r="AQ31" i="11"/>
  <c r="AP81" i="11"/>
  <c r="AQ36" i="11"/>
  <c r="AS39" i="11"/>
  <c r="AS45" i="11"/>
  <c r="AS72" i="11"/>
  <c r="AQ44" i="11"/>
  <c r="AQ48" i="11"/>
  <c r="AQ62" i="11"/>
  <c r="AP62" i="11"/>
  <c r="R4" i="13"/>
  <c r="P4" i="13"/>
  <c r="Q80" i="13"/>
  <c r="Q35" i="13"/>
  <c r="Q13" i="13"/>
  <c r="Q32" i="13"/>
  <c r="Q24" i="13"/>
  <c r="Q72" i="13"/>
  <c r="Q63" i="13"/>
  <c r="Q17" i="13"/>
  <c r="E17" i="13" s="1"/>
  <c r="Q74" i="13"/>
  <c r="Q71" i="13"/>
  <c r="Q14" i="13"/>
  <c r="Q37" i="13"/>
  <c r="Q18" i="13"/>
  <c r="Q43" i="13"/>
  <c r="Q11" i="13"/>
  <c r="Q7" i="13"/>
  <c r="Q20" i="13"/>
  <c r="Q49" i="13"/>
  <c r="Q79" i="13"/>
  <c r="Q5" i="13"/>
  <c r="E5" i="13" s="1"/>
  <c r="Q41" i="13"/>
  <c r="Q56" i="13"/>
  <c r="Q30" i="13"/>
  <c r="Q47" i="13"/>
  <c r="E47" i="13" s="1"/>
  <c r="Q76" i="13"/>
  <c r="E76" i="13" s="1"/>
  <c r="Q33" i="13"/>
  <c r="Q46" i="13"/>
  <c r="Q62" i="13"/>
  <c r="Q50" i="13"/>
  <c r="Q26" i="13"/>
  <c r="Q69" i="13"/>
  <c r="E69" i="13" s="1"/>
  <c r="Q29" i="13"/>
  <c r="Q9" i="13"/>
  <c r="Q10" i="13"/>
  <c r="Q78" i="13"/>
  <c r="Q12" i="13"/>
  <c r="Q39" i="13"/>
  <c r="Q15" i="13"/>
  <c r="Q51" i="13"/>
  <c r="Q28" i="13"/>
  <c r="Q64" i="13"/>
  <c r="Q54" i="13"/>
  <c r="Q61" i="13"/>
  <c r="Q81" i="13"/>
  <c r="Q73" i="13"/>
  <c r="Q8" i="13"/>
  <c r="Q52" i="13"/>
  <c r="Q58" i="13"/>
  <c r="Q75" i="13"/>
  <c r="Q68" i="13"/>
  <c r="Q6" i="13"/>
  <c r="Q16" i="13"/>
  <c r="Q48" i="13"/>
  <c r="Q66" i="13"/>
  <c r="Q19" i="13"/>
  <c r="Q67" i="13"/>
  <c r="Q60" i="13"/>
  <c r="Q45" i="13"/>
  <c r="Q70" i="13"/>
  <c r="Q21" i="13"/>
  <c r="Q25" i="13"/>
  <c r="A50" i="12"/>
  <c r="AU54" i="11"/>
  <c r="AU70" i="11"/>
  <c r="AU78" i="11"/>
  <c r="AU36" i="11"/>
  <c r="AU44" i="11"/>
  <c r="AO30" i="11"/>
  <c r="AO43" i="11"/>
  <c r="AU57" i="11"/>
  <c r="AU65" i="11"/>
  <c r="AU73" i="11"/>
  <c r="AU81" i="11"/>
  <c r="AO45" i="11"/>
  <c r="AO63" i="11"/>
  <c r="AO72" i="11"/>
  <c r="AN81" i="11"/>
  <c r="AP77" i="11"/>
  <c r="AU35" i="11"/>
  <c r="AU43" i="11"/>
  <c r="AN32" i="11"/>
  <c r="AP42" i="11"/>
  <c r="AN67" i="11"/>
  <c r="AP38" i="11"/>
  <c r="AP47" i="11"/>
  <c r="AU52" i="11"/>
  <c r="AU60" i="11"/>
  <c r="AU68" i="11"/>
  <c r="AU76" i="11"/>
  <c r="AO49" i="11"/>
  <c r="AU34" i="11"/>
  <c r="AU42" i="11"/>
  <c r="AU50" i="11"/>
  <c r="AP33" i="11"/>
  <c r="AP55" i="11"/>
  <c r="AU55" i="11"/>
  <c r="AU71" i="11"/>
  <c r="AO34" i="11"/>
  <c r="AN60" i="11"/>
  <c r="AN61" i="11"/>
  <c r="AP74" i="11"/>
  <c r="AU33" i="11"/>
  <c r="AU41" i="11"/>
  <c r="AU49" i="11"/>
  <c r="AP31" i="11"/>
  <c r="AP66" i="11"/>
  <c r="AU62" i="11"/>
  <c r="AP39" i="11"/>
  <c r="AO40" i="11"/>
  <c r="AU58" i="11"/>
  <c r="AU66" i="11"/>
  <c r="AU74" i="11"/>
  <c r="AP35" i="11"/>
  <c r="AP57" i="11"/>
  <c r="AU32" i="11"/>
  <c r="AU40" i="11"/>
  <c r="AU48" i="11"/>
  <c r="AN56" i="11"/>
  <c r="AS51" i="11"/>
  <c r="AU53" i="11"/>
  <c r="AU61" i="11"/>
  <c r="AU69" i="11"/>
  <c r="AU77" i="11"/>
  <c r="AO50" i="11"/>
  <c r="AM53" i="11"/>
  <c r="AO75" i="11"/>
  <c r="AP78" i="11"/>
  <c r="AU31" i="11"/>
  <c r="AU47" i="11"/>
  <c r="AM64" i="11"/>
  <c r="AP54" i="11"/>
  <c r="AU56" i="11"/>
  <c r="AU64" i="11"/>
  <c r="AU72" i="11"/>
  <c r="AU80" i="11"/>
  <c r="AU30" i="11"/>
  <c r="AU38" i="11"/>
  <c r="AU46" i="11"/>
  <c r="AP37" i="11"/>
  <c r="AP65" i="11"/>
  <c r="AQ51" i="11"/>
  <c r="AU59" i="11"/>
  <c r="AU67" i="11"/>
  <c r="AU75" i="11"/>
  <c r="AO46" i="11"/>
  <c r="AP58" i="11"/>
  <c r="AN69" i="11"/>
  <c r="AO76" i="11"/>
  <c r="AO79" i="11"/>
  <c r="AP68" i="11"/>
  <c r="AO71" i="11"/>
  <c r="AN80" i="11"/>
  <c r="AU37" i="11"/>
  <c r="AU45" i="11"/>
  <c r="AP41" i="11"/>
  <c r="AO52" i="11"/>
  <c r="J7" i="25" l="1"/>
  <c r="O8" i="25"/>
  <c r="K6" i="25"/>
  <c r="J8" i="24"/>
  <c r="L8" i="24" s="1"/>
  <c r="I9" i="24"/>
  <c r="K8" i="24"/>
  <c r="F6" i="24"/>
  <c r="E6" i="24"/>
  <c r="N9" i="25"/>
  <c r="M10" i="25"/>
  <c r="I9" i="25"/>
  <c r="J8" i="25"/>
  <c r="E52" i="13"/>
  <c r="E51" i="13"/>
  <c r="E7" i="13"/>
  <c r="E41" i="13"/>
  <c r="D41" i="13" s="1"/>
  <c r="E26" i="13"/>
  <c r="E23" i="13"/>
  <c r="E31" i="13"/>
  <c r="E78" i="13"/>
  <c r="C78" i="13" s="1"/>
  <c r="E42" i="13"/>
  <c r="E61" i="13"/>
  <c r="E37" i="13"/>
  <c r="E62" i="13"/>
  <c r="C62" i="13" s="1"/>
  <c r="E32" i="13"/>
  <c r="E50" i="13"/>
  <c r="C69" i="13"/>
  <c r="D69" i="13"/>
  <c r="D23" i="13"/>
  <c r="C23" i="13"/>
  <c r="C31" i="13"/>
  <c r="D31" i="13"/>
  <c r="C51" i="13"/>
  <c r="D51" i="13"/>
  <c r="E63" i="13"/>
  <c r="C53" i="13"/>
  <c r="D53" i="13"/>
  <c r="C3" i="13"/>
  <c r="D3" i="13"/>
  <c r="C7" i="13"/>
  <c r="D7" i="13"/>
  <c r="C37" i="13"/>
  <c r="D37" i="13"/>
  <c r="C17" i="13"/>
  <c r="D17" i="13"/>
  <c r="C22" i="13"/>
  <c r="D22" i="13"/>
  <c r="D76" i="13"/>
  <c r="C76" i="13"/>
  <c r="E13" i="13"/>
  <c r="E45" i="13"/>
  <c r="E66" i="13"/>
  <c r="E68" i="13"/>
  <c r="C26" i="13"/>
  <c r="D26" i="13"/>
  <c r="E54" i="13"/>
  <c r="E15" i="13"/>
  <c r="E10" i="13"/>
  <c r="E72" i="13"/>
  <c r="C38" i="13"/>
  <c r="D38" i="13"/>
  <c r="E11" i="13"/>
  <c r="E14" i="13"/>
  <c r="E35" i="13"/>
  <c r="D47" i="13"/>
  <c r="C47" i="13"/>
  <c r="D32" i="13"/>
  <c r="C32" i="13"/>
  <c r="D52" i="13"/>
  <c r="C52" i="13"/>
  <c r="E65" i="13"/>
  <c r="E79" i="13"/>
  <c r="E60" i="13"/>
  <c r="E48" i="13"/>
  <c r="E75" i="13"/>
  <c r="C50" i="13"/>
  <c r="D50" i="13"/>
  <c r="D40" i="13"/>
  <c r="C40" i="13"/>
  <c r="D44" i="13"/>
  <c r="C44" i="13"/>
  <c r="E81" i="13"/>
  <c r="E64" i="13"/>
  <c r="E39" i="13"/>
  <c r="E9" i="13"/>
  <c r="E24" i="13"/>
  <c r="C42" i="13"/>
  <c r="D42" i="13"/>
  <c r="C61" i="13"/>
  <c r="D61" i="13"/>
  <c r="E49" i="13"/>
  <c r="E43" i="13"/>
  <c r="E71" i="13"/>
  <c r="E80" i="13"/>
  <c r="E46" i="13"/>
  <c r="E30" i="13"/>
  <c r="C5" i="13"/>
  <c r="D5" i="13"/>
  <c r="E8" i="13"/>
  <c r="C34" i="13"/>
  <c r="D34" i="13"/>
  <c r="E21" i="13"/>
  <c r="E67" i="13"/>
  <c r="E16" i="13"/>
  <c r="E58" i="13"/>
  <c r="Q4" i="13"/>
  <c r="E4" i="13" s="1"/>
  <c r="C77" i="13"/>
  <c r="D77" i="13"/>
  <c r="E25" i="13"/>
  <c r="E28" i="13"/>
  <c r="E12" i="13"/>
  <c r="E29" i="13"/>
  <c r="E20" i="13"/>
  <c r="E18" i="13"/>
  <c r="E74" i="13"/>
  <c r="D55" i="13"/>
  <c r="C55" i="13"/>
  <c r="E33" i="13"/>
  <c r="E56" i="13"/>
  <c r="E73" i="13"/>
  <c r="E27" i="13"/>
  <c r="E70" i="13"/>
  <c r="E19" i="13"/>
  <c r="E6" i="13"/>
  <c r="AP70" i="11"/>
  <c r="AN73" i="11"/>
  <c r="AO36" i="11"/>
  <c r="AO48" i="11"/>
  <c r="AU79" i="11"/>
  <c r="AN62" i="11"/>
  <c r="AU39" i="11"/>
  <c r="AU63" i="11"/>
  <c r="A51" i="12"/>
  <c r="AM73" i="11"/>
  <c r="AV37" i="11"/>
  <c r="AM69" i="11"/>
  <c r="AO65" i="11"/>
  <c r="AL53" i="11"/>
  <c r="AM62" i="11"/>
  <c r="AV77" i="11"/>
  <c r="AO35" i="11"/>
  <c r="AO66" i="11"/>
  <c r="AV49" i="11"/>
  <c r="AV63" i="11"/>
  <c r="AV52" i="11"/>
  <c r="AM32" i="11"/>
  <c r="AV35" i="11"/>
  <c r="AO77" i="11"/>
  <c r="AN63" i="11"/>
  <c r="AO59" i="11"/>
  <c r="AN45" i="11"/>
  <c r="AV81" i="11"/>
  <c r="AV44" i="11"/>
  <c r="AV54" i="11"/>
  <c r="AV45" i="11"/>
  <c r="AN76" i="11"/>
  <c r="AO58" i="11"/>
  <c r="AV59" i="11"/>
  <c r="AV46" i="11"/>
  <c r="AV72" i="11"/>
  <c r="AV47" i="11"/>
  <c r="AN75" i="11"/>
  <c r="AN50" i="11"/>
  <c r="AV53" i="11"/>
  <c r="AV48" i="11"/>
  <c r="AO57" i="11"/>
  <c r="AV58" i="11"/>
  <c r="AN48" i="11"/>
  <c r="AO74" i="11"/>
  <c r="AV71" i="11"/>
  <c r="AO55" i="11"/>
  <c r="AV50" i="11"/>
  <c r="AV60" i="11"/>
  <c r="AO42" i="11"/>
  <c r="AV43" i="11"/>
  <c r="AN72" i="11"/>
  <c r="AV57" i="11"/>
  <c r="AN30" i="11"/>
  <c r="AV70" i="11"/>
  <c r="AP51" i="11"/>
  <c r="AV64" i="11"/>
  <c r="AV39" i="11"/>
  <c r="AT51" i="11"/>
  <c r="AM61" i="11"/>
  <c r="AO41" i="11"/>
  <c r="AN79" i="11"/>
  <c r="AN46" i="11"/>
  <c r="AV67" i="11"/>
  <c r="AO37" i="11"/>
  <c r="AV80" i="11"/>
  <c r="AO54" i="11"/>
  <c r="AL64" i="11"/>
  <c r="AO78" i="11"/>
  <c r="AV61" i="11"/>
  <c r="AV66" i="11"/>
  <c r="AO39" i="11"/>
  <c r="AV62" i="11"/>
  <c r="AV33" i="11"/>
  <c r="AM60" i="11"/>
  <c r="AV79" i="11"/>
  <c r="AO33" i="11"/>
  <c r="AV68" i="11"/>
  <c r="AO47" i="11"/>
  <c r="AM67" i="11"/>
  <c r="AM81" i="11"/>
  <c r="AV65" i="11"/>
  <c r="AN36" i="11"/>
  <c r="AV78" i="11"/>
  <c r="AN71" i="11"/>
  <c r="AV38" i="11"/>
  <c r="AV40" i="11"/>
  <c r="AV42" i="11"/>
  <c r="AN49" i="11"/>
  <c r="AN52" i="11"/>
  <c r="AM80" i="11"/>
  <c r="AO68" i="11"/>
  <c r="AV75" i="11"/>
  <c r="AV30" i="11"/>
  <c r="AV56" i="11"/>
  <c r="AV31" i="11"/>
  <c r="AV69" i="11"/>
  <c r="AM56" i="11"/>
  <c r="AV32" i="11"/>
  <c r="AV74" i="11"/>
  <c r="AN40" i="11"/>
  <c r="AO31" i="11"/>
  <c r="AV41" i="11"/>
  <c r="AN34" i="11"/>
  <c r="AV55" i="11"/>
  <c r="AV34" i="11"/>
  <c r="AV76" i="11"/>
  <c r="AO38" i="11"/>
  <c r="AO70" i="11"/>
  <c r="AV73" i="11"/>
  <c r="AN43" i="11"/>
  <c r="AV36" i="11"/>
  <c r="G6" i="24" l="1"/>
  <c r="K7" i="25"/>
  <c r="O9" i="25"/>
  <c r="J9" i="24"/>
  <c r="L9" i="24" s="1"/>
  <c r="I10" i="24"/>
  <c r="K9" i="24"/>
  <c r="F7" i="24"/>
  <c r="E7" i="24"/>
  <c r="N10" i="25"/>
  <c r="M11" i="25"/>
  <c r="I10" i="25"/>
  <c r="J9" i="25"/>
  <c r="C41" i="13"/>
  <c r="D78" i="13"/>
  <c r="D62" i="13"/>
  <c r="C70" i="13"/>
  <c r="D70" i="13"/>
  <c r="C33" i="13"/>
  <c r="D33" i="13"/>
  <c r="C18" i="13"/>
  <c r="D18" i="13"/>
  <c r="D28" i="13"/>
  <c r="C28" i="13"/>
  <c r="D4" i="13"/>
  <c r="C4" i="13"/>
  <c r="D16" i="13"/>
  <c r="C16" i="13"/>
  <c r="C30" i="13"/>
  <c r="D30" i="13"/>
  <c r="D43" i="13"/>
  <c r="C43" i="13"/>
  <c r="C39" i="13"/>
  <c r="D39" i="13"/>
  <c r="D79" i="13"/>
  <c r="C79" i="13"/>
  <c r="D11" i="13"/>
  <c r="C11" i="13"/>
  <c r="C10" i="13"/>
  <c r="D10" i="13"/>
  <c r="C13" i="13"/>
  <c r="D13" i="13"/>
  <c r="D27" i="13"/>
  <c r="C27" i="13"/>
  <c r="D20" i="13"/>
  <c r="C20" i="13"/>
  <c r="C25" i="13"/>
  <c r="D25" i="13"/>
  <c r="D67" i="13"/>
  <c r="C67" i="13"/>
  <c r="D8" i="13"/>
  <c r="C8" i="13"/>
  <c r="C46" i="13"/>
  <c r="D46" i="13"/>
  <c r="C49" i="13"/>
  <c r="D49" i="13"/>
  <c r="D64" i="13"/>
  <c r="C64" i="13"/>
  <c r="D75" i="13"/>
  <c r="C75" i="13"/>
  <c r="C65" i="13"/>
  <c r="D65" i="13"/>
  <c r="D15" i="13"/>
  <c r="C15" i="13"/>
  <c r="D68" i="13"/>
  <c r="C68" i="13"/>
  <c r="D63" i="13"/>
  <c r="C63" i="13"/>
  <c r="C6" i="13"/>
  <c r="D6" i="13"/>
  <c r="C73" i="13"/>
  <c r="D73" i="13"/>
  <c r="C29" i="13"/>
  <c r="D29" i="13"/>
  <c r="C21" i="13"/>
  <c r="D21" i="13"/>
  <c r="D80" i="13"/>
  <c r="C80" i="13"/>
  <c r="D24" i="13"/>
  <c r="C24" i="13"/>
  <c r="C81" i="13"/>
  <c r="D81" i="13"/>
  <c r="D48" i="13"/>
  <c r="C48" i="13"/>
  <c r="D35" i="13"/>
  <c r="C35" i="13"/>
  <c r="C54" i="13"/>
  <c r="D54" i="13"/>
  <c r="C66" i="13"/>
  <c r="D66" i="13"/>
  <c r="C19" i="13"/>
  <c r="D19" i="13"/>
  <c r="D56" i="13"/>
  <c r="C56" i="13"/>
  <c r="C74" i="13"/>
  <c r="D74" i="13"/>
  <c r="D12" i="13"/>
  <c r="C12" i="13"/>
  <c r="C58" i="13"/>
  <c r="D58" i="13"/>
  <c r="C71" i="13"/>
  <c r="D71" i="13"/>
  <c r="C9" i="13"/>
  <c r="D9" i="13"/>
  <c r="D60" i="13"/>
  <c r="C60" i="13"/>
  <c r="C14" i="13"/>
  <c r="D14" i="13"/>
  <c r="D72" i="13"/>
  <c r="C72" i="13"/>
  <c r="C45" i="13"/>
  <c r="D45" i="13"/>
  <c r="AN44" i="11"/>
  <c r="A52" i="12"/>
  <c r="AW55" i="11"/>
  <c r="AN33" i="11"/>
  <c r="AW62" i="11"/>
  <c r="AN78" i="11"/>
  <c r="AM75" i="11"/>
  <c r="AM43" i="11"/>
  <c r="AW34" i="11"/>
  <c r="AN31" i="11"/>
  <c r="AL56" i="11"/>
  <c r="AW30" i="11"/>
  <c r="AM52" i="11"/>
  <c r="AW38" i="11"/>
  <c r="AW65" i="11"/>
  <c r="AW68" i="11"/>
  <c r="AW33" i="11"/>
  <c r="AW61" i="11"/>
  <c r="AW80" i="11"/>
  <c r="AM79" i="11"/>
  <c r="AW39" i="11"/>
  <c r="AM30" i="11"/>
  <c r="AN42" i="11"/>
  <c r="AN55" i="11"/>
  <c r="AW58" i="11"/>
  <c r="AM50" i="11"/>
  <c r="AW59" i="11"/>
  <c r="AW54" i="11"/>
  <c r="AN59" i="11"/>
  <c r="AL32" i="11"/>
  <c r="AN66" i="11"/>
  <c r="AK53" i="11"/>
  <c r="AL73" i="11"/>
  <c r="AW73" i="11"/>
  <c r="AW69" i="11"/>
  <c r="AM49" i="11"/>
  <c r="AL81" i="11"/>
  <c r="AN41" i="11"/>
  <c r="AW57" i="11"/>
  <c r="AW71" i="11"/>
  <c r="AN58" i="11"/>
  <c r="AM63" i="11"/>
  <c r="AN35" i="11"/>
  <c r="AN65" i="11"/>
  <c r="AW36" i="11"/>
  <c r="AW76" i="11"/>
  <c r="AW41" i="11"/>
  <c r="AW32" i="11"/>
  <c r="AW56" i="11"/>
  <c r="AL80" i="11"/>
  <c r="AW40" i="11"/>
  <c r="AM36" i="11"/>
  <c r="AN47" i="11"/>
  <c r="AL60" i="11"/>
  <c r="AW66" i="11"/>
  <c r="AN54" i="11"/>
  <c r="AM46" i="11"/>
  <c r="AU51" i="11"/>
  <c r="AW70" i="11"/>
  <c r="AW43" i="11"/>
  <c r="AW50" i="11"/>
  <c r="AM48" i="11"/>
  <c r="AW53" i="11"/>
  <c r="AW46" i="11"/>
  <c r="AW45" i="11"/>
  <c r="AM45" i="11"/>
  <c r="AW35" i="11"/>
  <c r="AW49" i="11"/>
  <c r="AL62" i="11"/>
  <c r="AW37" i="11"/>
  <c r="AM40" i="11"/>
  <c r="AW75" i="11"/>
  <c r="AM71" i="11"/>
  <c r="AN37" i="11"/>
  <c r="AW64" i="11"/>
  <c r="AM44" i="11"/>
  <c r="AN57" i="11"/>
  <c r="AW44" i="11"/>
  <c r="AW52" i="11"/>
  <c r="AN70" i="11"/>
  <c r="AN38" i="11"/>
  <c r="AM34" i="11"/>
  <c r="AW74" i="11"/>
  <c r="AW31" i="11"/>
  <c r="AN68" i="11"/>
  <c r="AW42" i="11"/>
  <c r="AW78" i="11"/>
  <c r="AL67" i="11"/>
  <c r="AW79" i="11"/>
  <c r="AN39" i="11"/>
  <c r="AK64" i="11"/>
  <c r="AW67" i="11"/>
  <c r="AL61" i="11"/>
  <c r="AO51" i="11"/>
  <c r="AM72" i="11"/>
  <c r="AW60" i="11"/>
  <c r="AN74" i="11"/>
  <c r="AW48" i="11"/>
  <c r="AW47" i="11"/>
  <c r="AW72" i="11"/>
  <c r="AM76" i="11"/>
  <c r="AW81" i="11"/>
  <c r="AN77" i="11"/>
  <c r="AW63" i="11"/>
  <c r="AW77" i="11"/>
  <c r="AL69" i="11"/>
  <c r="G7" i="24" l="1"/>
  <c r="K8" i="25" s="1"/>
  <c r="O10" i="25"/>
  <c r="J10" i="24"/>
  <c r="I11" i="24"/>
  <c r="K10" i="24"/>
  <c r="F8" i="24"/>
  <c r="E8" i="24"/>
  <c r="G8" i="24"/>
  <c r="K9" i="25" s="1"/>
  <c r="I11" i="25"/>
  <c r="J10" i="25"/>
  <c r="M12" i="25"/>
  <c r="N11" i="25"/>
  <c r="A53" i="12"/>
  <c r="AL45" i="11"/>
  <c r="AV51" i="11"/>
  <c r="AM41" i="11"/>
  <c r="AK32" i="11"/>
  <c r="AL50" i="11"/>
  <c r="AM31" i="11"/>
  <c r="AM78" i="11"/>
  <c r="AM77" i="11"/>
  <c r="AL72" i="11"/>
  <c r="AJ64" i="11"/>
  <c r="AL40" i="11"/>
  <c r="AM35" i="11"/>
  <c r="AM66" i="11"/>
  <c r="AM42" i="11"/>
  <c r="AK56" i="11"/>
  <c r="AL75" i="11"/>
  <c r="AN51" i="11"/>
  <c r="AM39" i="11"/>
  <c r="AL48" i="11"/>
  <c r="AK60" i="11"/>
  <c r="AK67" i="11"/>
  <c r="AM70" i="11"/>
  <c r="AL44" i="11"/>
  <c r="AM54" i="11"/>
  <c r="AL36" i="11"/>
  <c r="AM65" i="11"/>
  <c r="AL49" i="11"/>
  <c r="AJ53" i="11"/>
  <c r="AM55" i="11"/>
  <c r="AL79" i="11"/>
  <c r="AL43" i="11"/>
  <c r="AM33" i="11"/>
  <c r="AK69" i="11"/>
  <c r="AL34" i="11"/>
  <c r="AM37" i="11"/>
  <c r="AK80" i="11"/>
  <c r="AL63" i="11"/>
  <c r="AL30" i="11"/>
  <c r="AL76" i="11"/>
  <c r="AM74" i="11"/>
  <c r="AK61" i="11"/>
  <c r="AM68" i="11"/>
  <c r="AM38" i="11"/>
  <c r="AM57" i="11"/>
  <c r="AL71" i="11"/>
  <c r="AK62" i="11"/>
  <c r="AL46" i="11"/>
  <c r="AM47" i="11"/>
  <c r="AM58" i="11"/>
  <c r="AK81" i="11"/>
  <c r="AK73" i="11"/>
  <c r="AM59" i="11"/>
  <c r="AL52" i="11"/>
  <c r="L10" i="24" l="1"/>
  <c r="O11" i="25"/>
  <c r="J11" i="24"/>
  <c r="L11" i="24"/>
  <c r="I12" i="24"/>
  <c r="K11" i="24"/>
  <c r="F9" i="24"/>
  <c r="G9" i="24" s="1"/>
  <c r="K10" i="25" s="1"/>
  <c r="E9" i="24"/>
  <c r="M13" i="25"/>
  <c r="N12" i="25"/>
  <c r="J11" i="25"/>
  <c r="I12" i="25"/>
  <c r="A54" i="12"/>
  <c r="AY33" i="11"/>
  <c r="AY45" i="11"/>
  <c r="AL33" i="11"/>
  <c r="AY43" i="11"/>
  <c r="AY61" i="11"/>
  <c r="AL66" i="11"/>
  <c r="AY57" i="11"/>
  <c r="AY66" i="11"/>
  <c r="AY78" i="11"/>
  <c r="AK72" i="11"/>
  <c r="AL31" i="11"/>
  <c r="AY38" i="11"/>
  <c r="AJ32" i="11"/>
  <c r="AJ81" i="11"/>
  <c r="AY36" i="11"/>
  <c r="AL47" i="11"/>
  <c r="AY50" i="11"/>
  <c r="AJ62" i="11"/>
  <c r="AL68" i="11"/>
  <c r="AK76" i="11"/>
  <c r="AJ80" i="11"/>
  <c r="AJ69" i="11"/>
  <c r="AI53" i="11"/>
  <c r="AY71" i="11"/>
  <c r="AY75" i="11"/>
  <c r="AL70" i="11"/>
  <c r="AY63" i="11"/>
  <c r="AY42" i="11"/>
  <c r="AM51" i="11"/>
  <c r="AY55" i="11"/>
  <c r="AJ56" i="11"/>
  <c r="AY80" i="11"/>
  <c r="AY69" i="11"/>
  <c r="AL35" i="11"/>
  <c r="AY40" i="11"/>
  <c r="AY35" i="11"/>
  <c r="AY74" i="11"/>
  <c r="AI64" i="11"/>
  <c r="AY47" i="11"/>
  <c r="AL78" i="11"/>
  <c r="AK50" i="11"/>
  <c r="AK45" i="11"/>
  <c r="AY56" i="11"/>
  <c r="AK46" i="11"/>
  <c r="AK71" i="11"/>
  <c r="AY30" i="11"/>
  <c r="AK79" i="11"/>
  <c r="AY54" i="11"/>
  <c r="AK49" i="11"/>
  <c r="AY67" i="11"/>
  <c r="AY34" i="11"/>
  <c r="AY58" i="11"/>
  <c r="AJ73" i="11"/>
  <c r="AL38" i="11"/>
  <c r="AY79" i="11"/>
  <c r="AL74" i="11"/>
  <c r="AY77" i="11"/>
  <c r="AK63" i="11"/>
  <c r="AL65" i="11"/>
  <c r="AY49" i="11"/>
  <c r="AK44" i="11"/>
  <c r="AY31" i="11"/>
  <c r="AY72" i="11"/>
  <c r="AY76" i="11"/>
  <c r="AK48" i="11"/>
  <c r="AY44" i="11"/>
  <c r="AL39" i="11"/>
  <c r="AY81" i="11"/>
  <c r="AK75" i="11"/>
  <c r="AY65" i="11"/>
  <c r="AL42" i="11"/>
  <c r="AY41" i="11"/>
  <c r="AY53" i="11"/>
  <c r="AK40" i="11"/>
  <c r="AY52" i="11"/>
  <c r="AL77" i="11"/>
  <c r="AW51" i="11"/>
  <c r="AL58" i="11"/>
  <c r="AL37" i="11"/>
  <c r="AY48" i="11"/>
  <c r="AK36" i="11"/>
  <c r="AY62" i="11"/>
  <c r="AK52" i="11"/>
  <c r="AY39" i="11"/>
  <c r="AL59" i="11"/>
  <c r="AL57" i="11"/>
  <c r="AJ61" i="11"/>
  <c r="AK30" i="11"/>
  <c r="AK34" i="11"/>
  <c r="AK43" i="11"/>
  <c r="AY68" i="11"/>
  <c r="AL55" i="11"/>
  <c r="AY32" i="11"/>
  <c r="AL54" i="11"/>
  <c r="AY46" i="11"/>
  <c r="AJ67" i="11"/>
  <c r="AY60" i="11"/>
  <c r="AY73" i="11"/>
  <c r="AJ60" i="11"/>
  <c r="AY37" i="11"/>
  <c r="AY59" i="11"/>
  <c r="AY70" i="11"/>
  <c r="AY64" i="11"/>
  <c r="AL41" i="11"/>
  <c r="O12" i="25" l="1"/>
  <c r="J12" i="24"/>
  <c r="L12" i="24"/>
  <c r="I13" i="24"/>
  <c r="K12" i="24"/>
  <c r="F10" i="24"/>
  <c r="E10" i="24"/>
  <c r="G10" i="24"/>
  <c r="K11" i="25" s="1"/>
  <c r="I13" i="25"/>
  <c r="J12" i="25"/>
  <c r="N13" i="25"/>
  <c r="M14" i="25"/>
  <c r="A55" i="12"/>
  <c r="AZ64" i="11"/>
  <c r="AZ68" i="11"/>
  <c r="AJ34" i="11"/>
  <c r="AK59" i="11"/>
  <c r="AJ36" i="11"/>
  <c r="AZ52" i="11"/>
  <c r="AJ75" i="11"/>
  <c r="AZ34" i="11"/>
  <c r="AJ49" i="11"/>
  <c r="AZ56" i="11"/>
  <c r="AZ55" i="11"/>
  <c r="AJ76" i="11"/>
  <c r="AK47" i="11"/>
  <c r="AZ45" i="11"/>
  <c r="AZ37" i="11"/>
  <c r="AK54" i="11"/>
  <c r="AJ43" i="11"/>
  <c r="AK57" i="11"/>
  <c r="AZ39" i="11"/>
  <c r="AZ48" i="11"/>
  <c r="AK58" i="11"/>
  <c r="AJ40" i="11"/>
  <c r="AZ41" i="11"/>
  <c r="AZ81" i="11"/>
  <c r="AZ76" i="11"/>
  <c r="AZ49" i="11"/>
  <c r="AJ63" i="11"/>
  <c r="AK38" i="11"/>
  <c r="AZ58" i="11"/>
  <c r="AZ54" i="11"/>
  <c r="AJ45" i="11"/>
  <c r="AZ47" i="11"/>
  <c r="AZ40" i="11"/>
  <c r="AL51" i="11"/>
  <c r="AZ63" i="11"/>
  <c r="AI80" i="11"/>
  <c r="AZ36" i="11"/>
  <c r="AI32" i="11"/>
  <c r="AZ57" i="11"/>
  <c r="AZ72" i="11"/>
  <c r="AZ79" i="11"/>
  <c r="AI73" i="11"/>
  <c r="AK78" i="11"/>
  <c r="AZ59" i="11"/>
  <c r="AI60" i="11"/>
  <c r="AZ60" i="11"/>
  <c r="AZ32" i="11"/>
  <c r="AI61" i="11"/>
  <c r="AJ52" i="11"/>
  <c r="AK37" i="11"/>
  <c r="AZ53" i="11"/>
  <c r="AK42" i="11"/>
  <c r="AK39" i="11"/>
  <c r="AK65" i="11"/>
  <c r="AZ77" i="11"/>
  <c r="AJ79" i="11"/>
  <c r="AH64" i="11"/>
  <c r="AZ35" i="11"/>
  <c r="AK35" i="11"/>
  <c r="AZ80" i="11"/>
  <c r="AZ42" i="11"/>
  <c r="AK70" i="11"/>
  <c r="AZ71" i="11"/>
  <c r="AI69" i="11"/>
  <c r="AI62" i="11"/>
  <c r="AI81" i="11"/>
  <c r="AZ38" i="11"/>
  <c r="AJ72" i="11"/>
  <c r="AZ66" i="11"/>
  <c r="AK66" i="11"/>
  <c r="AZ43" i="11"/>
  <c r="AZ46" i="11"/>
  <c r="AJ48" i="11"/>
  <c r="AJ44" i="11"/>
  <c r="AJ71" i="11"/>
  <c r="AJ50" i="11"/>
  <c r="AK41" i="11"/>
  <c r="AZ70" i="11"/>
  <c r="AZ73" i="11"/>
  <c r="AI67" i="11"/>
  <c r="AK55" i="11"/>
  <c r="AJ30" i="11"/>
  <c r="AZ62" i="11"/>
  <c r="AK77" i="11"/>
  <c r="AZ65" i="11"/>
  <c r="AZ44" i="11"/>
  <c r="AZ31" i="11"/>
  <c r="AK74" i="11"/>
  <c r="AZ67" i="11"/>
  <c r="AZ30" i="11"/>
  <c r="AJ46" i="11"/>
  <c r="AZ74" i="11"/>
  <c r="AZ69" i="11"/>
  <c r="AI56" i="11"/>
  <c r="AZ75" i="11"/>
  <c r="AH53" i="11"/>
  <c r="AK68" i="11"/>
  <c r="AZ50" i="11"/>
  <c r="AK31" i="11"/>
  <c r="AZ78" i="11"/>
  <c r="AZ61" i="11"/>
  <c r="AK33" i="11"/>
  <c r="AZ33" i="11"/>
  <c r="O13" i="25" l="1"/>
  <c r="J13" i="24"/>
  <c r="L13" i="24"/>
  <c r="I14" i="24"/>
  <c r="K13" i="24"/>
  <c r="F11" i="24"/>
  <c r="E11" i="24"/>
  <c r="G11" i="24"/>
  <c r="K12" i="25" s="1"/>
  <c r="M15" i="25"/>
  <c r="N14" i="25"/>
  <c r="I14" i="25"/>
  <c r="J13" i="25"/>
  <c r="A56" i="12"/>
  <c r="AI30" i="11"/>
  <c r="AJ37" i="11"/>
  <c r="BA59" i="11"/>
  <c r="AH73" i="11"/>
  <c r="BA40" i="11"/>
  <c r="BA76" i="11"/>
  <c r="BA56" i="11"/>
  <c r="BA52" i="11"/>
  <c r="AJ59" i="11"/>
  <c r="BA68" i="11"/>
  <c r="BA61" i="11"/>
  <c r="AJ31" i="11"/>
  <c r="BA69" i="11"/>
  <c r="AI46" i="11"/>
  <c r="BA67" i="11"/>
  <c r="BA65" i="11"/>
  <c r="AI71" i="11"/>
  <c r="BA66" i="11"/>
  <c r="BA42" i="11"/>
  <c r="AJ35" i="11"/>
  <c r="AJ78" i="11"/>
  <c r="BA79" i="11"/>
  <c r="AH80" i="11"/>
  <c r="BA54" i="11"/>
  <c r="AJ38" i="11"/>
  <c r="BA49" i="11"/>
  <c r="AJ58" i="11"/>
  <c r="BA39" i="11"/>
  <c r="AI43" i="11"/>
  <c r="BA37" i="11"/>
  <c r="AJ47" i="11"/>
  <c r="BA55" i="11"/>
  <c r="AI49" i="11"/>
  <c r="AI36" i="11"/>
  <c r="AJ33" i="11"/>
  <c r="AH56" i="11"/>
  <c r="AI44" i="11"/>
  <c r="AH81" i="11"/>
  <c r="BA72" i="11"/>
  <c r="BA36" i="11"/>
  <c r="BA58" i="11"/>
  <c r="AI63" i="11"/>
  <c r="AJ54" i="11"/>
  <c r="BA45" i="11"/>
  <c r="BA50" i="11"/>
  <c r="AG53" i="11"/>
  <c r="BA30" i="11"/>
  <c r="AJ74" i="11"/>
  <c r="BA44" i="11"/>
  <c r="AJ77" i="11"/>
  <c r="AH67" i="11"/>
  <c r="BA70" i="11"/>
  <c r="AI50" i="11"/>
  <c r="AI72" i="11"/>
  <c r="AH69" i="11"/>
  <c r="BA35" i="11"/>
  <c r="AI79" i="11"/>
  <c r="AJ42" i="11"/>
  <c r="AH61" i="11"/>
  <c r="BA60" i="11"/>
  <c r="BA57" i="11"/>
  <c r="BA63" i="11"/>
  <c r="BA41" i="11"/>
  <c r="BA48" i="11"/>
  <c r="AJ57" i="11"/>
  <c r="BA34" i="11"/>
  <c r="BA78" i="11"/>
  <c r="BA74" i="11"/>
  <c r="BA46" i="11"/>
  <c r="AJ66" i="11"/>
  <c r="AJ70" i="11"/>
  <c r="BA80" i="11"/>
  <c r="AJ65" i="11"/>
  <c r="AI45" i="11"/>
  <c r="AI76" i="11"/>
  <c r="BA33" i="11"/>
  <c r="AJ68" i="11"/>
  <c r="BA75" i="11"/>
  <c r="BA31" i="11"/>
  <c r="BA62" i="11"/>
  <c r="AJ55" i="11"/>
  <c r="BA73" i="11"/>
  <c r="AJ41" i="11"/>
  <c r="AI48" i="11"/>
  <c r="BA43" i="11"/>
  <c r="BA38" i="11"/>
  <c r="AH62" i="11"/>
  <c r="BA71" i="11"/>
  <c r="AG64" i="11"/>
  <c r="BA77" i="11"/>
  <c r="AJ39" i="11"/>
  <c r="BA53" i="11"/>
  <c r="AI52" i="11"/>
  <c r="BA32" i="11"/>
  <c r="AH60" i="11"/>
  <c r="AY51" i="11"/>
  <c r="AH32" i="11"/>
  <c r="AK51" i="11"/>
  <c r="BA47" i="11"/>
  <c r="BA81" i="11"/>
  <c r="AI40" i="11"/>
  <c r="AI75" i="11"/>
  <c r="AI34" i="11"/>
  <c r="BA64" i="11"/>
  <c r="O14" i="25" l="1"/>
  <c r="J14" i="24"/>
  <c r="I15" i="24"/>
  <c r="K14" i="24"/>
  <c r="L14" i="24" s="1"/>
  <c r="F12" i="24"/>
  <c r="E12" i="24"/>
  <c r="G12" i="24"/>
  <c r="K13" i="25" s="1"/>
  <c r="J14" i="25"/>
  <c r="I15" i="25"/>
  <c r="M16" i="25"/>
  <c r="N15" i="25"/>
  <c r="E3" i="18"/>
  <c r="A57" i="12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BB77" i="11"/>
  <c r="BB73" i="11"/>
  <c r="BB48" i="11"/>
  <c r="BB63" i="11"/>
  <c r="BB30" i="11"/>
  <c r="AG56" i="11"/>
  <c r="BB37" i="11"/>
  <c r="BB49" i="11"/>
  <c r="BB79" i="11"/>
  <c r="AI35" i="11"/>
  <c r="BB42" i="11"/>
  <c r="AI31" i="11"/>
  <c r="BB76" i="11"/>
  <c r="AG73" i="11"/>
  <c r="AH75" i="11"/>
  <c r="AH40" i="11"/>
  <c r="BB47" i="11"/>
  <c r="AG32" i="11"/>
  <c r="AH52" i="11"/>
  <c r="AF64" i="11"/>
  <c r="AI55" i="11"/>
  <c r="BB62" i="11"/>
  <c r="BB31" i="11"/>
  <c r="AI68" i="11"/>
  <c r="BB33" i="11"/>
  <c r="AI65" i="11"/>
  <c r="BB74" i="11"/>
  <c r="BB78" i="11"/>
  <c r="AI57" i="11"/>
  <c r="BB41" i="11"/>
  <c r="AH79" i="11"/>
  <c r="AH50" i="11"/>
  <c r="BB44" i="11"/>
  <c r="BB50" i="11"/>
  <c r="BB36" i="11"/>
  <c r="BB72" i="11"/>
  <c r="AH44" i="11"/>
  <c r="AH49" i="11"/>
  <c r="AH43" i="11"/>
  <c r="AI38" i="11"/>
  <c r="BB54" i="11"/>
  <c r="AI78" i="11"/>
  <c r="AH71" i="11"/>
  <c r="BB67" i="11"/>
  <c r="BB61" i="11"/>
  <c r="AI59" i="11"/>
  <c r="BB56" i="11"/>
  <c r="BB40" i="11"/>
  <c r="BB59" i="11"/>
  <c r="AH30" i="11"/>
  <c r="AH48" i="11"/>
  <c r="AI74" i="11"/>
  <c r="AH34" i="11"/>
  <c r="BB81" i="11"/>
  <c r="AJ51" i="11"/>
  <c r="AZ51" i="11"/>
  <c r="BB32" i="11"/>
  <c r="BB53" i="11"/>
  <c r="BB71" i="11"/>
  <c r="BB38" i="11"/>
  <c r="BB43" i="11"/>
  <c r="AH45" i="11"/>
  <c r="BB80" i="11"/>
  <c r="AI66" i="11"/>
  <c r="BB46" i="11"/>
  <c r="BB34" i="11"/>
  <c r="BB60" i="11"/>
  <c r="AI42" i="11"/>
  <c r="BB35" i="11"/>
  <c r="AH72" i="11"/>
  <c r="BB70" i="11"/>
  <c r="AI77" i="11"/>
  <c r="AF53" i="11"/>
  <c r="BB45" i="11"/>
  <c r="AH63" i="11"/>
  <c r="BB58" i="11"/>
  <c r="AG81" i="11"/>
  <c r="AH36" i="11"/>
  <c r="BB55" i="11"/>
  <c r="BB39" i="11"/>
  <c r="BB65" i="11"/>
  <c r="AH46" i="11"/>
  <c r="BB52" i="11"/>
  <c r="AI37" i="11"/>
  <c r="BB64" i="11"/>
  <c r="BB75" i="11"/>
  <c r="AG60" i="11"/>
  <c r="AI39" i="11"/>
  <c r="AG62" i="11"/>
  <c r="AI41" i="11"/>
  <c r="AH76" i="11"/>
  <c r="AI70" i="11"/>
  <c r="BB57" i="11"/>
  <c r="AG61" i="11"/>
  <c r="AG69" i="11"/>
  <c r="AG67" i="11"/>
  <c r="AI54" i="11"/>
  <c r="AI33" i="11"/>
  <c r="AI47" i="11"/>
  <c r="AI58" i="11"/>
  <c r="AG80" i="11"/>
  <c r="BB66" i="11"/>
  <c r="BB69" i="11"/>
  <c r="BB68" i="11"/>
  <c r="O15" i="25" l="1"/>
  <c r="J15" i="24"/>
  <c r="I16" i="24"/>
  <c r="K15" i="24"/>
  <c r="F13" i="24"/>
  <c r="E13" i="24"/>
  <c r="G13" i="24"/>
  <c r="K14" i="25" s="1"/>
  <c r="I16" i="25"/>
  <c r="J15" i="25"/>
  <c r="N16" i="25"/>
  <c r="M17" i="25"/>
  <c r="AH47" i="11"/>
  <c r="AF69" i="11"/>
  <c r="BC57" i="11"/>
  <c r="AG76" i="11"/>
  <c r="AF60" i="11"/>
  <c r="BC64" i="11"/>
  <c r="BC65" i="11"/>
  <c r="AG63" i="11"/>
  <c r="BC35" i="11"/>
  <c r="BC46" i="11"/>
  <c r="BC43" i="11"/>
  <c r="BC32" i="11"/>
  <c r="AI51" i="11"/>
  <c r="AG48" i="11"/>
  <c r="BC59" i="11"/>
  <c r="BC61" i="11"/>
  <c r="AG71" i="11"/>
  <c r="BC54" i="11"/>
  <c r="AG43" i="11"/>
  <c r="BC44" i="11"/>
  <c r="AG79" i="11"/>
  <c r="BC33" i="11"/>
  <c r="AG52" i="11"/>
  <c r="AG40" i="11"/>
  <c r="AH31" i="11"/>
  <c r="BC73" i="11"/>
  <c r="BC66" i="11"/>
  <c r="AH58" i="11"/>
  <c r="AF67" i="11"/>
  <c r="AH70" i="11"/>
  <c r="AH39" i="11"/>
  <c r="BC75" i="11"/>
  <c r="AH37" i="11"/>
  <c r="BC45" i="11"/>
  <c r="AH77" i="11"/>
  <c r="AH42" i="11"/>
  <c r="BC34" i="11"/>
  <c r="AH66" i="11"/>
  <c r="BC53" i="11"/>
  <c r="BC81" i="11"/>
  <c r="AH74" i="11"/>
  <c r="AH38" i="11"/>
  <c r="BC50" i="11"/>
  <c r="AG50" i="11"/>
  <c r="BC41" i="11"/>
  <c r="AH68" i="11"/>
  <c r="BC62" i="11"/>
  <c r="AE64" i="11"/>
  <c r="BC42" i="11"/>
  <c r="BC37" i="11"/>
  <c r="BC48" i="11"/>
  <c r="BC69" i="11"/>
  <c r="AH54" i="11"/>
  <c r="AF62" i="11"/>
  <c r="BC52" i="11"/>
  <c r="BC55" i="11"/>
  <c r="AF81" i="11"/>
  <c r="AE53" i="11"/>
  <c r="BC70" i="11"/>
  <c r="BC60" i="11"/>
  <c r="BC80" i="11"/>
  <c r="BC71" i="11"/>
  <c r="AG34" i="11"/>
  <c r="BC56" i="11"/>
  <c r="AG44" i="11"/>
  <c r="BC36" i="11"/>
  <c r="AH57" i="11"/>
  <c r="BC74" i="11"/>
  <c r="BC31" i="11"/>
  <c r="AH55" i="11"/>
  <c r="AF73" i="11"/>
  <c r="AH35" i="11"/>
  <c r="BC49" i="11"/>
  <c r="AF56" i="11"/>
  <c r="BC63" i="11"/>
  <c r="AF80" i="11"/>
  <c r="BC68" i="11"/>
  <c r="AH33" i="11"/>
  <c r="AF61" i="11"/>
  <c r="AH41" i="11"/>
  <c r="AG46" i="11"/>
  <c r="BC39" i="11"/>
  <c r="AG36" i="11"/>
  <c r="BC58" i="11"/>
  <c r="AG72" i="11"/>
  <c r="AG45" i="11"/>
  <c r="BC38" i="11"/>
  <c r="BA51" i="11"/>
  <c r="AG30" i="11"/>
  <c r="BC40" i="11"/>
  <c r="AH59" i="11"/>
  <c r="BC67" i="11"/>
  <c r="AH78" i="11"/>
  <c r="AG49" i="11"/>
  <c r="BC72" i="11"/>
  <c r="BC78" i="11"/>
  <c r="AH65" i="11"/>
  <c r="BC47" i="11"/>
  <c r="AG75" i="11"/>
  <c r="BC76" i="11"/>
  <c r="BC79" i="11"/>
  <c r="BC30" i="11"/>
  <c r="BC77" i="11"/>
  <c r="L15" i="24" l="1"/>
  <c r="O16" i="25"/>
  <c r="J16" i="24"/>
  <c r="L16" i="24" s="1"/>
  <c r="I17" i="24"/>
  <c r="K16" i="24"/>
  <c r="F14" i="24"/>
  <c r="E14" i="24"/>
  <c r="G14" i="24"/>
  <c r="K15" i="25" s="1"/>
  <c r="M18" i="25"/>
  <c r="N17" i="25"/>
  <c r="I17" i="25"/>
  <c r="J16" i="25"/>
  <c r="AF49" i="11"/>
  <c r="BB51" i="11"/>
  <c r="AG33" i="11"/>
  <c r="AE56" i="11"/>
  <c r="AG55" i="11"/>
  <c r="AD53" i="11"/>
  <c r="AG68" i="11"/>
  <c r="AG66" i="11"/>
  <c r="AG70" i="11"/>
  <c r="AF63" i="11"/>
  <c r="AF76" i="11"/>
  <c r="AG59" i="11"/>
  <c r="AF36" i="11"/>
  <c r="AE61" i="11"/>
  <c r="AE73" i="11"/>
  <c r="AG57" i="11"/>
  <c r="AF34" i="11"/>
  <c r="AG77" i="11"/>
  <c r="AG39" i="11"/>
  <c r="AF79" i="11"/>
  <c r="AF71" i="11"/>
  <c r="AH51" i="11"/>
  <c r="AE60" i="11"/>
  <c r="AG47" i="11"/>
  <c r="AE62" i="11"/>
  <c r="AG38" i="11"/>
  <c r="AG41" i="11"/>
  <c r="AE80" i="11"/>
  <c r="AG35" i="11"/>
  <c r="AD64" i="11"/>
  <c r="AF50" i="11"/>
  <c r="AG42" i="11"/>
  <c r="AG58" i="11"/>
  <c r="AF40" i="11"/>
  <c r="AF48" i="11"/>
  <c r="AE69" i="11"/>
  <c r="AF45" i="11"/>
  <c r="AF75" i="11"/>
  <c r="AG65" i="11"/>
  <c r="AG78" i="11"/>
  <c r="AF30" i="11"/>
  <c r="AF72" i="11"/>
  <c r="AF46" i="11"/>
  <c r="AF44" i="11"/>
  <c r="AE81" i="11"/>
  <c r="AG54" i="11"/>
  <c r="AG74" i="11"/>
  <c r="AG37" i="11"/>
  <c r="AE67" i="11"/>
  <c r="AG31" i="11"/>
  <c r="AF52" i="11"/>
  <c r="AF43" i="11"/>
  <c r="O17" i="25" l="1"/>
  <c r="J17" i="24"/>
  <c r="I18" i="24"/>
  <c r="K17" i="24"/>
  <c r="L17" i="24" s="1"/>
  <c r="F15" i="24"/>
  <c r="E15" i="24"/>
  <c r="G15" i="24"/>
  <c r="K16" i="25" s="1"/>
  <c r="M19" i="25"/>
  <c r="N18" i="25"/>
  <c r="J17" i="25"/>
  <c r="I18" i="25"/>
  <c r="AE50" i="11"/>
  <c r="AF47" i="11"/>
  <c r="AE79" i="11"/>
  <c r="AF59" i="11"/>
  <c r="AE63" i="11"/>
  <c r="AF70" i="11"/>
  <c r="AF68" i="11"/>
  <c r="AE43" i="11"/>
  <c r="AF74" i="11"/>
  <c r="AF54" i="11"/>
  <c r="AE44" i="11"/>
  <c r="AE45" i="11"/>
  <c r="AE40" i="11"/>
  <c r="AF42" i="11"/>
  <c r="AF41" i="11"/>
  <c r="AF38" i="11"/>
  <c r="AE71" i="11"/>
  <c r="AD73" i="11"/>
  <c r="AE36" i="11"/>
  <c r="AC53" i="11"/>
  <c r="AF33" i="11"/>
  <c r="BC51" i="11"/>
  <c r="AD62" i="11"/>
  <c r="AE72" i="11"/>
  <c r="AF78" i="11"/>
  <c r="AD69" i="11"/>
  <c r="AD80" i="11"/>
  <c r="AD60" i="11"/>
  <c r="AF77" i="11"/>
  <c r="AD61" i="11"/>
  <c r="AE76" i="11"/>
  <c r="AF66" i="11"/>
  <c r="AD56" i="11"/>
  <c r="AE49" i="11"/>
  <c r="AE52" i="11"/>
  <c r="AD67" i="11"/>
  <c r="AF65" i="11"/>
  <c r="AE48" i="11"/>
  <c r="AF37" i="11"/>
  <c r="AD81" i="11"/>
  <c r="AE46" i="11"/>
  <c r="AE75" i="11"/>
  <c r="AF58" i="11"/>
  <c r="AC64" i="11"/>
  <c r="AF35" i="11"/>
  <c r="AG51" i="11"/>
  <c r="AF39" i="11"/>
  <c r="AF57" i="11"/>
  <c r="AF55" i="11"/>
  <c r="O18" i="25" l="1"/>
  <c r="J18" i="24"/>
  <c r="I19" i="24"/>
  <c r="K18" i="24"/>
  <c r="F16" i="24"/>
  <c r="E16" i="24"/>
  <c r="G16" i="24"/>
  <c r="K17" i="25" s="1"/>
  <c r="I19" i="25"/>
  <c r="J18" i="25"/>
  <c r="N19" i="25"/>
  <c r="M20" i="25"/>
  <c r="AE58" i="11"/>
  <c r="AE66" i="11"/>
  <c r="AE41" i="11"/>
  <c r="AD43" i="11"/>
  <c r="AE55" i="11"/>
  <c r="AE57" i="11"/>
  <c r="AB64" i="11"/>
  <c r="AE37" i="11"/>
  <c r="AE65" i="11"/>
  <c r="AE77" i="11"/>
  <c r="AC80" i="11"/>
  <c r="AB53" i="11"/>
  <c r="AC73" i="11"/>
  <c r="AD71" i="11"/>
  <c r="AE74" i="11"/>
  <c r="AE70" i="11"/>
  <c r="AE47" i="11"/>
  <c r="AD49" i="11"/>
  <c r="AE78" i="11"/>
  <c r="AF51" i="11"/>
  <c r="AD75" i="11"/>
  <c r="AC81" i="11"/>
  <c r="AD52" i="11"/>
  <c r="AC56" i="11"/>
  <c r="AC61" i="11"/>
  <c r="AC69" i="11"/>
  <c r="AE38" i="11"/>
  <c r="AD40" i="11"/>
  <c r="AE68" i="11"/>
  <c r="AE59" i="11"/>
  <c r="AD50" i="11"/>
  <c r="AD44" i="11"/>
  <c r="AE39" i="11"/>
  <c r="AE35" i="11"/>
  <c r="AD46" i="11"/>
  <c r="AD48" i="11"/>
  <c r="AC67" i="11"/>
  <c r="AD76" i="11"/>
  <c r="AC60" i="11"/>
  <c r="AD72" i="11"/>
  <c r="AC62" i="11"/>
  <c r="AE42" i="11"/>
  <c r="AD45" i="11"/>
  <c r="AE54" i="11"/>
  <c r="AD63" i="11"/>
  <c r="AD79" i="11"/>
  <c r="L18" i="24" l="1"/>
  <c r="O19" i="25"/>
  <c r="J19" i="24"/>
  <c r="L19" i="24"/>
  <c r="I20" i="24"/>
  <c r="K19" i="24"/>
  <c r="F17" i="24"/>
  <c r="G17" i="24" s="1"/>
  <c r="K18" i="25" s="1"/>
  <c r="E17" i="24"/>
  <c r="N20" i="25"/>
  <c r="M21" i="25"/>
  <c r="I20" i="25"/>
  <c r="J19" i="25"/>
  <c r="AC76" i="11"/>
  <c r="AC46" i="11"/>
  <c r="AB69" i="11"/>
  <c r="AC75" i="11"/>
  <c r="AB80" i="11"/>
  <c r="AA64" i="11"/>
  <c r="AD54" i="11"/>
  <c r="AC48" i="11"/>
  <c r="AC50" i="11"/>
  <c r="AB61" i="11"/>
  <c r="AD78" i="11"/>
  <c r="AD70" i="11"/>
  <c r="AB73" i="11"/>
  <c r="AD65" i="11"/>
  <c r="AD55" i="11"/>
  <c r="AD41" i="11"/>
  <c r="AD66" i="11"/>
  <c r="AB62" i="11"/>
  <c r="AB56" i="11"/>
  <c r="AC63" i="11"/>
  <c r="AB60" i="11"/>
  <c r="AB67" i="11"/>
  <c r="AD68" i="11"/>
  <c r="AC52" i="11"/>
  <c r="AB81" i="11"/>
  <c r="AC71" i="11"/>
  <c r="AA53" i="11"/>
  <c r="AD77" i="11"/>
  <c r="AD57" i="11"/>
  <c r="AC43" i="11"/>
  <c r="AD74" i="11"/>
  <c r="AC79" i="11"/>
  <c r="AD42" i="11"/>
  <c r="AC72" i="11"/>
  <c r="AD39" i="11"/>
  <c r="AD59" i="11"/>
  <c r="AE51" i="11"/>
  <c r="AC49" i="11"/>
  <c r="AD47" i="11"/>
  <c r="AD58" i="11"/>
  <c r="O20" i="25" l="1"/>
  <c r="J20" i="24"/>
  <c r="L20" i="24"/>
  <c r="I21" i="24"/>
  <c r="K20" i="24"/>
  <c r="F18" i="24"/>
  <c r="E18" i="24"/>
  <c r="G18" i="24"/>
  <c r="K19" i="25" s="1"/>
  <c r="N21" i="25"/>
  <c r="M22" i="25"/>
  <c r="J20" i="25"/>
  <c r="I21" i="25"/>
  <c r="AC77" i="11"/>
  <c r="AB52" i="11"/>
  <c r="AC68" i="11"/>
  <c r="AA60" i="11"/>
  <c r="AA56" i="11"/>
  <c r="AC55" i="11"/>
  <c r="AA73" i="11"/>
  <c r="AB48" i="11"/>
  <c r="Z64" i="11"/>
  <c r="AA69" i="11"/>
  <c r="AB72" i="11"/>
  <c r="AC74" i="11"/>
  <c r="AA67" i="11"/>
  <c r="AC66" i="11"/>
  <c r="AC78" i="11"/>
  <c r="AA61" i="11"/>
  <c r="AB50" i="11"/>
  <c r="AA80" i="11"/>
  <c r="AC58" i="11"/>
  <c r="AB49" i="11"/>
  <c r="AB79" i="11"/>
  <c r="AC57" i="11"/>
  <c r="AB71" i="11"/>
  <c r="AA81" i="11"/>
  <c r="AA62" i="11"/>
  <c r="AC65" i="11"/>
  <c r="AC70" i="11"/>
  <c r="AB75" i="11"/>
  <c r="AB76" i="11"/>
  <c r="AC47" i="11"/>
  <c r="AD51" i="11"/>
  <c r="AC59" i="11"/>
  <c r="Z53" i="11"/>
  <c r="AB63" i="11"/>
  <c r="AC54" i="11"/>
  <c r="AB46" i="11"/>
  <c r="O21" i="25" l="1"/>
  <c r="J21" i="24"/>
  <c r="L21" i="24"/>
  <c r="O22" i="25" s="1"/>
  <c r="I22" i="24"/>
  <c r="K21" i="24"/>
  <c r="F19" i="24"/>
  <c r="E19" i="24"/>
  <c r="G19" i="24"/>
  <c r="K20" i="25" s="1"/>
  <c r="M23" i="25"/>
  <c r="N22" i="25"/>
  <c r="J21" i="25"/>
  <c r="I22" i="25"/>
  <c r="AA71" i="11"/>
  <c r="Z80" i="11"/>
  <c r="AB55" i="11"/>
  <c r="AB54" i="11"/>
  <c r="AA76" i="11"/>
  <c r="AB65" i="11"/>
  <c r="AA49" i="11"/>
  <c r="AA72" i="11"/>
  <c r="Y64" i="11"/>
  <c r="Z73" i="11"/>
  <c r="Z56" i="11"/>
  <c r="AB68" i="11"/>
  <c r="AA46" i="11"/>
  <c r="AB47" i="11"/>
  <c r="AA52" i="11"/>
  <c r="Y53" i="11"/>
  <c r="AC51" i="11"/>
  <c r="AA63" i="11"/>
  <c r="AB70" i="11"/>
  <c r="Z81" i="11"/>
  <c r="AA50" i="11"/>
  <c r="AB78" i="11"/>
  <c r="Z69" i="11"/>
  <c r="Z60" i="11"/>
  <c r="Z61" i="11"/>
  <c r="AB59" i="11"/>
  <c r="AA75" i="11"/>
  <c r="Z62" i="11"/>
  <c r="AB57" i="11"/>
  <c r="AA79" i="11"/>
  <c r="AB58" i="11"/>
  <c r="AB66" i="11"/>
  <c r="Z67" i="11"/>
  <c r="AB74" i="11"/>
  <c r="AA48" i="11"/>
  <c r="AB77" i="11"/>
  <c r="J22" i="24" l="1"/>
  <c r="L22" i="24"/>
  <c r="O23" i="25" s="1"/>
  <c r="I23" i="24"/>
  <c r="K22" i="24"/>
  <c r="F20" i="24"/>
  <c r="E20" i="24"/>
  <c r="G20" i="24"/>
  <c r="K21" i="25" s="1"/>
  <c r="J22" i="25"/>
  <c r="I23" i="25"/>
  <c r="M24" i="25"/>
  <c r="O24" i="25" s="1"/>
  <c r="N23" i="25"/>
  <c r="Y62" i="11"/>
  <c r="Y60" i="11"/>
  <c r="AA70" i="11"/>
  <c r="Y73" i="11"/>
  <c r="AA74" i="11"/>
  <c r="AA66" i="11"/>
  <c r="AA58" i="11"/>
  <c r="AA59" i="11"/>
  <c r="Y69" i="11"/>
  <c r="Y81" i="11"/>
  <c r="Z63" i="11"/>
  <c r="Z52" i="11"/>
  <c r="AA47" i="11"/>
  <c r="Y56" i="11"/>
  <c r="Z72" i="11"/>
  <c r="AA65" i="11"/>
  <c r="AA54" i="11"/>
  <c r="Y80" i="11"/>
  <c r="Z48" i="11"/>
  <c r="AA57" i="11"/>
  <c r="Z75" i="11"/>
  <c r="Z50" i="11"/>
  <c r="X53" i="11"/>
  <c r="AA77" i="11"/>
  <c r="Y67" i="11"/>
  <c r="Z79" i="11"/>
  <c r="Y61" i="11"/>
  <c r="AA78" i="11"/>
  <c r="AB51" i="11"/>
  <c r="AA68" i="11"/>
  <c r="X64" i="11"/>
  <c r="Z76" i="11"/>
  <c r="AA55" i="11"/>
  <c r="Z71" i="11"/>
  <c r="J23" i="24" l="1"/>
  <c r="L23" i="24"/>
  <c r="I24" i="24"/>
  <c r="K23" i="24"/>
  <c r="F21" i="24"/>
  <c r="E21" i="24"/>
  <c r="G21" i="24"/>
  <c r="K22" i="25" s="1"/>
  <c r="I24" i="25"/>
  <c r="J24" i="25" s="1"/>
  <c r="J23" i="25"/>
  <c r="N24" i="25"/>
  <c r="M25" i="25"/>
  <c r="O25" i="25" s="1"/>
  <c r="W64" i="11"/>
  <c r="X61" i="11"/>
  <c r="X73" i="11"/>
  <c r="X62" i="11"/>
  <c r="AA51" i="11"/>
  <c r="Z77" i="11"/>
  <c r="Z57" i="11"/>
  <c r="Z54" i="11"/>
  <c r="Y63" i="11"/>
  <c r="X69" i="11"/>
  <c r="Z58" i="11"/>
  <c r="Z70" i="11"/>
  <c r="Z65" i="11"/>
  <c r="Y72" i="11"/>
  <c r="Y76" i="11"/>
  <c r="Z78" i="11"/>
  <c r="X67" i="11"/>
  <c r="Y75" i="11"/>
  <c r="X80" i="11"/>
  <c r="Y52" i="11"/>
  <c r="Z74" i="11"/>
  <c r="Y71" i="11"/>
  <c r="Z55" i="11"/>
  <c r="Z68" i="11"/>
  <c r="Y79" i="11"/>
  <c r="X56" i="11"/>
  <c r="Z47" i="11"/>
  <c r="X81" i="11"/>
  <c r="Z59" i="11"/>
  <c r="Z66" i="11"/>
  <c r="X60" i="11"/>
  <c r="J24" i="24" l="1"/>
  <c r="L24" i="24"/>
  <c r="I25" i="24"/>
  <c r="K24" i="24"/>
  <c r="F22" i="24"/>
  <c r="E22" i="24"/>
  <c r="G22" i="24"/>
  <c r="K23" i="25" s="1"/>
  <c r="M26" i="25"/>
  <c r="O26" i="25" s="1"/>
  <c r="N25" i="25"/>
  <c r="I25" i="25"/>
  <c r="X79" i="11"/>
  <c r="Y55" i="11"/>
  <c r="Y74" i="11"/>
  <c r="X75" i="11"/>
  <c r="W67" i="11"/>
  <c r="W81" i="11"/>
  <c r="X71" i="11"/>
  <c r="X76" i="11"/>
  <c r="X63" i="11"/>
  <c r="Z51" i="11"/>
  <c r="V64" i="11"/>
  <c r="X52" i="11"/>
  <c r="W80" i="11"/>
  <c r="Y59" i="11"/>
  <c r="W56" i="11"/>
  <c r="Y68" i="11"/>
  <c r="Y65" i="11"/>
  <c r="W69" i="11"/>
  <c r="W73" i="11"/>
  <c r="W61" i="11"/>
  <c r="W60" i="11"/>
  <c r="Y54" i="11"/>
  <c r="Y66" i="11"/>
  <c r="Y78" i="11"/>
  <c r="X72" i="11"/>
  <c r="Y70" i="11"/>
  <c r="Y58" i="11"/>
  <c r="Y57" i="11"/>
  <c r="Y77" i="11"/>
  <c r="W62" i="11"/>
  <c r="J25" i="24" l="1"/>
  <c r="L25" i="24"/>
  <c r="I26" i="24"/>
  <c r="K25" i="24"/>
  <c r="F23" i="24"/>
  <c r="E23" i="24"/>
  <c r="G23" i="24"/>
  <c r="K24" i="25" s="1"/>
  <c r="I26" i="25"/>
  <c r="J25" i="25"/>
  <c r="N26" i="25"/>
  <c r="M27" i="25"/>
  <c r="O27" i="25" s="1"/>
  <c r="X77" i="11"/>
  <c r="X58" i="11"/>
  <c r="V69" i="11"/>
  <c r="X65" i="11"/>
  <c r="X68" i="11"/>
  <c r="U64" i="11"/>
  <c r="W71" i="11"/>
  <c r="X74" i="11"/>
  <c r="V62" i="11"/>
  <c r="X57" i="11"/>
  <c r="V60" i="11"/>
  <c r="V73" i="11"/>
  <c r="V80" i="11"/>
  <c r="Y51" i="11"/>
  <c r="W75" i="11"/>
  <c r="W79" i="11"/>
  <c r="X70" i="11"/>
  <c r="X78" i="11"/>
  <c r="X66" i="11"/>
  <c r="X54" i="11"/>
  <c r="X59" i="11"/>
  <c r="W76" i="11"/>
  <c r="X55" i="11"/>
  <c r="W72" i="11"/>
  <c r="V61" i="11"/>
  <c r="V56" i="11"/>
  <c r="W63" i="11"/>
  <c r="V81" i="11"/>
  <c r="V67" i="11"/>
  <c r="J26" i="24" l="1"/>
  <c r="L26" i="24"/>
  <c r="I27" i="24"/>
  <c r="K26" i="24"/>
  <c r="F24" i="24"/>
  <c r="E24" i="24"/>
  <c r="G24" i="24"/>
  <c r="K25" i="25" s="1"/>
  <c r="M28" i="25"/>
  <c r="O28" i="25" s="1"/>
  <c r="N27" i="25"/>
  <c r="I27" i="25"/>
  <c r="J26" i="25"/>
  <c r="U62" i="11"/>
  <c r="W74" i="11"/>
  <c r="V71" i="11"/>
  <c r="W68" i="11"/>
  <c r="U69" i="11"/>
  <c r="W58" i="11"/>
  <c r="V63" i="11"/>
  <c r="U61" i="11"/>
  <c r="V72" i="11"/>
  <c r="W66" i="11"/>
  <c r="V75" i="11"/>
  <c r="U80" i="11"/>
  <c r="T64" i="11"/>
  <c r="U81" i="11"/>
  <c r="U67" i="11"/>
  <c r="V76" i="11"/>
  <c r="W78" i="11"/>
  <c r="W57" i="11"/>
  <c r="W65" i="11"/>
  <c r="W77" i="11"/>
  <c r="W70" i="11"/>
  <c r="U73" i="11"/>
  <c r="W59" i="11"/>
  <c r="V79" i="11"/>
  <c r="U60" i="11"/>
  <c r="J27" i="24" l="1"/>
  <c r="L27" i="24"/>
  <c r="I28" i="24"/>
  <c r="K27" i="24"/>
  <c r="F25" i="24"/>
  <c r="E25" i="24"/>
  <c r="G25" i="24"/>
  <c r="K26" i="25" s="1"/>
  <c r="J27" i="25"/>
  <c r="I28" i="25"/>
  <c r="M29" i="25"/>
  <c r="O29" i="25" s="1"/>
  <c r="N28" i="25"/>
  <c r="V59" i="11"/>
  <c r="T73" i="11"/>
  <c r="V57" i="11"/>
  <c r="U71" i="11"/>
  <c r="T60" i="11"/>
  <c r="V65" i="11"/>
  <c r="U76" i="11"/>
  <c r="T67" i="11"/>
  <c r="T81" i="11"/>
  <c r="S64" i="11"/>
  <c r="U75" i="11"/>
  <c r="T61" i="11"/>
  <c r="T62" i="11"/>
  <c r="V70" i="11"/>
  <c r="V66" i="11"/>
  <c r="U72" i="11"/>
  <c r="V58" i="11"/>
  <c r="V68" i="11"/>
  <c r="U79" i="11"/>
  <c r="V77" i="11"/>
  <c r="V78" i="11"/>
  <c r="T80" i="11"/>
  <c r="U63" i="11"/>
  <c r="T69" i="11"/>
  <c r="V74" i="11"/>
  <c r="J28" i="24" l="1"/>
  <c r="L28" i="24"/>
  <c r="I29" i="24"/>
  <c r="K28" i="24"/>
  <c r="F26" i="24"/>
  <c r="E26" i="24"/>
  <c r="G26" i="24"/>
  <c r="K27" i="25" s="1"/>
  <c r="I29" i="25"/>
  <c r="J29" i="25" s="1"/>
  <c r="J28" i="25"/>
  <c r="N29" i="25"/>
  <c r="M30" i="25"/>
  <c r="O30" i="25" s="1"/>
  <c r="T71" i="11"/>
  <c r="U57" i="11"/>
  <c r="U59" i="11"/>
  <c r="U74" i="11"/>
  <c r="T63" i="11"/>
  <c r="U78" i="11"/>
  <c r="U58" i="11"/>
  <c r="U66" i="11"/>
  <c r="R64" i="11"/>
  <c r="S67" i="11"/>
  <c r="U70" i="11"/>
  <c r="S61" i="11"/>
  <c r="T75" i="11"/>
  <c r="U65" i="11"/>
  <c r="S73" i="11"/>
  <c r="U77" i="11"/>
  <c r="T79" i="11"/>
  <c r="T76" i="11"/>
  <c r="S69" i="11"/>
  <c r="S80" i="11"/>
  <c r="U68" i="11"/>
  <c r="T72" i="11"/>
  <c r="S62" i="11"/>
  <c r="S81" i="11"/>
  <c r="J29" i="24" l="1"/>
  <c r="L29" i="24"/>
  <c r="I30" i="24"/>
  <c r="K29" i="24"/>
  <c r="F27" i="24"/>
  <c r="E27" i="24"/>
  <c r="G27" i="24"/>
  <c r="K28" i="25" s="1"/>
  <c r="N30" i="25"/>
  <c r="M31" i="25"/>
  <c r="O31" i="25" s="1"/>
  <c r="I30" i="25"/>
  <c r="S72" i="11"/>
  <c r="R80" i="11"/>
  <c r="R67" i="11"/>
  <c r="T58" i="11"/>
  <c r="S63" i="11"/>
  <c r="S76" i="11"/>
  <c r="T77" i="11"/>
  <c r="T65" i="11"/>
  <c r="T70" i="11"/>
  <c r="T66" i="11"/>
  <c r="T78" i="11"/>
  <c r="T59" i="11"/>
  <c r="S71" i="11"/>
  <c r="R81" i="11"/>
  <c r="S79" i="11"/>
  <c r="R62" i="11"/>
  <c r="T68" i="11"/>
  <c r="R69" i="11"/>
  <c r="R73" i="11"/>
  <c r="S75" i="11"/>
  <c r="T74" i="11"/>
  <c r="J30" i="24" l="1"/>
  <c r="L30" i="24"/>
  <c r="I31" i="24"/>
  <c r="K30" i="24"/>
  <c r="F28" i="24"/>
  <c r="E28" i="24"/>
  <c r="G28" i="24"/>
  <c r="K29" i="25" s="1"/>
  <c r="M32" i="25"/>
  <c r="O32" i="25" s="1"/>
  <c r="N31" i="25"/>
  <c r="I31" i="25"/>
  <c r="J30" i="25"/>
  <c r="S74" i="11"/>
  <c r="R75" i="11"/>
  <c r="R76" i="11"/>
  <c r="Q80" i="11"/>
  <c r="Q69" i="11"/>
  <c r="R79" i="11"/>
  <c r="S66" i="11"/>
  <c r="Q73" i="11"/>
  <c r="S77" i="11"/>
  <c r="R63" i="11"/>
  <c r="R72" i="11"/>
  <c r="R71" i="11"/>
  <c r="S68" i="11"/>
  <c r="Q81" i="11"/>
  <c r="S78" i="11"/>
  <c r="S70" i="11"/>
  <c r="S65" i="11"/>
  <c r="J31" i="24" l="1"/>
  <c r="L31" i="24"/>
  <c r="I32" i="24"/>
  <c r="K31" i="24"/>
  <c r="F29" i="24"/>
  <c r="E29" i="24"/>
  <c r="G29" i="24"/>
  <c r="K30" i="25" s="1"/>
  <c r="I32" i="25"/>
  <c r="J31" i="25"/>
  <c r="N32" i="25"/>
  <c r="M33" i="25"/>
  <c r="O33" i="25" s="1"/>
  <c r="R78" i="11"/>
  <c r="R77" i="11"/>
  <c r="Q79" i="11"/>
  <c r="Q76" i="11"/>
  <c r="R74" i="11"/>
  <c r="P81" i="11"/>
  <c r="R68" i="11"/>
  <c r="R70" i="11"/>
  <c r="R65" i="11"/>
  <c r="Q71" i="11"/>
  <c r="Q72" i="11"/>
  <c r="P73" i="11"/>
  <c r="R66" i="11"/>
  <c r="P80" i="11"/>
  <c r="Q75" i="11"/>
  <c r="J32" i="24" l="1"/>
  <c r="L32" i="24"/>
  <c r="I33" i="24"/>
  <c r="K32" i="24"/>
  <c r="F30" i="24"/>
  <c r="E30" i="24"/>
  <c r="G30" i="24"/>
  <c r="K31" i="25" s="1"/>
  <c r="M34" i="25"/>
  <c r="O34" i="25" s="1"/>
  <c r="N33" i="25"/>
  <c r="I33" i="25"/>
  <c r="J32" i="25"/>
  <c r="P71" i="11"/>
  <c r="P75" i="11"/>
  <c r="O73" i="11"/>
  <c r="Q68" i="11"/>
  <c r="P79" i="11"/>
  <c r="O81" i="11"/>
  <c r="P76" i="11"/>
  <c r="O80" i="11"/>
  <c r="P72" i="11"/>
  <c r="Q74" i="11"/>
  <c r="Q78" i="11"/>
  <c r="Q70" i="11"/>
  <c r="Q77" i="11"/>
  <c r="J33" i="24" l="1"/>
  <c r="L33" i="24"/>
  <c r="I34" i="24"/>
  <c r="K33" i="24"/>
  <c r="F31" i="24"/>
  <c r="E31" i="24"/>
  <c r="G31" i="24"/>
  <c r="K32" i="25" s="1"/>
  <c r="I34" i="25"/>
  <c r="K34" i="25" s="1"/>
  <c r="J33" i="25"/>
  <c r="N34" i="25"/>
  <c r="M35" i="25"/>
  <c r="O35" i="25" s="1"/>
  <c r="N73" i="11"/>
  <c r="P78" i="11"/>
  <c r="O79" i="11"/>
  <c r="O76" i="11"/>
  <c r="P77" i="11"/>
  <c r="O72" i="11"/>
  <c r="N80" i="11"/>
  <c r="P70" i="11"/>
  <c r="P74" i="11"/>
  <c r="N81" i="11"/>
  <c r="O75" i="11"/>
  <c r="J34" i="24" l="1"/>
  <c r="L34" i="24"/>
  <c r="I35" i="24"/>
  <c r="K34" i="24"/>
  <c r="F32" i="24"/>
  <c r="E32" i="24"/>
  <c r="G32" i="24"/>
  <c r="K33" i="25" s="1"/>
  <c r="M36" i="25"/>
  <c r="O36" i="25" s="1"/>
  <c r="N35" i="25"/>
  <c r="I35" i="25"/>
  <c r="K35" i="25" s="1"/>
  <c r="J34" i="25"/>
  <c r="M81" i="11"/>
  <c r="O74" i="11"/>
  <c r="O77" i="11"/>
  <c r="N79" i="11"/>
  <c r="O78" i="11"/>
  <c r="M80" i="11"/>
  <c r="N76" i="11"/>
  <c r="N75" i="11"/>
  <c r="J35" i="24" l="1"/>
  <c r="L35" i="24"/>
  <c r="I36" i="24"/>
  <c r="K35" i="24"/>
  <c r="F33" i="24"/>
  <c r="E33" i="24"/>
  <c r="G33" i="24"/>
  <c r="J35" i="25"/>
  <c r="I36" i="25"/>
  <c r="K36" i="25" s="1"/>
  <c r="N36" i="25"/>
  <c r="M37" i="25"/>
  <c r="O37" i="25" s="1"/>
  <c r="L80" i="11"/>
  <c r="N78" i="11"/>
  <c r="N74" i="11"/>
  <c r="M79" i="11"/>
  <c r="L81" i="11"/>
  <c r="N77" i="11"/>
  <c r="J36" i="24" l="1"/>
  <c r="L36" i="24"/>
  <c r="I37" i="24"/>
  <c r="K36" i="24"/>
  <c r="F34" i="24"/>
  <c r="E34" i="24"/>
  <c r="G34" i="24"/>
  <c r="I37" i="25"/>
  <c r="K37" i="25" s="1"/>
  <c r="J36" i="25"/>
  <c r="M38" i="25"/>
  <c r="O38" i="25" s="1"/>
  <c r="N37" i="25"/>
  <c r="M77" i="11"/>
  <c r="M78" i="11"/>
  <c r="K80" i="11"/>
  <c r="K81" i="11"/>
  <c r="L79" i="11"/>
  <c r="J37" i="24" l="1"/>
  <c r="L37" i="24"/>
  <c r="I38" i="24"/>
  <c r="K37" i="24"/>
  <c r="F35" i="24"/>
  <c r="E35" i="24"/>
  <c r="G35" i="24"/>
  <c r="M39" i="25"/>
  <c r="O39" i="25" s="1"/>
  <c r="N38" i="25"/>
  <c r="J37" i="25"/>
  <c r="I38" i="25"/>
  <c r="K38" i="25" s="1"/>
  <c r="J81" i="11"/>
  <c r="L78" i="11"/>
  <c r="L77" i="11"/>
  <c r="K79" i="11"/>
  <c r="J80" i="11"/>
  <c r="J38" i="24" l="1"/>
  <c r="L38" i="24"/>
  <c r="I39" i="24"/>
  <c r="K38" i="24"/>
  <c r="F36" i="24"/>
  <c r="E36" i="24"/>
  <c r="G36" i="24"/>
  <c r="M40" i="25"/>
  <c r="O40" i="25" s="1"/>
  <c r="N39" i="25"/>
  <c r="J38" i="25"/>
  <c r="I39" i="25"/>
  <c r="K39" i="25" s="1"/>
  <c r="I81" i="11"/>
  <c r="K78" i="11"/>
  <c r="J79" i="11"/>
  <c r="J39" i="24" l="1"/>
  <c r="L39" i="24"/>
  <c r="I40" i="24"/>
  <c r="K39" i="24"/>
  <c r="F37" i="24"/>
  <c r="E37" i="24"/>
  <c r="G37" i="24"/>
  <c r="J39" i="25"/>
  <c r="I40" i="25"/>
  <c r="K40" i="25" s="1"/>
  <c r="M41" i="25"/>
  <c r="O41" i="25" s="1"/>
  <c r="N40" i="25"/>
  <c r="H81" i="11"/>
  <c r="J40" i="24" l="1"/>
  <c r="L40" i="24"/>
  <c r="I41" i="24"/>
  <c r="K40" i="24"/>
  <c r="F38" i="24"/>
  <c r="E38" i="24"/>
  <c r="G38" i="24"/>
  <c r="M42" i="25"/>
  <c r="O42" i="25" s="1"/>
  <c r="N41" i="25"/>
  <c r="J40" i="25"/>
  <c r="I41" i="25"/>
  <c r="K41" i="25" s="1"/>
  <c r="D4" i="19"/>
  <c r="J8" i="19" s="1"/>
  <c r="F3" i="18"/>
  <c r="J41" i="24" l="1"/>
  <c r="L41" i="24"/>
  <c r="I42" i="24"/>
  <c r="K41" i="24"/>
  <c r="F39" i="24"/>
  <c r="E39" i="24"/>
  <c r="G39" i="24"/>
  <c r="J41" i="25"/>
  <c r="I42" i="25"/>
  <c r="K42" i="25" s="1"/>
  <c r="M43" i="25"/>
  <c r="O43" i="25" s="1"/>
  <c r="N42" i="25"/>
  <c r="J18" i="19"/>
  <c r="J20" i="19" s="1"/>
  <c r="J42" i="24" l="1"/>
  <c r="L42" i="24"/>
  <c r="I43" i="24"/>
  <c r="K42" i="24"/>
  <c r="F40" i="24"/>
  <c r="E40" i="24"/>
  <c r="G40" i="24"/>
  <c r="I43" i="25"/>
  <c r="K43" i="25" s="1"/>
  <c r="J42" i="25"/>
  <c r="M44" i="25"/>
  <c r="O44" i="25" s="1"/>
  <c r="N43" i="25"/>
  <c r="J43" i="24" l="1"/>
  <c r="L43" i="24"/>
  <c r="I44" i="24"/>
  <c r="K43" i="24"/>
  <c r="F41" i="24"/>
  <c r="E41" i="24"/>
  <c r="G41" i="24"/>
  <c r="M45" i="25"/>
  <c r="O45" i="25" s="1"/>
  <c r="N44" i="25"/>
  <c r="J43" i="25"/>
  <c r="I44" i="25"/>
  <c r="K44" i="25" s="1"/>
  <c r="J44" i="24" l="1"/>
  <c r="L44" i="24"/>
  <c r="I45" i="24"/>
  <c r="K44" i="24"/>
  <c r="F42" i="24"/>
  <c r="E42" i="24"/>
  <c r="G42" i="24"/>
  <c r="I45" i="25"/>
  <c r="K45" i="25" s="1"/>
  <c r="J44" i="25"/>
  <c r="M46" i="25"/>
  <c r="O46" i="25" s="1"/>
  <c r="N45" i="25"/>
  <c r="J45" i="24" l="1"/>
  <c r="L45" i="24"/>
  <c r="I46" i="24"/>
  <c r="K45" i="24"/>
  <c r="F43" i="24"/>
  <c r="E43" i="24"/>
  <c r="G43" i="24"/>
  <c r="M47" i="25"/>
  <c r="O47" i="25" s="1"/>
  <c r="N46" i="25"/>
  <c r="J45" i="25"/>
  <c r="I46" i="25"/>
  <c r="K46" i="25" s="1"/>
  <c r="J46" i="24" l="1"/>
  <c r="L46" i="24"/>
  <c r="I47" i="24"/>
  <c r="K46" i="24"/>
  <c r="F44" i="24"/>
  <c r="E44" i="24"/>
  <c r="G44" i="24"/>
  <c r="M48" i="25"/>
  <c r="O48" i="25" s="1"/>
  <c r="N47" i="25"/>
  <c r="I47" i="25"/>
  <c r="K47" i="25" s="1"/>
  <c r="J46" i="25"/>
  <c r="J47" i="24" l="1"/>
  <c r="L47" i="24"/>
  <c r="I48" i="24"/>
  <c r="K47" i="24"/>
  <c r="F45" i="24"/>
  <c r="E45" i="24"/>
  <c r="G45" i="24"/>
  <c r="J47" i="25"/>
  <c r="I48" i="25"/>
  <c r="K48" i="25" s="1"/>
  <c r="M49" i="25"/>
  <c r="O49" i="25" s="1"/>
  <c r="N48" i="25"/>
  <c r="J48" i="24" l="1"/>
  <c r="L48" i="24"/>
  <c r="I49" i="24"/>
  <c r="K48" i="24"/>
  <c r="F46" i="24"/>
  <c r="E46" i="24"/>
  <c r="G46" i="24"/>
  <c r="I49" i="25"/>
  <c r="K49" i="25" s="1"/>
  <c r="J48" i="25"/>
  <c r="M50" i="25"/>
  <c r="O50" i="25" s="1"/>
  <c r="N49" i="25"/>
  <c r="J49" i="24" l="1"/>
  <c r="L49" i="24"/>
  <c r="I50" i="24"/>
  <c r="K49" i="24"/>
  <c r="F47" i="24"/>
  <c r="E47" i="24"/>
  <c r="G47" i="24"/>
  <c r="N50" i="25"/>
  <c r="M51" i="25"/>
  <c r="O51" i="25" s="1"/>
  <c r="J49" i="25"/>
  <c r="I50" i="25"/>
  <c r="K50" i="25" s="1"/>
  <c r="J50" i="24" l="1"/>
  <c r="L50" i="24"/>
  <c r="I51" i="24"/>
  <c r="K50" i="24"/>
  <c r="F48" i="24"/>
  <c r="E48" i="24"/>
  <c r="G48" i="24"/>
  <c r="M52" i="25"/>
  <c r="O52" i="25" s="1"/>
  <c r="N51" i="25"/>
  <c r="I51" i="25"/>
  <c r="K51" i="25" s="1"/>
  <c r="J50" i="25"/>
  <c r="J51" i="24" l="1"/>
  <c r="L51" i="24"/>
  <c r="I52" i="24"/>
  <c r="K51" i="24"/>
  <c r="F49" i="24"/>
  <c r="E49" i="24"/>
  <c r="G49" i="24"/>
  <c r="J51" i="25"/>
  <c r="I52" i="25"/>
  <c r="K52" i="25" s="1"/>
  <c r="N52" i="25"/>
  <c r="M53" i="25"/>
  <c r="O53" i="25" s="1"/>
  <c r="J52" i="24" l="1"/>
  <c r="L52" i="24"/>
  <c r="I53" i="24"/>
  <c r="K52" i="24"/>
  <c r="F50" i="24"/>
  <c r="E50" i="24"/>
  <c r="G50" i="24"/>
  <c r="I53" i="25"/>
  <c r="K53" i="25" s="1"/>
  <c r="J52" i="25"/>
  <c r="M54" i="25"/>
  <c r="O54" i="25" s="1"/>
  <c r="N53" i="25"/>
  <c r="J53" i="24" l="1"/>
  <c r="L53" i="24"/>
  <c r="I54" i="24"/>
  <c r="K53" i="24"/>
  <c r="F51" i="24"/>
  <c r="E51" i="24"/>
  <c r="G51" i="24"/>
  <c r="M55" i="25"/>
  <c r="O55" i="25" s="1"/>
  <c r="N54" i="25"/>
  <c r="J53" i="25"/>
  <c r="I54" i="25"/>
  <c r="K54" i="25" s="1"/>
  <c r="J54" i="24" l="1"/>
  <c r="L54" i="24"/>
  <c r="I55" i="24"/>
  <c r="K54" i="24"/>
  <c r="F52" i="24"/>
  <c r="E52" i="24"/>
  <c r="G52" i="24"/>
  <c r="M56" i="25"/>
  <c r="O56" i="25" s="1"/>
  <c r="N55" i="25"/>
  <c r="J54" i="25"/>
  <c r="I55" i="25"/>
  <c r="K55" i="25" s="1"/>
  <c r="J55" i="24" l="1"/>
  <c r="L55" i="24"/>
  <c r="I56" i="24"/>
  <c r="K55" i="24"/>
  <c r="F53" i="24"/>
  <c r="E53" i="24"/>
  <c r="G53" i="24"/>
  <c r="J55" i="25"/>
  <c r="I56" i="25"/>
  <c r="K56" i="25" s="1"/>
  <c r="M57" i="25"/>
  <c r="O57" i="25" s="1"/>
  <c r="N56" i="25"/>
  <c r="J56" i="24" l="1"/>
  <c r="L56" i="24"/>
  <c r="I57" i="24"/>
  <c r="K56" i="24"/>
  <c r="F54" i="24"/>
  <c r="E54" i="24"/>
  <c r="G54" i="24"/>
  <c r="J56" i="25"/>
  <c r="I57" i="25"/>
  <c r="K57" i="25" s="1"/>
  <c r="M58" i="25"/>
  <c r="O58" i="25" s="1"/>
  <c r="N57" i="25"/>
  <c r="J57" i="24" l="1"/>
  <c r="L57" i="24"/>
  <c r="I58" i="24"/>
  <c r="K57" i="24"/>
  <c r="F55" i="24"/>
  <c r="E55" i="24"/>
  <c r="G55" i="24"/>
  <c r="J57" i="25"/>
  <c r="I58" i="25"/>
  <c r="K58" i="25" s="1"/>
  <c r="M59" i="25"/>
  <c r="O59" i="25" s="1"/>
  <c r="N58" i="25"/>
  <c r="J58" i="24" l="1"/>
  <c r="L58" i="24"/>
  <c r="I59" i="24"/>
  <c r="K58" i="24"/>
  <c r="F56" i="24"/>
  <c r="E56" i="24"/>
  <c r="G56" i="24"/>
  <c r="I59" i="25"/>
  <c r="K59" i="25" s="1"/>
  <c r="J58" i="25"/>
  <c r="M60" i="25"/>
  <c r="O60" i="25" s="1"/>
  <c r="N59" i="25"/>
  <c r="J59" i="24" l="1"/>
  <c r="L59" i="24"/>
  <c r="I60" i="24"/>
  <c r="K59" i="24"/>
  <c r="F57" i="24"/>
  <c r="E57" i="24"/>
  <c r="G57" i="24"/>
  <c r="M61" i="25"/>
  <c r="O61" i="25" s="1"/>
  <c r="N60" i="25"/>
  <c r="J59" i="25"/>
  <c r="I60" i="25"/>
  <c r="K60" i="25" s="1"/>
  <c r="J60" i="24" l="1"/>
  <c r="L60" i="24"/>
  <c r="I61" i="24"/>
  <c r="K60" i="24"/>
  <c r="F58" i="24"/>
  <c r="E58" i="24"/>
  <c r="G58" i="24"/>
  <c r="I61" i="25"/>
  <c r="K61" i="25" s="1"/>
  <c r="J60" i="25"/>
  <c r="M62" i="25"/>
  <c r="O62" i="25" s="1"/>
  <c r="N61" i="25"/>
  <c r="J61" i="24" l="1"/>
  <c r="L61" i="24"/>
  <c r="I62" i="24"/>
  <c r="K61" i="24"/>
  <c r="F59" i="24"/>
  <c r="E59" i="24"/>
  <c r="G59" i="24"/>
  <c r="M63" i="25"/>
  <c r="O63" i="25" s="1"/>
  <c r="N62" i="25"/>
  <c r="J61" i="25"/>
  <c r="I62" i="25"/>
  <c r="K62" i="25" s="1"/>
  <c r="J62" i="24" l="1"/>
  <c r="L62" i="24"/>
  <c r="I63" i="24"/>
  <c r="K62" i="24"/>
  <c r="F60" i="24"/>
  <c r="E60" i="24"/>
  <c r="G60" i="24"/>
  <c r="M64" i="25"/>
  <c r="O64" i="25" s="1"/>
  <c r="N63" i="25"/>
  <c r="I63" i="25"/>
  <c r="K63" i="25" s="1"/>
  <c r="J62" i="25"/>
  <c r="J63" i="24" l="1"/>
  <c r="L63" i="24"/>
  <c r="I64" i="24"/>
  <c r="K63" i="24"/>
  <c r="F61" i="24"/>
  <c r="E61" i="24"/>
  <c r="G61" i="24"/>
  <c r="J63" i="25"/>
  <c r="I64" i="25"/>
  <c r="K64" i="25" s="1"/>
  <c r="M65" i="25"/>
  <c r="O65" i="25" s="1"/>
  <c r="N64" i="25"/>
  <c r="J64" i="24" l="1"/>
  <c r="L64" i="24"/>
  <c r="I65" i="24"/>
  <c r="K64" i="24"/>
  <c r="F62" i="24"/>
  <c r="E62" i="24"/>
  <c r="G62" i="24"/>
  <c r="I65" i="25"/>
  <c r="K65" i="25" s="1"/>
  <c r="J64" i="25"/>
  <c r="M66" i="25"/>
  <c r="O66" i="25" s="1"/>
  <c r="N65" i="25"/>
  <c r="J65" i="24" l="1"/>
  <c r="L65" i="24"/>
  <c r="I66" i="24"/>
  <c r="K65" i="24"/>
  <c r="F63" i="24"/>
  <c r="E63" i="24"/>
  <c r="G63" i="24"/>
  <c r="J65" i="25"/>
  <c r="I66" i="25"/>
  <c r="K66" i="25" s="1"/>
  <c r="N66" i="25"/>
  <c r="M67" i="25"/>
  <c r="O67" i="25" s="1"/>
  <c r="J66" i="24" l="1"/>
  <c r="L66" i="24"/>
  <c r="I67" i="24"/>
  <c r="K66" i="24"/>
  <c r="F64" i="24"/>
  <c r="E64" i="24"/>
  <c r="G64" i="24"/>
  <c r="I67" i="25"/>
  <c r="K67" i="25" s="1"/>
  <c r="J66" i="25"/>
  <c r="M68" i="25"/>
  <c r="O68" i="25" s="1"/>
  <c r="N67" i="25"/>
  <c r="J67" i="24" l="1"/>
  <c r="L67" i="24"/>
  <c r="I68" i="24"/>
  <c r="K67" i="24"/>
  <c r="F65" i="24"/>
  <c r="E65" i="24"/>
  <c r="G65" i="24"/>
  <c r="N68" i="25"/>
  <c r="M69" i="25"/>
  <c r="O69" i="25" s="1"/>
  <c r="J67" i="25"/>
  <c r="I68" i="25"/>
  <c r="K68" i="25" s="1"/>
  <c r="J68" i="24" l="1"/>
  <c r="L68" i="24"/>
  <c r="I69" i="24"/>
  <c r="K68" i="24"/>
  <c r="F66" i="24"/>
  <c r="E66" i="24"/>
  <c r="G66" i="24"/>
  <c r="M70" i="25"/>
  <c r="O70" i="25" s="1"/>
  <c r="N69" i="25"/>
  <c r="I69" i="25"/>
  <c r="K69" i="25" s="1"/>
  <c r="J68" i="25"/>
  <c r="J69" i="24" l="1"/>
  <c r="L69" i="24"/>
  <c r="I70" i="24"/>
  <c r="K69" i="24"/>
  <c r="F67" i="24"/>
  <c r="E67" i="24"/>
  <c r="G67" i="24"/>
  <c r="J69" i="25"/>
  <c r="I70" i="25"/>
  <c r="K70" i="25" s="1"/>
  <c r="M71" i="25"/>
  <c r="O71" i="25" s="1"/>
  <c r="N70" i="25"/>
  <c r="J70" i="24" l="1"/>
  <c r="L70" i="24"/>
  <c r="I71" i="24"/>
  <c r="K70" i="24"/>
  <c r="F68" i="24"/>
  <c r="E68" i="24"/>
  <c r="G68" i="24"/>
  <c r="J70" i="25"/>
  <c r="I71" i="25"/>
  <c r="K71" i="25" s="1"/>
  <c r="M72" i="25"/>
  <c r="O72" i="25" s="1"/>
  <c r="N71" i="25"/>
  <c r="J71" i="24" l="1"/>
  <c r="L71" i="24"/>
  <c r="I72" i="24"/>
  <c r="K71" i="24"/>
  <c r="F69" i="24"/>
  <c r="E69" i="24"/>
  <c r="G69" i="24"/>
  <c r="M73" i="25"/>
  <c r="O73" i="25" s="1"/>
  <c r="N72" i="25"/>
  <c r="J71" i="25"/>
  <c r="I72" i="25"/>
  <c r="K72" i="25" s="1"/>
  <c r="J72" i="24" l="1"/>
  <c r="L72" i="24"/>
  <c r="I73" i="24"/>
  <c r="K72" i="24"/>
  <c r="F70" i="24"/>
  <c r="E70" i="24"/>
  <c r="G70" i="24"/>
  <c r="J72" i="25"/>
  <c r="I73" i="25"/>
  <c r="K73" i="25" s="1"/>
  <c r="M74" i="25"/>
  <c r="O74" i="25" s="1"/>
  <c r="N73" i="25"/>
  <c r="J73" i="24" l="1"/>
  <c r="L73" i="24"/>
  <c r="I74" i="24"/>
  <c r="K73" i="24"/>
  <c r="F71" i="24"/>
  <c r="E71" i="24"/>
  <c r="G71" i="24"/>
  <c r="M75" i="25"/>
  <c r="O75" i="25" s="1"/>
  <c r="N74" i="25"/>
  <c r="J73" i="25"/>
  <c r="I74" i="25"/>
  <c r="K74" i="25" s="1"/>
  <c r="J74" i="24" l="1"/>
  <c r="L74" i="24"/>
  <c r="I75" i="24"/>
  <c r="K74" i="24"/>
  <c r="F72" i="24"/>
  <c r="E72" i="24"/>
  <c r="G72" i="24"/>
  <c r="I75" i="25"/>
  <c r="K75" i="25" s="1"/>
  <c r="J74" i="25"/>
  <c r="M76" i="25"/>
  <c r="O76" i="25" s="1"/>
  <c r="N75" i="25"/>
  <c r="J75" i="24" l="1"/>
  <c r="L75" i="24"/>
  <c r="I76" i="24"/>
  <c r="K75" i="24"/>
  <c r="F73" i="24"/>
  <c r="E73" i="24"/>
  <c r="G73" i="24"/>
  <c r="M77" i="25"/>
  <c r="O77" i="25" s="1"/>
  <c r="N76" i="25"/>
  <c r="J75" i="25"/>
  <c r="I76" i="25"/>
  <c r="K76" i="25" s="1"/>
  <c r="J76" i="24" l="1"/>
  <c r="L76" i="24"/>
  <c r="I77" i="24"/>
  <c r="K76" i="24"/>
  <c r="F74" i="24"/>
  <c r="E74" i="24"/>
  <c r="G74" i="24"/>
  <c r="I77" i="25"/>
  <c r="K77" i="25" s="1"/>
  <c r="J76" i="25"/>
  <c r="M78" i="25"/>
  <c r="O78" i="25" s="1"/>
  <c r="N77" i="25"/>
  <c r="J77" i="24" l="1"/>
  <c r="L77" i="24"/>
  <c r="I78" i="24"/>
  <c r="K77" i="24"/>
  <c r="F75" i="24"/>
  <c r="E75" i="24"/>
  <c r="G75" i="24"/>
  <c r="M79" i="25"/>
  <c r="O79" i="25" s="1"/>
  <c r="N78" i="25"/>
  <c r="J77" i="25"/>
  <c r="I78" i="25"/>
  <c r="K78" i="25" s="1"/>
  <c r="J78" i="24" l="1"/>
  <c r="L78" i="24"/>
  <c r="I79" i="24"/>
  <c r="K78" i="24"/>
  <c r="F76" i="24"/>
  <c r="E76" i="24"/>
  <c r="G76" i="24"/>
  <c r="M80" i="25"/>
  <c r="O80" i="25" s="1"/>
  <c r="N79" i="25"/>
  <c r="I79" i="25"/>
  <c r="K79" i="25" s="1"/>
  <c r="J78" i="25"/>
  <c r="J79" i="24" l="1"/>
  <c r="L79" i="24"/>
  <c r="I80" i="24"/>
  <c r="K79" i="24"/>
  <c r="F77" i="24"/>
  <c r="E77" i="24"/>
  <c r="G77" i="24"/>
  <c r="J79" i="25"/>
  <c r="I80" i="25"/>
  <c r="K80" i="25" s="1"/>
  <c r="M81" i="25"/>
  <c r="O81" i="25" s="1"/>
  <c r="N80" i="25"/>
  <c r="J80" i="24" l="1"/>
  <c r="L80" i="24"/>
  <c r="I81" i="24"/>
  <c r="K80" i="24"/>
  <c r="F78" i="24"/>
  <c r="E78" i="24"/>
  <c r="G78" i="24"/>
  <c r="I81" i="25"/>
  <c r="K81" i="25" s="1"/>
  <c r="J80" i="25"/>
  <c r="M82" i="25"/>
  <c r="O82" i="25" s="1"/>
  <c r="N81" i="25"/>
  <c r="J81" i="24" l="1"/>
  <c r="L81" i="24"/>
  <c r="I82" i="24"/>
  <c r="K81" i="24"/>
  <c r="F79" i="24"/>
  <c r="E79" i="24"/>
  <c r="G79" i="24"/>
  <c r="N82" i="25"/>
  <c r="M83" i="25"/>
  <c r="O83" i="25" s="1"/>
  <c r="J81" i="25"/>
  <c r="I82" i="25"/>
  <c r="K82" i="25" s="1"/>
  <c r="J82" i="24" l="1"/>
  <c r="L82" i="24"/>
  <c r="I83" i="24"/>
  <c r="K82" i="24"/>
  <c r="F80" i="24"/>
  <c r="E80" i="24"/>
  <c r="G80" i="24"/>
  <c r="M84" i="25"/>
  <c r="O84" i="25" s="1"/>
  <c r="N83" i="25"/>
  <c r="I83" i="25"/>
  <c r="K83" i="25" s="1"/>
  <c r="J82" i="25"/>
  <c r="J83" i="24" l="1"/>
  <c r="L83" i="24"/>
  <c r="I84" i="24"/>
  <c r="K83" i="24"/>
  <c r="F81" i="24"/>
  <c r="E81" i="24"/>
  <c r="G81" i="24"/>
  <c r="J83" i="25"/>
  <c r="I84" i="25"/>
  <c r="K84" i="25" s="1"/>
  <c r="N84" i="25"/>
  <c r="M85" i="25"/>
  <c r="O85" i="25" s="1"/>
  <c r="J84" i="24" l="1"/>
  <c r="L84" i="24"/>
  <c r="I85" i="24"/>
  <c r="K84" i="24"/>
  <c r="F82" i="24"/>
  <c r="E82" i="24"/>
  <c r="G82" i="24"/>
  <c r="I85" i="25"/>
  <c r="K85" i="25" s="1"/>
  <c r="J84" i="25"/>
  <c r="M86" i="25"/>
  <c r="O86" i="25" s="1"/>
  <c r="N85" i="25"/>
  <c r="J85" i="24" l="1"/>
  <c r="L85" i="24"/>
  <c r="I86" i="24"/>
  <c r="K85" i="24"/>
  <c r="F83" i="24"/>
  <c r="E83" i="24"/>
  <c r="G83" i="24"/>
  <c r="M87" i="25"/>
  <c r="O87" i="25" s="1"/>
  <c r="N86" i="25"/>
  <c r="J85" i="25"/>
  <c r="I86" i="25"/>
  <c r="K86" i="25" s="1"/>
  <c r="J86" i="24" l="1"/>
  <c r="L86" i="24"/>
  <c r="I87" i="24"/>
  <c r="K86" i="24"/>
  <c r="F84" i="24"/>
  <c r="E84" i="24"/>
  <c r="G84" i="24"/>
  <c r="M88" i="25"/>
  <c r="O88" i="25" s="1"/>
  <c r="N87" i="25"/>
  <c r="J86" i="25"/>
  <c r="I87" i="25"/>
  <c r="K87" i="25" s="1"/>
  <c r="J87" i="24" l="1"/>
  <c r="L87" i="24"/>
  <c r="I88" i="24"/>
  <c r="K87" i="24"/>
  <c r="F85" i="24"/>
  <c r="E85" i="24"/>
  <c r="G85" i="24"/>
  <c r="J87" i="25"/>
  <c r="I88" i="25"/>
  <c r="K88" i="25" s="1"/>
  <c r="M89" i="25"/>
  <c r="O89" i="25" s="1"/>
  <c r="N88" i="25"/>
  <c r="J88" i="24" l="1"/>
  <c r="L88" i="24"/>
  <c r="I89" i="24"/>
  <c r="K88" i="24"/>
  <c r="F86" i="24"/>
  <c r="E86" i="24"/>
  <c r="G86" i="24"/>
  <c r="M90" i="25"/>
  <c r="O90" i="25" s="1"/>
  <c r="N89" i="25"/>
  <c r="J88" i="25"/>
  <c r="I89" i="25"/>
  <c r="K89" i="25" s="1"/>
  <c r="J89" i="24" l="1"/>
  <c r="L89" i="24"/>
  <c r="I90" i="24"/>
  <c r="K89" i="24"/>
  <c r="F87" i="24"/>
  <c r="E87" i="24"/>
  <c r="G87" i="24"/>
  <c r="J89" i="25"/>
  <c r="I90" i="25"/>
  <c r="K90" i="25" s="1"/>
  <c r="M91" i="25"/>
  <c r="O91" i="25" s="1"/>
  <c r="N90" i="25"/>
  <c r="J90" i="24" l="1"/>
  <c r="L90" i="24"/>
  <c r="I91" i="24"/>
  <c r="K90" i="24"/>
  <c r="F88" i="24"/>
  <c r="E88" i="24"/>
  <c r="G88" i="24"/>
  <c r="M92" i="25"/>
  <c r="O92" i="25" s="1"/>
  <c r="N91" i="25"/>
  <c r="I91" i="25"/>
  <c r="K91" i="25" s="1"/>
  <c r="J90" i="25"/>
  <c r="J91" i="24" l="1"/>
  <c r="L91" i="24"/>
  <c r="I92" i="24"/>
  <c r="K91" i="24"/>
  <c r="F89" i="24"/>
  <c r="E89" i="24"/>
  <c r="G89" i="24"/>
  <c r="J91" i="25"/>
  <c r="I92" i="25"/>
  <c r="K92" i="25" s="1"/>
  <c r="M93" i="25"/>
  <c r="O93" i="25" s="1"/>
  <c r="N92" i="25"/>
  <c r="J92" i="24" l="1"/>
  <c r="L92" i="24"/>
  <c r="I93" i="24"/>
  <c r="K92" i="24"/>
  <c r="F90" i="24"/>
  <c r="E90" i="24"/>
  <c r="G90" i="24"/>
  <c r="I93" i="25"/>
  <c r="K93" i="25" s="1"/>
  <c r="J92" i="25"/>
  <c r="M94" i="25"/>
  <c r="O94" i="25" s="1"/>
  <c r="N93" i="25"/>
  <c r="J93" i="24" l="1"/>
  <c r="L93" i="24"/>
  <c r="I94" i="24"/>
  <c r="K93" i="24"/>
  <c r="F91" i="24"/>
  <c r="E91" i="24"/>
  <c r="G91" i="24"/>
  <c r="M95" i="25"/>
  <c r="O95" i="25" s="1"/>
  <c r="N94" i="25"/>
  <c r="J93" i="25"/>
  <c r="I94" i="25"/>
  <c r="K94" i="25" s="1"/>
  <c r="J94" i="24" l="1"/>
  <c r="L94" i="24"/>
  <c r="I95" i="24"/>
  <c r="K94" i="24"/>
  <c r="F92" i="24"/>
  <c r="E92" i="24"/>
  <c r="G92" i="24"/>
  <c r="M96" i="25"/>
  <c r="O96" i="25" s="1"/>
  <c r="N95" i="25"/>
  <c r="I95" i="25"/>
  <c r="K95" i="25" s="1"/>
  <c r="J94" i="25"/>
  <c r="J95" i="24" l="1"/>
  <c r="L95" i="24"/>
  <c r="I96" i="24"/>
  <c r="K95" i="24"/>
  <c r="F93" i="24"/>
  <c r="E93" i="24"/>
  <c r="G93" i="24"/>
  <c r="J95" i="25"/>
  <c r="I96" i="25"/>
  <c r="K96" i="25" s="1"/>
  <c r="M97" i="25"/>
  <c r="O97" i="25" s="1"/>
  <c r="N96" i="25"/>
  <c r="J96" i="24" l="1"/>
  <c r="L96" i="24"/>
  <c r="I97" i="24"/>
  <c r="K96" i="24"/>
  <c r="F94" i="24"/>
  <c r="E94" i="24"/>
  <c r="G94" i="24"/>
  <c r="M98" i="25"/>
  <c r="O98" i="25" s="1"/>
  <c r="N97" i="25"/>
  <c r="I97" i="25"/>
  <c r="K97" i="25" s="1"/>
  <c r="J96" i="25"/>
  <c r="J97" i="24" l="1"/>
  <c r="L97" i="24"/>
  <c r="I98" i="24"/>
  <c r="K97" i="24"/>
  <c r="F95" i="24"/>
  <c r="E95" i="24"/>
  <c r="G95" i="24"/>
  <c r="J97" i="25"/>
  <c r="I98" i="25"/>
  <c r="K98" i="25" s="1"/>
  <c r="N98" i="25"/>
  <c r="M99" i="25"/>
  <c r="O99" i="25" s="1"/>
  <c r="J98" i="24" l="1"/>
  <c r="L98" i="24"/>
  <c r="I99" i="24"/>
  <c r="K98" i="24"/>
  <c r="F96" i="24"/>
  <c r="E96" i="24"/>
  <c r="G96" i="24"/>
  <c r="J98" i="25"/>
  <c r="I99" i="25"/>
  <c r="K99" i="25" s="1"/>
  <c r="N99" i="25"/>
  <c r="M100" i="25"/>
  <c r="O100" i="25" s="1"/>
  <c r="J99" i="24" l="1"/>
  <c r="L99" i="24"/>
  <c r="I100" i="24"/>
  <c r="K99" i="24"/>
  <c r="F97" i="24"/>
  <c r="E97" i="24"/>
  <c r="G97" i="24"/>
  <c r="I100" i="25"/>
  <c r="K100" i="25" s="1"/>
  <c r="J99" i="25"/>
  <c r="N100" i="25"/>
  <c r="M101" i="25"/>
  <c r="O101" i="25" s="1"/>
  <c r="J100" i="24" l="1"/>
  <c r="L100" i="24"/>
  <c r="I101" i="24"/>
  <c r="K100" i="24"/>
  <c r="F98" i="24"/>
  <c r="E98" i="24"/>
  <c r="G98" i="24"/>
  <c r="N101" i="25"/>
  <c r="M102" i="25"/>
  <c r="O102" i="25" s="1"/>
  <c r="I101" i="25"/>
  <c r="K101" i="25" s="1"/>
  <c r="J100" i="25"/>
  <c r="J101" i="24" l="1"/>
  <c r="L101" i="24"/>
  <c r="I102" i="24"/>
  <c r="K101" i="24"/>
  <c r="F99" i="24"/>
  <c r="E99" i="24"/>
  <c r="G99" i="24"/>
  <c r="N102" i="25"/>
  <c r="M103" i="25"/>
  <c r="O103" i="25" s="1"/>
  <c r="I102" i="25"/>
  <c r="K102" i="25" s="1"/>
  <c r="J101" i="25"/>
  <c r="J102" i="24" l="1"/>
  <c r="L102" i="24"/>
  <c r="I103" i="24"/>
  <c r="K102" i="24"/>
  <c r="F100" i="24"/>
  <c r="E100" i="24"/>
  <c r="G100" i="24"/>
  <c r="N103" i="25"/>
  <c r="M104" i="25"/>
  <c r="O104" i="25" s="1"/>
  <c r="I103" i="25"/>
  <c r="K103" i="25" s="1"/>
  <c r="J102" i="25"/>
  <c r="J103" i="24" l="1"/>
  <c r="L103" i="24"/>
  <c r="I104" i="24"/>
  <c r="K103" i="24"/>
  <c r="F101" i="24"/>
  <c r="E101" i="24"/>
  <c r="G101" i="24"/>
  <c r="I104" i="25"/>
  <c r="K104" i="25" s="1"/>
  <c r="J103" i="25"/>
  <c r="N104" i="25"/>
  <c r="M105" i="25"/>
  <c r="O105" i="25" s="1"/>
  <c r="J104" i="24" l="1"/>
  <c r="L104" i="24"/>
  <c r="I105" i="24"/>
  <c r="K104" i="24"/>
  <c r="F102" i="24"/>
  <c r="E102" i="24"/>
  <c r="G102" i="24"/>
  <c r="M106" i="25"/>
  <c r="O106" i="25" s="1"/>
  <c r="N105" i="25"/>
  <c r="J104" i="25"/>
  <c r="I105" i="25"/>
  <c r="K105" i="25" s="1"/>
  <c r="J105" i="24" l="1"/>
  <c r="L105" i="24"/>
  <c r="I106" i="24"/>
  <c r="K105" i="24"/>
  <c r="F103" i="24"/>
  <c r="E103" i="24"/>
  <c r="G103" i="24"/>
  <c r="I106" i="25"/>
  <c r="K106" i="25" s="1"/>
  <c r="J105" i="25"/>
  <c r="N106" i="25"/>
  <c r="M107" i="25"/>
  <c r="O107" i="25" s="1"/>
  <c r="J106" i="24" l="1"/>
  <c r="L106" i="24"/>
  <c r="I107" i="24"/>
  <c r="K106" i="24"/>
  <c r="F104" i="24"/>
  <c r="E104" i="24"/>
  <c r="G104" i="24"/>
  <c r="N107" i="25"/>
  <c r="M108" i="25"/>
  <c r="O108" i="25" s="1"/>
  <c r="J106" i="25"/>
  <c r="I107" i="25"/>
  <c r="K107" i="25" s="1"/>
  <c r="J107" i="24" l="1"/>
  <c r="L107" i="24"/>
  <c r="I108" i="24"/>
  <c r="K107" i="24"/>
  <c r="F105" i="24"/>
  <c r="E105" i="24"/>
  <c r="G105" i="24"/>
  <c r="N108" i="25"/>
  <c r="M109" i="25"/>
  <c r="O109" i="25" s="1"/>
  <c r="I108" i="25"/>
  <c r="K108" i="25" s="1"/>
  <c r="J107" i="25"/>
  <c r="J108" i="24" l="1"/>
  <c r="L108" i="24"/>
  <c r="I109" i="24"/>
  <c r="K108" i="24"/>
  <c r="F106" i="24"/>
  <c r="E106" i="24"/>
  <c r="G106" i="24"/>
  <c r="I109" i="25"/>
  <c r="K109" i="25" s="1"/>
  <c r="J108" i="25"/>
  <c r="M110" i="25"/>
  <c r="O110" i="25" s="1"/>
  <c r="N109" i="25"/>
  <c r="J109" i="24" l="1"/>
  <c r="L109" i="24"/>
  <c r="I110" i="24"/>
  <c r="K109" i="24"/>
  <c r="F107" i="24"/>
  <c r="E107" i="24"/>
  <c r="G107" i="24"/>
  <c r="I110" i="25"/>
  <c r="K110" i="25" s="1"/>
  <c r="J109" i="25"/>
  <c r="N110" i="25"/>
  <c r="M111" i="25"/>
  <c r="O111" i="25" s="1"/>
  <c r="J110" i="24" l="1"/>
  <c r="L110" i="24"/>
  <c r="I111" i="24"/>
  <c r="K110" i="24"/>
  <c r="F108" i="24"/>
  <c r="E108" i="24"/>
  <c r="G108" i="24"/>
  <c r="M112" i="25"/>
  <c r="O112" i="25" s="1"/>
  <c r="N111" i="25"/>
  <c r="I111" i="25"/>
  <c r="K111" i="25" s="1"/>
  <c r="J110" i="25"/>
  <c r="J111" i="24" l="1"/>
  <c r="L111" i="24"/>
  <c r="I112" i="24"/>
  <c r="K111" i="24"/>
  <c r="F109" i="24"/>
  <c r="E109" i="24"/>
  <c r="G109" i="24"/>
  <c r="I112" i="25"/>
  <c r="K112" i="25" s="1"/>
  <c r="J111" i="25"/>
  <c r="N112" i="25"/>
  <c r="M113" i="25"/>
  <c r="O113" i="25" s="1"/>
  <c r="J112" i="24" l="1"/>
  <c r="L112" i="24"/>
  <c r="I113" i="24"/>
  <c r="K112" i="24"/>
  <c r="F110" i="24"/>
  <c r="E110" i="24"/>
  <c r="G110" i="24"/>
  <c r="M114" i="25"/>
  <c r="O114" i="25" s="1"/>
  <c r="N113" i="25"/>
  <c r="I113" i="25"/>
  <c r="K113" i="25" s="1"/>
  <c r="J112" i="25"/>
  <c r="J113" i="24" l="1"/>
  <c r="L113" i="24"/>
  <c r="I114" i="24"/>
  <c r="K113" i="24"/>
  <c r="F111" i="24"/>
  <c r="E111" i="24"/>
  <c r="G111" i="24"/>
  <c r="I114" i="25"/>
  <c r="K114" i="25" s="1"/>
  <c r="J113" i="25"/>
  <c r="N114" i="25"/>
  <c r="M115" i="25"/>
  <c r="O115" i="25" s="1"/>
  <c r="J114" i="24" l="1"/>
  <c r="L114" i="24"/>
  <c r="I115" i="24"/>
  <c r="K114" i="24"/>
  <c r="F112" i="24"/>
  <c r="E112" i="24"/>
  <c r="G112" i="24"/>
  <c r="N115" i="25"/>
  <c r="M116" i="25"/>
  <c r="O116" i="25" s="1"/>
  <c r="I115" i="25"/>
  <c r="K115" i="25" s="1"/>
  <c r="J114" i="25"/>
  <c r="J115" i="24" l="1"/>
  <c r="L115" i="24"/>
  <c r="I116" i="24"/>
  <c r="K115" i="24"/>
  <c r="F113" i="24"/>
  <c r="E113" i="24"/>
  <c r="G113" i="24"/>
  <c r="N116" i="25"/>
  <c r="M117" i="25"/>
  <c r="O117" i="25" s="1"/>
  <c r="I116" i="25"/>
  <c r="K116" i="25" s="1"/>
  <c r="J115" i="25"/>
  <c r="J116" i="24" l="1"/>
  <c r="L116" i="24"/>
  <c r="I117" i="24"/>
  <c r="K116" i="24"/>
  <c r="F114" i="24"/>
  <c r="E114" i="24"/>
  <c r="G114" i="24"/>
  <c r="J116" i="25"/>
  <c r="I117" i="25"/>
  <c r="K117" i="25" s="1"/>
  <c r="M118" i="25"/>
  <c r="O118" i="25" s="1"/>
  <c r="N117" i="25"/>
  <c r="J117" i="24" l="1"/>
  <c r="L117" i="24"/>
  <c r="I118" i="24"/>
  <c r="K117" i="24"/>
  <c r="F115" i="24"/>
  <c r="E115" i="24"/>
  <c r="G115" i="24"/>
  <c r="N118" i="25"/>
  <c r="M119" i="25"/>
  <c r="O119" i="25" s="1"/>
  <c r="I118" i="25"/>
  <c r="K118" i="25" s="1"/>
  <c r="J117" i="25"/>
  <c r="J118" i="24" l="1"/>
  <c r="L118" i="24"/>
  <c r="I119" i="24"/>
  <c r="K118" i="24"/>
  <c r="F116" i="24"/>
  <c r="E116" i="24"/>
  <c r="G116" i="24"/>
  <c r="I119" i="25"/>
  <c r="K119" i="25" s="1"/>
  <c r="J118" i="25"/>
  <c r="N119" i="25"/>
  <c r="M120" i="25"/>
  <c r="O120" i="25" s="1"/>
  <c r="J119" i="24" l="1"/>
  <c r="L119" i="24"/>
  <c r="I120" i="24"/>
  <c r="K119" i="24"/>
  <c r="F117" i="24"/>
  <c r="E117" i="24"/>
  <c r="G117" i="24"/>
  <c r="N120" i="25"/>
  <c r="M121" i="25"/>
  <c r="O121" i="25" s="1"/>
  <c r="I120" i="25"/>
  <c r="K120" i="25" s="1"/>
  <c r="J119" i="25"/>
  <c r="J120" i="24" l="1"/>
  <c r="L120" i="24"/>
  <c r="I121" i="24"/>
  <c r="K120" i="24"/>
  <c r="F118" i="24"/>
  <c r="E118" i="24"/>
  <c r="G118" i="24"/>
  <c r="M122" i="25"/>
  <c r="O122" i="25" s="1"/>
  <c r="N121" i="25"/>
  <c r="I121" i="25"/>
  <c r="K121" i="25" s="1"/>
  <c r="J120" i="25"/>
  <c r="J121" i="24" l="1"/>
  <c r="L121" i="24"/>
  <c r="I122" i="24"/>
  <c r="K121" i="24"/>
  <c r="F119" i="24"/>
  <c r="E119" i="24"/>
  <c r="G119" i="24"/>
  <c r="I122" i="25"/>
  <c r="K122" i="25" s="1"/>
  <c r="J121" i="25"/>
  <c r="N122" i="25"/>
  <c r="M123" i="25"/>
  <c r="O123" i="25" s="1"/>
  <c r="J122" i="24" l="1"/>
  <c r="L122" i="24"/>
  <c r="I123" i="24"/>
  <c r="K122" i="24"/>
  <c r="F120" i="24"/>
  <c r="E120" i="24"/>
  <c r="G120" i="24"/>
  <c r="M124" i="25"/>
  <c r="O124" i="25" s="1"/>
  <c r="N123" i="25"/>
  <c r="J122" i="25"/>
  <c r="I123" i="25"/>
  <c r="K123" i="25" s="1"/>
  <c r="J123" i="24" l="1"/>
  <c r="L123" i="24"/>
  <c r="I124" i="24"/>
  <c r="K123" i="24"/>
  <c r="F121" i="24"/>
  <c r="E121" i="24"/>
  <c r="G121" i="24"/>
  <c r="I124" i="25"/>
  <c r="K124" i="25" s="1"/>
  <c r="J123" i="25"/>
  <c r="N124" i="25"/>
  <c r="M125" i="25"/>
  <c r="O125" i="25" s="1"/>
  <c r="J124" i="24" l="1"/>
  <c r="L124" i="24"/>
  <c r="I125" i="24"/>
  <c r="K124" i="24"/>
  <c r="F122" i="24"/>
  <c r="E122" i="24"/>
  <c r="G122" i="24"/>
  <c r="N125" i="25"/>
  <c r="M126" i="25"/>
  <c r="O126" i="25" s="1"/>
  <c r="J124" i="25"/>
  <c r="I125" i="25"/>
  <c r="K125" i="25" s="1"/>
  <c r="J125" i="24" l="1"/>
  <c r="L125" i="24"/>
  <c r="I126" i="24"/>
  <c r="K125" i="24"/>
  <c r="F123" i="24"/>
  <c r="E123" i="24"/>
  <c r="G123" i="24"/>
  <c r="I126" i="25"/>
  <c r="K126" i="25" s="1"/>
  <c r="J125" i="25"/>
  <c r="N126" i="25"/>
  <c r="M127" i="25"/>
  <c r="O127" i="25" s="1"/>
  <c r="J126" i="24" l="1"/>
  <c r="L126" i="24"/>
  <c r="I127" i="24"/>
  <c r="K126" i="24"/>
  <c r="F124" i="24"/>
  <c r="E124" i="24"/>
  <c r="G124" i="24"/>
  <c r="N127" i="25"/>
  <c r="M128" i="25"/>
  <c r="O128" i="25" s="1"/>
  <c r="I127" i="25"/>
  <c r="K127" i="25" s="1"/>
  <c r="J126" i="25"/>
  <c r="J127" i="24" l="1"/>
  <c r="L127" i="24"/>
  <c r="I128" i="24"/>
  <c r="K127" i="24"/>
  <c r="F125" i="24"/>
  <c r="E125" i="24"/>
  <c r="G125" i="24"/>
  <c r="N128" i="25"/>
  <c r="M129" i="25"/>
  <c r="O129" i="25" s="1"/>
  <c r="I128" i="25"/>
  <c r="K128" i="25" s="1"/>
  <c r="J127" i="25"/>
  <c r="J128" i="24" l="1"/>
  <c r="L128" i="24"/>
  <c r="I129" i="24"/>
  <c r="K128" i="24"/>
  <c r="F126" i="24"/>
  <c r="E126" i="24"/>
  <c r="G126" i="24"/>
  <c r="M130" i="25"/>
  <c r="O130" i="25" s="1"/>
  <c r="N129" i="25"/>
  <c r="J128" i="25"/>
  <c r="I129" i="25"/>
  <c r="K129" i="25" s="1"/>
  <c r="J129" i="24" l="1"/>
  <c r="L129" i="24"/>
  <c r="I130" i="24"/>
  <c r="K129" i="24"/>
  <c r="F127" i="24"/>
  <c r="E127" i="24"/>
  <c r="G127" i="24"/>
  <c r="I130" i="25"/>
  <c r="K130" i="25" s="1"/>
  <c r="J129" i="25"/>
  <c r="N130" i="25"/>
  <c r="M131" i="25"/>
  <c r="O131" i="25" s="1"/>
  <c r="J130" i="24" l="1"/>
  <c r="L130" i="24"/>
  <c r="I131" i="24"/>
  <c r="K130" i="24"/>
  <c r="F128" i="24"/>
  <c r="E128" i="24"/>
  <c r="G128" i="24"/>
  <c r="N131" i="25"/>
  <c r="M132" i="25"/>
  <c r="O132" i="25" s="1"/>
  <c r="J130" i="25"/>
  <c r="I131" i="25"/>
  <c r="K131" i="25" s="1"/>
  <c r="J131" i="24" l="1"/>
  <c r="L131" i="24"/>
  <c r="I132" i="24"/>
  <c r="K131" i="24"/>
  <c r="F129" i="24"/>
  <c r="E129" i="24"/>
  <c r="G129" i="24"/>
  <c r="M133" i="25"/>
  <c r="O133" i="25" s="1"/>
  <c r="N132" i="25"/>
  <c r="I132" i="25"/>
  <c r="K132" i="25" s="1"/>
  <c r="J131" i="25"/>
  <c r="J132" i="24" l="1"/>
  <c r="L132" i="24"/>
  <c r="I133" i="24"/>
  <c r="K132" i="24"/>
  <c r="F130" i="24"/>
  <c r="E130" i="24"/>
  <c r="G130" i="24"/>
  <c r="J132" i="25"/>
  <c r="I133" i="25"/>
  <c r="K133" i="25" s="1"/>
  <c r="N133" i="25"/>
  <c r="M134" i="25"/>
  <c r="O134" i="25" s="1"/>
  <c r="J133" i="24" l="1"/>
  <c r="L133" i="24"/>
  <c r="I134" i="24"/>
  <c r="K133" i="24"/>
  <c r="F131" i="24"/>
  <c r="E131" i="24"/>
  <c r="G131" i="24"/>
  <c r="J133" i="25"/>
  <c r="I134" i="25"/>
  <c r="K134" i="25" s="1"/>
  <c r="M135" i="25"/>
  <c r="O135" i="25" s="1"/>
  <c r="N134" i="25"/>
  <c r="J134" i="24" l="1"/>
  <c r="L134" i="24"/>
  <c r="I135" i="24"/>
  <c r="K134" i="24"/>
  <c r="N135" i="25"/>
  <c r="M136" i="25"/>
  <c r="O136" i="25" s="1"/>
  <c r="I135" i="25"/>
  <c r="K135" i="25" s="1"/>
  <c r="J134" i="25"/>
  <c r="J135" i="24" l="1"/>
  <c r="L135" i="24"/>
  <c r="I136" i="24"/>
  <c r="K135" i="24"/>
  <c r="I136" i="25"/>
  <c r="K136" i="25" s="1"/>
  <c r="J135" i="25"/>
  <c r="M137" i="25"/>
  <c r="O137" i="25" s="1"/>
  <c r="N136" i="25"/>
  <c r="J136" i="24" l="1"/>
  <c r="L136" i="24"/>
  <c r="I137" i="24"/>
  <c r="K136" i="24"/>
  <c r="N137" i="25"/>
  <c r="M138" i="25"/>
  <c r="O138" i="25" s="1"/>
  <c r="I137" i="25"/>
  <c r="K137" i="25" s="1"/>
  <c r="J136" i="25"/>
  <c r="J137" i="24" l="1"/>
  <c r="L137" i="24"/>
  <c r="I138" i="24"/>
  <c r="K137" i="24"/>
  <c r="J137" i="25"/>
  <c r="I138" i="25"/>
  <c r="K138" i="25" s="1"/>
  <c r="M139" i="25"/>
  <c r="O139" i="25" s="1"/>
  <c r="N138" i="25"/>
  <c r="J138" i="24" l="1"/>
  <c r="L138" i="24"/>
  <c r="I139" i="24"/>
  <c r="K138" i="24"/>
  <c r="N139" i="25"/>
  <c r="M140" i="25"/>
  <c r="O140" i="25" s="1"/>
  <c r="I139" i="25"/>
  <c r="K139" i="25" s="1"/>
  <c r="J138" i="25"/>
  <c r="J139" i="24" l="1"/>
  <c r="L139" i="24"/>
  <c r="I140" i="24"/>
  <c r="K139" i="24"/>
  <c r="I140" i="25"/>
  <c r="K140" i="25" s="1"/>
  <c r="J139" i="25"/>
  <c r="M141" i="25"/>
  <c r="O141" i="25" s="1"/>
  <c r="N140" i="25"/>
  <c r="J140" i="24" l="1"/>
  <c r="L140" i="24"/>
  <c r="I141" i="24"/>
  <c r="K140" i="24"/>
  <c r="N141" i="25"/>
  <c r="M142" i="25"/>
  <c r="O142" i="25" s="1"/>
  <c r="I141" i="25"/>
  <c r="K141" i="25" s="1"/>
  <c r="J140" i="25"/>
  <c r="J141" i="24" l="1"/>
  <c r="L141" i="24"/>
  <c r="I142" i="24"/>
  <c r="K141" i="24"/>
  <c r="I142" i="25"/>
  <c r="K142" i="25" s="1"/>
  <c r="J141" i="25"/>
  <c r="M143" i="25"/>
  <c r="O143" i="25" s="1"/>
  <c r="N142" i="25"/>
  <c r="J142" i="24" l="1"/>
  <c r="L142" i="24"/>
  <c r="I143" i="24"/>
  <c r="K142" i="24"/>
  <c r="N143" i="25"/>
  <c r="M144" i="25"/>
  <c r="O144" i="25" s="1"/>
  <c r="I143" i="25"/>
  <c r="K143" i="25" s="1"/>
  <c r="J142" i="25"/>
  <c r="J143" i="24" l="1"/>
  <c r="L143" i="24"/>
  <c r="I144" i="24"/>
  <c r="K143" i="24"/>
  <c r="M145" i="25"/>
  <c r="O145" i="25" s="1"/>
  <c r="N144" i="25"/>
  <c r="I144" i="25"/>
  <c r="K144" i="25" s="1"/>
  <c r="J143" i="25"/>
  <c r="J144" i="24" l="1"/>
  <c r="L144" i="24"/>
  <c r="I145" i="24"/>
  <c r="K144" i="24"/>
  <c r="I145" i="25"/>
  <c r="K145" i="25" s="1"/>
  <c r="J144" i="25"/>
  <c r="N145" i="25"/>
  <c r="M146" i="25"/>
  <c r="O146" i="25" s="1"/>
  <c r="J145" i="24" l="1"/>
  <c r="L145" i="24"/>
  <c r="I146" i="24"/>
  <c r="K145" i="24"/>
  <c r="M147" i="25"/>
  <c r="O147" i="25" s="1"/>
  <c r="N146" i="25"/>
  <c r="I146" i="25"/>
  <c r="K146" i="25" s="1"/>
  <c r="J145" i="25"/>
  <c r="J146" i="24" l="1"/>
  <c r="L146" i="24"/>
  <c r="I147" i="24"/>
  <c r="K146" i="24"/>
  <c r="I147" i="25"/>
  <c r="K147" i="25" s="1"/>
  <c r="J146" i="25"/>
  <c r="N147" i="25"/>
  <c r="M148" i="25"/>
  <c r="O148" i="25" s="1"/>
  <c r="J147" i="24" l="1"/>
  <c r="L147" i="24"/>
  <c r="I148" i="24"/>
  <c r="K147" i="24"/>
  <c r="M149" i="25"/>
  <c r="O149" i="25" s="1"/>
  <c r="N148" i="25"/>
  <c r="I148" i="25"/>
  <c r="K148" i="25" s="1"/>
  <c r="J147" i="25"/>
  <c r="J148" i="24" l="1"/>
  <c r="L148" i="24"/>
  <c r="I149" i="24"/>
  <c r="K148" i="24"/>
  <c r="I149" i="25"/>
  <c r="K149" i="25" s="1"/>
  <c r="J148" i="25"/>
  <c r="N149" i="25"/>
  <c r="M150" i="25"/>
  <c r="O150" i="25" s="1"/>
  <c r="J149" i="24" l="1"/>
  <c r="L149" i="24"/>
  <c r="I150" i="24"/>
  <c r="K149" i="24"/>
  <c r="M151" i="25"/>
  <c r="O151" i="25" s="1"/>
  <c r="N150" i="25"/>
  <c r="J149" i="25"/>
  <c r="I150" i="25"/>
  <c r="K150" i="25" s="1"/>
  <c r="J150" i="24" l="1"/>
  <c r="L150" i="24"/>
  <c r="I151" i="24"/>
  <c r="K150" i="24"/>
  <c r="I151" i="25"/>
  <c r="K151" i="25" s="1"/>
  <c r="J150" i="25"/>
  <c r="N151" i="25"/>
  <c r="M152" i="25"/>
  <c r="O152" i="25" s="1"/>
  <c r="J151" i="24" l="1"/>
  <c r="L151" i="24"/>
  <c r="K151" i="24"/>
  <c r="M153" i="25"/>
  <c r="O153" i="25" s="1"/>
  <c r="N152" i="25"/>
  <c r="I152" i="25"/>
  <c r="K152" i="25" s="1"/>
  <c r="J151" i="25"/>
  <c r="I153" i="25" l="1"/>
  <c r="K153" i="25" s="1"/>
  <c r="J152" i="25"/>
  <c r="N153" i="25"/>
  <c r="M154" i="25"/>
  <c r="O154" i="25" s="1"/>
  <c r="M155" i="25" l="1"/>
  <c r="O155" i="25" s="1"/>
  <c r="N154" i="25"/>
  <c r="J153" i="25"/>
  <c r="I154" i="25"/>
  <c r="K154" i="25" s="1"/>
  <c r="I155" i="25" l="1"/>
  <c r="K155" i="25" s="1"/>
  <c r="J154" i="25"/>
  <c r="N155" i="25"/>
  <c r="M156" i="25"/>
  <c r="O156" i="25" s="1"/>
  <c r="M157" i="25" l="1"/>
  <c r="O157" i="25" s="1"/>
  <c r="N156" i="25"/>
  <c r="I156" i="25"/>
  <c r="K156" i="25" s="1"/>
  <c r="J155" i="25"/>
  <c r="I157" i="25" l="1"/>
  <c r="K157" i="25" s="1"/>
  <c r="J156" i="25"/>
  <c r="N157" i="25"/>
  <c r="M158" i="25"/>
  <c r="O158" i="25" s="1"/>
  <c r="M159" i="25" l="1"/>
  <c r="O159" i="25" s="1"/>
  <c r="N158" i="25"/>
  <c r="I158" i="25"/>
  <c r="K158" i="25" s="1"/>
  <c r="J157" i="25"/>
  <c r="I159" i="25" l="1"/>
  <c r="K159" i="25" s="1"/>
  <c r="J158" i="25"/>
  <c r="N159" i="25"/>
  <c r="M160" i="25"/>
  <c r="O160" i="25" s="1"/>
  <c r="M161" i="25" l="1"/>
  <c r="O161" i="25" s="1"/>
  <c r="N160" i="25"/>
  <c r="I160" i="25"/>
  <c r="K160" i="25" s="1"/>
  <c r="J159" i="25"/>
  <c r="I161" i="25" l="1"/>
  <c r="K161" i="25" s="1"/>
  <c r="J160" i="25"/>
  <c r="N161" i="25"/>
  <c r="M162" i="25"/>
  <c r="O162" i="25" s="1"/>
  <c r="M163" i="25" l="1"/>
  <c r="O163" i="25" s="1"/>
  <c r="N162" i="25"/>
  <c r="I162" i="25"/>
  <c r="K162" i="25" s="1"/>
  <c r="J161" i="25"/>
  <c r="I163" i="25" l="1"/>
  <c r="K163" i="25" s="1"/>
  <c r="J162" i="25"/>
  <c r="N163" i="25"/>
  <c r="M164" i="25"/>
  <c r="O164" i="25" s="1"/>
  <c r="M165" i="25" l="1"/>
  <c r="O165" i="25" s="1"/>
  <c r="N164" i="25"/>
  <c r="I164" i="25"/>
  <c r="K164" i="25" s="1"/>
  <c r="J163" i="25"/>
  <c r="I165" i="25" l="1"/>
  <c r="K165" i="25" s="1"/>
  <c r="J164" i="25"/>
  <c r="M166" i="25"/>
  <c r="O166" i="25" s="1"/>
  <c r="N165" i="25"/>
  <c r="M167" i="25" l="1"/>
  <c r="O167" i="25" s="1"/>
  <c r="N166" i="25"/>
  <c r="J165" i="25"/>
  <c r="I166" i="25"/>
  <c r="K166" i="25" s="1"/>
  <c r="I167" i="25" l="1"/>
  <c r="K167" i="25" s="1"/>
  <c r="J166" i="25"/>
  <c r="M168" i="25"/>
  <c r="O168" i="25" s="1"/>
  <c r="N167" i="25"/>
  <c r="M169" i="25" l="1"/>
  <c r="O169" i="25" s="1"/>
  <c r="N168" i="25"/>
  <c r="J167" i="25"/>
  <c r="I168" i="25"/>
  <c r="K168" i="25" s="1"/>
  <c r="I169" i="25" l="1"/>
  <c r="K169" i="25" s="1"/>
  <c r="J168" i="25"/>
  <c r="M170" i="25"/>
  <c r="O170" i="25" s="1"/>
  <c r="N169" i="25"/>
  <c r="M171" i="25" l="1"/>
  <c r="O171" i="25" s="1"/>
  <c r="N170" i="25"/>
  <c r="J169" i="25"/>
  <c r="I170" i="25"/>
  <c r="K170" i="25" s="1"/>
  <c r="I171" i="25" l="1"/>
  <c r="K171" i="25" s="1"/>
  <c r="J170" i="25"/>
  <c r="M172" i="25"/>
  <c r="O172" i="25" s="1"/>
  <c r="N171" i="25"/>
  <c r="M173" i="25" l="1"/>
  <c r="O173" i="25" s="1"/>
  <c r="N172" i="25"/>
  <c r="J171" i="25"/>
  <c r="I172" i="25"/>
  <c r="K172" i="25" s="1"/>
  <c r="I173" i="25" l="1"/>
  <c r="K173" i="25" s="1"/>
  <c r="J172" i="25"/>
  <c r="M174" i="25"/>
  <c r="O174" i="25" s="1"/>
  <c r="N173" i="25"/>
  <c r="M175" i="25" l="1"/>
  <c r="O175" i="25" s="1"/>
  <c r="N174" i="25"/>
  <c r="J173" i="25"/>
  <c r="I174" i="25"/>
  <c r="K174" i="25" s="1"/>
  <c r="I175" i="25" l="1"/>
  <c r="K175" i="25" s="1"/>
  <c r="J174" i="25"/>
  <c r="M176" i="25"/>
  <c r="O176" i="25" s="1"/>
  <c r="N175" i="25"/>
  <c r="M177" i="25" l="1"/>
  <c r="O177" i="25" s="1"/>
  <c r="N176" i="25"/>
  <c r="J175" i="25"/>
  <c r="I176" i="25"/>
  <c r="K176" i="25" s="1"/>
  <c r="I177" i="25" l="1"/>
  <c r="K177" i="25" s="1"/>
  <c r="J176" i="25"/>
  <c r="M178" i="25"/>
  <c r="O178" i="25" s="1"/>
  <c r="N177" i="25"/>
  <c r="M179" i="25" l="1"/>
  <c r="O179" i="25" s="1"/>
  <c r="N178" i="25"/>
  <c r="J177" i="25"/>
  <c r="I178" i="25"/>
  <c r="K178" i="25" s="1"/>
  <c r="I179" i="25" l="1"/>
  <c r="K179" i="25" s="1"/>
  <c r="J178" i="25"/>
  <c r="M180" i="25"/>
  <c r="O180" i="25" s="1"/>
  <c r="N179" i="25"/>
  <c r="M181" i="25" l="1"/>
  <c r="O181" i="25" s="1"/>
  <c r="N180" i="25"/>
  <c r="J179" i="25"/>
  <c r="M182" i="25" l="1"/>
  <c r="O182" i="25" s="1"/>
  <c r="N181" i="25"/>
  <c r="M183" i="25" l="1"/>
  <c r="O183" i="25" s="1"/>
  <c r="N182" i="25"/>
  <c r="N183" i="25" l="1"/>
  <c r="M184" i="25"/>
  <c r="O184" i="25" s="1"/>
  <c r="N184" i="25" l="1"/>
  <c r="M185" i="25"/>
  <c r="O185" i="25" s="1"/>
  <c r="N185" i="25" l="1"/>
  <c r="M186" i="25"/>
  <c r="O186" i="25" s="1"/>
  <c r="N186" i="25" l="1"/>
  <c r="M187" i="25"/>
  <c r="O187" i="25" s="1"/>
  <c r="N187" i="25" l="1"/>
  <c r="M188" i="25"/>
  <c r="O188" i="25" s="1"/>
  <c r="E24" i="25" l="1"/>
  <c r="G29" i="25" s="1"/>
  <c r="N188" i="25"/>
  <c r="M189" i="25"/>
  <c r="O189" i="25" s="1"/>
  <c r="M190" i="25" l="1"/>
  <c r="O190" i="25" s="1"/>
  <c r="N189" i="25"/>
  <c r="M191" i="25" l="1"/>
  <c r="O191" i="25" s="1"/>
  <c r="G27" i="25"/>
  <c r="N190" i="25"/>
  <c r="M192" i="25" l="1"/>
  <c r="O192" i="25" s="1"/>
  <c r="M193" i="25" l="1"/>
  <c r="O193" i="25" s="1"/>
  <c r="M194" i="25" l="1"/>
  <c r="O194" i="25" s="1"/>
  <c r="M195" i="25" l="1"/>
  <c r="O195" i="25" s="1"/>
  <c r="M196" i="25" l="1"/>
  <c r="O196" i="25" s="1"/>
  <c r="M197" i="25" l="1"/>
  <c r="O197" i="25" s="1"/>
  <c r="M198" i="25" l="1"/>
  <c r="O198" i="25" s="1"/>
  <c r="M199" i="25" l="1"/>
  <c r="O199" i="25" s="1"/>
  <c r="M200" i="25" l="1"/>
  <c r="O200" i="25" s="1"/>
  <c r="M201" i="25" l="1"/>
  <c r="O201" i="25" s="1"/>
</calcChain>
</file>

<file path=xl/sharedStrings.xml><?xml version="1.0" encoding="utf-8"?>
<sst xmlns="http://schemas.openxmlformats.org/spreadsheetml/2006/main" count="229" uniqueCount="120">
  <si>
    <t>Division</t>
  </si>
  <si>
    <t>Date of birth</t>
  </si>
  <si>
    <t>Normal Retirement Date</t>
  </si>
  <si>
    <t>Gender (M=1,F=2)</t>
  </si>
  <si>
    <t>Cert. Number</t>
  </si>
  <si>
    <t>2014 Earnings</t>
  </si>
  <si>
    <t>Guarantee of 120 months</t>
  </si>
  <si>
    <t>Age</t>
  </si>
  <si>
    <t>Joint Life of 75%</t>
  </si>
  <si>
    <t>Single Life</t>
  </si>
  <si>
    <t>With 75% Indexation</t>
  </si>
  <si>
    <t>Without Indexation</t>
  </si>
  <si>
    <t>UP94 Projected to 2020</t>
  </si>
  <si>
    <t>Mortality Table:</t>
  </si>
  <si>
    <t>Annuity Factor Summary Tables</t>
  </si>
  <si>
    <t>Today's Date</t>
  </si>
  <si>
    <t>Year</t>
  </si>
  <si>
    <t>YMPE</t>
  </si>
  <si>
    <t>Pension Payable for Normal Retirement (Age 65)</t>
  </si>
  <si>
    <t>Early Retirement Adjustment (55 to 65)</t>
  </si>
  <si>
    <t>reduction per month before normal retirement age</t>
  </si>
  <si>
    <t>Model Assumptions</t>
  </si>
  <si>
    <t xml:space="preserve">Yearly Pension Assumptions </t>
  </si>
  <si>
    <t>Yearly Investment Earnings</t>
  </si>
  <si>
    <t>Yearly Salary Increases (before 2014)</t>
  </si>
  <si>
    <t>Yearly Salary Increases (after 2014)</t>
  </si>
  <si>
    <t>Yearly YMPE Progession (starting 2020)</t>
  </si>
  <si>
    <t xml:space="preserve">Economic Assumptions </t>
  </si>
  <si>
    <t>Date Joined Service</t>
  </si>
  <si>
    <t>Female</t>
  </si>
  <si>
    <t>Male</t>
  </si>
  <si>
    <t>Weighted AF</t>
  </si>
  <si>
    <t>Spouse Proportion Assumption</t>
  </si>
  <si>
    <t>Actuarial Liability at: 2020-01-01</t>
  </si>
  <si>
    <t>Normal Cost at: 2019-01-01</t>
  </si>
  <si>
    <t>Actuarial Liabilitiy at: 2019-01-01</t>
  </si>
  <si>
    <t>Total Normal Cost at: 2019-01-01</t>
  </si>
  <si>
    <t>Total Actuarial Liability at: 2019-01-01</t>
  </si>
  <si>
    <t>Total Actuarial Liability at: 2020-01-01</t>
  </si>
  <si>
    <t>Market Value of Assets as of 2019-01-01:</t>
  </si>
  <si>
    <t>Normal Cost of Company as at 2019-01-01:</t>
  </si>
  <si>
    <t>Actuarial Liability of Company as at 2020-01-01:</t>
  </si>
  <si>
    <t>Fund Growth:</t>
  </si>
  <si>
    <t>Interest Rate:</t>
  </si>
  <si>
    <t>Amortization Period (Years):</t>
  </si>
  <si>
    <t>Market Value of Assets as of 2020-01-01:</t>
  </si>
  <si>
    <t>Pension Plan Deficit as of 2020-01-01:</t>
  </si>
  <si>
    <t xml:space="preserve">Amortization Calculations </t>
  </si>
  <si>
    <t>Amortization Payments as at 2020-01-01:</t>
  </si>
  <si>
    <t xml:space="preserve">     on the excess </t>
  </si>
  <si>
    <r>
      <t xml:space="preserve">  of the member's pensionable salary up to the YMPE for each year of pensionable service </t>
    </r>
    <r>
      <rPr>
        <b/>
        <sz val="10"/>
        <color theme="1"/>
        <rFont val="Arial"/>
        <family val="2"/>
      </rPr>
      <t>+</t>
    </r>
  </si>
  <si>
    <t xml:space="preserve">     per month of pensionable service</t>
  </si>
  <si>
    <t xml:space="preserve">Annuity Factor Assumptions </t>
  </si>
  <si>
    <t>Cerificate Number</t>
  </si>
  <si>
    <t>Rounddown(Age)</t>
  </si>
  <si>
    <t>Roundup(Age)</t>
  </si>
  <si>
    <t>AF(down)</t>
  </si>
  <si>
    <t>AF(up)</t>
  </si>
  <si>
    <t>Rest</t>
  </si>
  <si>
    <t>Decimal</t>
  </si>
  <si>
    <t>Valuation Date:</t>
  </si>
  <si>
    <t>Yearly Pension</t>
  </si>
  <si>
    <t xml:space="preserve">  (for 2019)</t>
  </si>
  <si>
    <t>(as at 2019-01-01)</t>
  </si>
  <si>
    <t xml:space="preserve">Normal Cost </t>
  </si>
  <si>
    <t>Actuarial Liability</t>
  </si>
  <si>
    <t>Indexed Weighted AF</t>
  </si>
  <si>
    <t xml:space="preserve">  (for 2020)</t>
  </si>
  <si>
    <t>(as at 2020-01-01)</t>
  </si>
  <si>
    <t>(for 2025)</t>
  </si>
  <si>
    <t>Normal Cost at: 2025-01-01</t>
  </si>
  <si>
    <t>Actuarial Liabilitiy at: 2025-01-01</t>
  </si>
  <si>
    <r>
      <rPr>
        <b/>
        <u/>
        <sz val="10"/>
        <rFont val="Arial"/>
        <family val="2"/>
      </rPr>
      <t>Note:</t>
    </r>
    <r>
      <rPr>
        <sz val="10"/>
        <rFont val="Arial"/>
        <family val="2"/>
      </rPr>
      <t xml:space="preserve"> Normal retirement dates were assumed, hence those members retiring prior to January 1st, 2025 would have a normal cost of 0 at the valuation date</t>
    </r>
  </si>
  <si>
    <t>Total Normal Cost at: 2025-01-01</t>
  </si>
  <si>
    <t>Total Actuarial Liability at: 2025-01-01</t>
  </si>
  <si>
    <t>.</t>
  </si>
  <si>
    <t xml:space="preserve">Cert. # </t>
  </si>
  <si>
    <t xml:space="preserve">Looking Ahead </t>
  </si>
  <si>
    <t>(assuming full year of credited service)</t>
  </si>
  <si>
    <t xml:space="preserve">Looking Back </t>
  </si>
  <si>
    <t xml:space="preserve">Projected Earnings </t>
  </si>
  <si>
    <t xml:space="preserve">Projected Yearly Pension </t>
  </si>
  <si>
    <t>Assumed Earnings</t>
  </si>
  <si>
    <t>Current Earnings</t>
  </si>
  <si>
    <t xml:space="preserve">2014 Earnings </t>
  </si>
  <si>
    <t>YMPE (2019)</t>
  </si>
  <si>
    <t>Credited Service for the current year</t>
  </si>
  <si>
    <t>Looking Forward:</t>
  </si>
  <si>
    <t>Looking Back:</t>
  </si>
  <si>
    <t>Please provide the following:</t>
  </si>
  <si>
    <t>Employee Information:</t>
  </si>
  <si>
    <t xml:space="preserve">Projected Credited Service </t>
  </si>
  <si>
    <t>Projected Yearly Pension</t>
  </si>
  <si>
    <t xml:space="preserve">Credited Service </t>
  </si>
  <si>
    <t>Certificate Number:</t>
  </si>
  <si>
    <t>Certificate Number</t>
  </si>
  <si>
    <t xml:space="preserve">Anticipated Retirement Date </t>
  </si>
  <si>
    <t>Current Earnings :</t>
  </si>
  <si>
    <t xml:space="preserve">Current Earnings </t>
  </si>
  <si>
    <t xml:space="preserve">Retirement Date: </t>
  </si>
  <si>
    <t>Date of Birth</t>
  </si>
  <si>
    <t xml:space="preserve">Date Joined Service </t>
  </si>
  <si>
    <t>Month</t>
  </si>
  <si>
    <t>Age Today</t>
  </si>
  <si>
    <t xml:space="preserve">Age at Retirement </t>
  </si>
  <si>
    <t xml:space="preserve">Day </t>
  </si>
  <si>
    <t>Today</t>
  </si>
  <si>
    <t xml:space="preserve">At Retirement </t>
  </si>
  <si>
    <t>Total Credited Service (in years)</t>
  </si>
  <si>
    <t xml:space="preserve">Credited Service for the current year </t>
  </si>
  <si>
    <t>(as of today)</t>
  </si>
  <si>
    <t>Pension earned for the current year</t>
  </si>
  <si>
    <t>Total Accrued Pension (as of today):</t>
  </si>
  <si>
    <t>Total Projected Pension (at retirement):</t>
  </si>
  <si>
    <t>For a yearly breakdown of your earned pension, see the table to the right</t>
  </si>
  <si>
    <t xml:space="preserve">*The last leap year was 2016, so in 2020, 2024,….. there will be 29 days in February </t>
  </si>
  <si>
    <t>Today's Date :</t>
  </si>
  <si>
    <t xml:space="preserve">Certificate Number </t>
  </si>
  <si>
    <t xml:space="preserve">2019 Earnings </t>
  </si>
  <si>
    <t>Projected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</si>
</sst>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&quot;$&quot;#,##0.00"/>
    <numFmt numFmtId="168" formatCode="0.0000"/>
    <numFmt numFmtId="169" formatCode="0.00000"/>
    <numFmt numFmtId="171" formatCode="0.000000"/>
    <numFmt numFmtId="173" formatCode="#,##0.0000_ ;\-#,##0.0000\ 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.5"/>
      <color rgb="FF202020"/>
      <name val="Verdana"/>
      <family val="2"/>
    </font>
    <font>
      <u/>
      <sz val="10"/>
      <name val="Arial"/>
      <family val="2"/>
    </font>
    <font>
      <sz val="10"/>
      <color rgb="FF202020"/>
      <name val="Arial"/>
      <family val="2"/>
    </font>
    <font>
      <sz val="10"/>
      <color rgb="FF444950"/>
      <name val="Arial"/>
      <family val="2"/>
    </font>
    <font>
      <sz val="10"/>
      <color theme="8" tint="0.79998168889431442"/>
      <name val="Arial"/>
      <family val="2"/>
    </font>
    <font>
      <b/>
      <sz val="10"/>
      <color rgb="FF44495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u val="doubleAccounting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2" fillId="0" borderId="0" xfId="0" applyNumberFormat="1" applyFont="1" applyAlignment="1"/>
    <xf numFmtId="0" fontId="3" fillId="0" borderId="0" xfId="0" applyFont="1"/>
    <xf numFmtId="44" fontId="0" fillId="0" borderId="0" xfId="2" applyFont="1"/>
    <xf numFmtId="0" fontId="2" fillId="0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0" fillId="0" borderId="0" xfId="0" applyNumberFormat="1"/>
    <xf numFmtId="168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44" fontId="2" fillId="0" borderId="0" xfId="2" applyFont="1" applyFill="1" applyBorder="1"/>
    <xf numFmtId="0" fontId="2" fillId="0" borderId="0" xfId="0" applyFont="1" applyBorder="1" applyAlignment="1">
      <alignment horizontal="center" vertical="center"/>
    </xf>
    <xf numFmtId="9" fontId="2" fillId="0" borderId="0" xfId="3" applyFont="1" applyBorder="1"/>
    <xf numFmtId="44" fontId="2" fillId="0" borderId="1" xfId="2" applyFont="1" applyFill="1" applyBorder="1"/>
    <xf numFmtId="1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44" fontId="0" fillId="0" borderId="2" xfId="2" applyFont="1" applyFill="1" applyBorder="1"/>
    <xf numFmtId="44" fontId="0" fillId="0" borderId="4" xfId="2" applyFont="1" applyFill="1" applyBorder="1"/>
    <xf numFmtId="44" fontId="0" fillId="0" borderId="3" xfId="2" applyFont="1" applyFill="1" applyBorder="1"/>
    <xf numFmtId="0" fontId="0" fillId="0" borderId="3" xfId="0" applyBorder="1" applyAlignment="1">
      <alignment horizontal="center"/>
    </xf>
    <xf numFmtId="44" fontId="0" fillId="0" borderId="11" xfId="2" applyFont="1" applyFill="1" applyBorder="1"/>
    <xf numFmtId="44" fontId="0" fillId="0" borderId="9" xfId="2" applyFont="1" applyFill="1" applyBorder="1"/>
    <xf numFmtId="44" fontId="0" fillId="0" borderId="12" xfId="2" applyFont="1" applyFill="1" applyBorder="1"/>
    <xf numFmtId="0" fontId="0" fillId="0" borderId="4" xfId="0" applyBorder="1" applyAlignment="1">
      <alignment horizontal="center"/>
    </xf>
    <xf numFmtId="44" fontId="2" fillId="0" borderId="1" xfId="0" applyNumberFormat="1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44" fontId="0" fillId="0" borderId="0" xfId="2" applyFont="1" applyFill="1" applyBorder="1"/>
    <xf numFmtId="0" fontId="0" fillId="0" borderId="0" xfId="0" applyFill="1" applyBorder="1"/>
    <xf numFmtId="166" fontId="0" fillId="0" borderId="0" xfId="0" applyNumberFormat="1" applyFill="1" applyBorder="1"/>
    <xf numFmtId="164" fontId="2" fillId="0" borderId="0" xfId="0" applyNumberFormat="1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8" fillId="0" borderId="0" xfId="0" applyFont="1"/>
    <xf numFmtId="0" fontId="0" fillId="3" borderId="0" xfId="0" applyFill="1" applyBorder="1"/>
    <xf numFmtId="44" fontId="0" fillId="0" borderId="11" xfId="2" applyFont="1" applyBorder="1"/>
    <xf numFmtId="165" fontId="0" fillId="0" borderId="2" xfId="1" applyNumberFormat="1" applyFont="1" applyBorder="1"/>
    <xf numFmtId="44" fontId="0" fillId="0" borderId="4" xfId="2" applyFont="1" applyBorder="1"/>
    <xf numFmtId="44" fontId="0" fillId="0" borderId="4" xfId="0" applyNumberFormat="1" applyBorder="1"/>
    <xf numFmtId="9" fontId="0" fillId="0" borderId="4" xfId="3" applyFont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9" fontId="6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10" fontId="6" fillId="3" borderId="8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4" borderId="8" xfId="0" applyFont="1" applyFill="1" applyBorder="1"/>
    <xf numFmtId="9" fontId="6" fillId="4" borderId="9" xfId="0" applyNumberFormat="1" applyFont="1" applyFill="1" applyBorder="1"/>
    <xf numFmtId="0" fontId="5" fillId="0" borderId="15" xfId="0" applyFont="1" applyFill="1" applyBorder="1"/>
    <xf numFmtId="9" fontId="6" fillId="0" borderId="12" xfId="0" applyNumberFormat="1" applyFont="1" applyFill="1" applyBorder="1"/>
    <xf numFmtId="0" fontId="5" fillId="0" borderId="8" xfId="0" applyFont="1" applyFill="1" applyBorder="1"/>
    <xf numFmtId="9" fontId="6" fillId="0" borderId="9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44" fontId="6" fillId="0" borderId="15" xfId="2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2" borderId="11" xfId="0" applyFill="1" applyBorder="1"/>
    <xf numFmtId="9" fontId="2" fillId="3" borderId="7" xfId="0" applyNumberFormat="1" applyFont="1" applyFill="1" applyBorder="1"/>
    <xf numFmtId="0" fontId="1" fillId="3" borderId="5" xfId="0" applyFont="1" applyFill="1" applyBorder="1"/>
    <xf numFmtId="0" fontId="2" fillId="2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1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  <xf numFmtId="169" fontId="2" fillId="0" borderId="0" xfId="0" applyNumberFormat="1" applyFont="1" applyFill="1" applyAlignment="1">
      <alignment horizontal="center"/>
    </xf>
    <xf numFmtId="0" fontId="2" fillId="0" borderId="0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5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4" fontId="0" fillId="3" borderId="14" xfId="0" applyNumberForma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44" fontId="7" fillId="2" borderId="14" xfId="2" applyFont="1" applyFill="1" applyBorder="1" applyAlignment="1">
      <alignment horizontal="center" vertical="center" wrapText="1"/>
    </xf>
    <xf numFmtId="44" fontId="2" fillId="2" borderId="14" xfId="2" applyFont="1" applyFill="1" applyBorder="1" applyAlignment="1">
      <alignment horizontal="center"/>
    </xf>
    <xf numFmtId="44" fontId="2" fillId="2" borderId="11" xfId="2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14" fontId="0" fillId="0" borderId="9" xfId="0" applyNumberForma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4" fontId="0" fillId="3" borderId="1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5" xfId="0" applyFill="1" applyBorder="1"/>
    <xf numFmtId="0" fontId="2" fillId="2" borderId="10" xfId="0" applyFont="1" applyFill="1" applyBorder="1" applyAlignment="1">
      <alignment horizontal="center"/>
    </xf>
    <xf numFmtId="44" fontId="7" fillId="2" borderId="14" xfId="2" applyFont="1" applyFill="1" applyBorder="1" applyAlignment="1">
      <alignment vertical="center" wrapText="1"/>
    </xf>
    <xf numFmtId="44" fontId="2" fillId="2" borderId="14" xfId="2" applyFont="1" applyFill="1" applyBorder="1"/>
    <xf numFmtId="44" fontId="2" fillId="2" borderId="11" xfId="2" applyFont="1" applyFill="1" applyBorder="1"/>
    <xf numFmtId="0" fontId="2" fillId="2" borderId="15" xfId="0" applyFont="1" applyFill="1" applyBorder="1" applyAlignment="1">
      <alignment horizontal="center"/>
    </xf>
    <xf numFmtId="171" fontId="1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14" fontId="2" fillId="3" borderId="16" xfId="0" applyNumberFormat="1" applyFont="1" applyFill="1" applyBorder="1" applyAlignment="1">
      <alignment horizontal="center"/>
    </xf>
    <xf numFmtId="14" fontId="2" fillId="3" borderId="15" xfId="0" applyNumberFormat="1" applyFont="1" applyFill="1" applyBorder="1" applyAlignment="1">
      <alignment horizontal="center"/>
    </xf>
    <xf numFmtId="14" fontId="2" fillId="3" borderId="6" xfId="0" applyNumberFormat="1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4" fontId="0" fillId="0" borderId="14" xfId="2" applyFont="1" applyFill="1" applyBorder="1"/>
    <xf numFmtId="44" fontId="0" fillId="0" borderId="16" xfId="2" applyFont="1" applyFill="1" applyBorder="1"/>
    <xf numFmtId="0" fontId="1" fillId="0" borderId="0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4" fontId="2" fillId="3" borderId="14" xfId="0" applyNumberFormat="1" applyFont="1" applyFill="1" applyBorder="1" applyAlignment="1">
      <alignment horizontal="center" wrapText="1"/>
    </xf>
    <xf numFmtId="14" fontId="2" fillId="3" borderId="0" xfId="0" applyNumberFormat="1" applyFont="1" applyFill="1" applyBorder="1" applyAlignment="1">
      <alignment horizontal="center" wrapText="1"/>
    </xf>
    <xf numFmtId="44" fontId="0" fillId="0" borderId="10" xfId="2" applyFont="1" applyFill="1" applyBorder="1"/>
    <xf numFmtId="44" fontId="0" fillId="0" borderId="8" xfId="2" applyFont="1" applyFill="1" applyBorder="1"/>
    <xf numFmtId="44" fontId="0" fillId="0" borderId="15" xfId="2" applyFont="1" applyFill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2" fillId="3" borderId="17" xfId="4" applyFont="1" applyFill="1" applyBorder="1" applyAlignment="1">
      <alignment horizontal="center"/>
    </xf>
    <xf numFmtId="0" fontId="1" fillId="0" borderId="0" xfId="4"/>
    <xf numFmtId="0" fontId="1" fillId="0" borderId="0" xfId="4" applyAlignment="1">
      <alignment horizontal="center"/>
    </xf>
    <xf numFmtId="14" fontId="1" fillId="0" borderId="0" xfId="4" applyNumberFormat="1" applyAlignment="1">
      <alignment horizontal="center"/>
    </xf>
    <xf numFmtId="0" fontId="2" fillId="3" borderId="10" xfId="4" applyFont="1" applyFill="1" applyBorder="1"/>
    <xf numFmtId="0" fontId="1" fillId="3" borderId="11" xfId="4" applyFill="1" applyBorder="1" applyAlignment="1">
      <alignment horizontal="center"/>
    </xf>
    <xf numFmtId="0" fontId="2" fillId="3" borderId="17" xfId="4" applyFont="1" applyFill="1" applyBorder="1"/>
    <xf numFmtId="0" fontId="2" fillId="0" borderId="0" xfId="4" applyFont="1"/>
    <xf numFmtId="44" fontId="2" fillId="3" borderId="17" xfId="2" applyFont="1" applyFill="1" applyBorder="1"/>
    <xf numFmtId="0" fontId="2" fillId="3" borderId="8" xfId="4" applyFont="1" applyFill="1" applyBorder="1"/>
    <xf numFmtId="0" fontId="1" fillId="3" borderId="9" xfId="4" applyFill="1" applyBorder="1" applyAlignment="1">
      <alignment horizontal="center"/>
    </xf>
    <xf numFmtId="44" fontId="9" fillId="0" borderId="0" xfId="2" applyFont="1" applyAlignment="1">
      <alignment vertical="center" wrapText="1"/>
    </xf>
    <xf numFmtId="167" fontId="1" fillId="0" borderId="0" xfId="4" applyNumberFormat="1" applyAlignment="1">
      <alignment horizontal="center"/>
    </xf>
    <xf numFmtId="44" fontId="1" fillId="3" borderId="9" xfId="4" applyNumberFormat="1" applyFill="1" applyBorder="1"/>
    <xf numFmtId="44" fontId="1" fillId="0" borderId="0" xfId="4" applyNumberFormat="1"/>
    <xf numFmtId="44" fontId="1" fillId="3" borderId="9" xfId="2" applyFill="1" applyBorder="1"/>
    <xf numFmtId="0" fontId="1" fillId="3" borderId="8" xfId="4" applyFill="1" applyBorder="1"/>
    <xf numFmtId="0" fontId="1" fillId="3" borderId="9" xfId="4" applyFill="1" applyBorder="1"/>
    <xf numFmtId="173" fontId="10" fillId="3" borderId="15" xfId="4" applyNumberFormat="1" applyFont="1" applyFill="1" applyBorder="1" applyAlignment="1">
      <alignment horizontal="center"/>
    </xf>
    <xf numFmtId="0" fontId="1" fillId="3" borderId="12" xfId="4" applyFill="1" applyBorder="1"/>
    <xf numFmtId="0" fontId="4" fillId="0" borderId="0" xfId="4" applyFont="1" applyAlignment="1">
      <alignment horizontal="center"/>
    </xf>
    <xf numFmtId="168" fontId="4" fillId="0" borderId="0" xfId="4" applyNumberFormat="1" applyFont="1" applyAlignment="1">
      <alignment horizontal="center"/>
    </xf>
    <xf numFmtId="0" fontId="2" fillId="0" borderId="0" xfId="4" applyFont="1" applyAlignment="1">
      <alignment horizontal="center"/>
    </xf>
    <xf numFmtId="0" fontId="4" fillId="3" borderId="10" xfId="4" applyFont="1" applyFill="1" applyBorder="1" applyAlignment="1">
      <alignment horizontal="left"/>
    </xf>
    <xf numFmtId="0" fontId="1" fillId="3" borderId="14" xfId="4" applyFill="1" applyBorder="1" applyAlignment="1">
      <alignment horizontal="center"/>
    </xf>
    <xf numFmtId="168" fontId="1" fillId="0" borderId="0" xfId="4" applyNumberFormat="1" applyAlignment="1">
      <alignment horizontal="center"/>
    </xf>
    <xf numFmtId="0" fontId="2" fillId="3" borderId="10" xfId="4" applyFont="1" applyFill="1" applyBorder="1" applyAlignment="1">
      <alignment horizontal="center"/>
    </xf>
    <xf numFmtId="0" fontId="1" fillId="3" borderId="8" xfId="4" applyFill="1" applyBorder="1" applyAlignment="1">
      <alignment horizontal="left"/>
    </xf>
    <xf numFmtId="0" fontId="1" fillId="3" borderId="0" xfId="4" applyFill="1" applyAlignment="1">
      <alignment horizontal="center"/>
    </xf>
    <xf numFmtId="0" fontId="2" fillId="3" borderId="19" xfId="4" applyFont="1" applyFill="1" applyBorder="1" applyAlignment="1">
      <alignment horizontal="center"/>
    </xf>
    <xf numFmtId="0" fontId="2" fillId="3" borderId="20" xfId="4" applyFont="1" applyFill="1" applyBorder="1" applyAlignment="1">
      <alignment horizontal="center"/>
    </xf>
    <xf numFmtId="44" fontId="2" fillId="3" borderId="21" xfId="2" applyFont="1" applyFill="1" applyBorder="1" applyAlignment="1">
      <alignment horizontal="center"/>
    </xf>
    <xf numFmtId="168" fontId="2" fillId="3" borderId="20" xfId="4" applyNumberFormat="1" applyFont="1" applyFill="1" applyBorder="1" applyAlignment="1">
      <alignment horizontal="center"/>
    </xf>
    <xf numFmtId="0" fontId="2" fillId="3" borderId="8" xfId="4" applyFont="1" applyFill="1" applyBorder="1" applyAlignment="1">
      <alignment horizontal="center"/>
    </xf>
    <xf numFmtId="0" fontId="2" fillId="3" borderId="8" xfId="4" applyFont="1" applyFill="1" applyBorder="1" applyAlignment="1">
      <alignment horizontal="left"/>
    </xf>
    <xf numFmtId="14" fontId="1" fillId="3" borderId="0" xfId="4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1" fillId="3" borderId="8" xfId="4" applyFill="1" applyBorder="1" applyAlignment="1">
      <alignment horizontal="center"/>
    </xf>
    <xf numFmtId="1" fontId="11" fillId="3" borderId="9" xfId="4" applyNumberFormat="1" applyFont="1" applyFill="1" applyBorder="1" applyAlignment="1">
      <alignment horizontal="center"/>
    </xf>
    <xf numFmtId="1" fontId="1" fillId="0" borderId="0" xfId="4" applyNumberFormat="1" applyAlignment="1">
      <alignment horizontal="center"/>
    </xf>
    <xf numFmtId="2" fontId="1" fillId="3" borderId="0" xfId="4" applyNumberFormat="1" applyFill="1" applyAlignment="1">
      <alignment horizontal="center"/>
    </xf>
    <xf numFmtId="0" fontId="2" fillId="3" borderId="0" xfId="4" applyFont="1" applyFill="1" applyAlignment="1">
      <alignment horizontal="center"/>
    </xf>
    <xf numFmtId="0" fontId="2" fillId="3" borderId="9" xfId="4" applyFont="1" applyFill="1" applyBorder="1" applyAlignment="1">
      <alignment horizontal="center"/>
    </xf>
    <xf numFmtId="0" fontId="2" fillId="3" borderId="15" xfId="4" applyFont="1" applyFill="1" applyBorder="1" applyAlignment="1">
      <alignment horizontal="center"/>
    </xf>
    <xf numFmtId="14" fontId="12" fillId="3" borderId="16" xfId="4" applyNumberFormat="1" applyFont="1" applyFill="1" applyBorder="1" applyAlignment="1">
      <alignment horizontal="center"/>
    </xf>
    <xf numFmtId="0" fontId="1" fillId="3" borderId="12" xfId="4" applyFill="1" applyBorder="1" applyAlignment="1">
      <alignment horizontal="center"/>
    </xf>
    <xf numFmtId="14" fontId="2" fillId="3" borderId="0" xfId="4" applyNumberFormat="1" applyFont="1" applyFill="1" applyAlignment="1">
      <alignment horizontal="center"/>
    </xf>
    <xf numFmtId="14" fontId="2" fillId="3" borderId="9" xfId="4" applyNumberFormat="1" applyFont="1" applyFill="1" applyBorder="1" applyAlignment="1">
      <alignment horizontal="center"/>
    </xf>
    <xf numFmtId="168" fontId="1" fillId="3" borderId="0" xfId="4" applyNumberFormat="1" applyFill="1" applyAlignment="1">
      <alignment horizontal="center"/>
    </xf>
    <xf numFmtId="168" fontId="1" fillId="3" borderId="9" xfId="4" applyNumberFormat="1" applyFill="1" applyBorder="1" applyAlignment="1">
      <alignment horizontal="center"/>
    </xf>
    <xf numFmtId="0" fontId="13" fillId="0" borderId="0" xfId="4" applyFont="1" applyAlignment="1">
      <alignment horizontal="left"/>
    </xf>
    <xf numFmtId="0" fontId="14" fillId="0" borderId="0" xfId="4" applyFont="1" applyAlignment="1">
      <alignment horizontal="left"/>
    </xf>
    <xf numFmtId="0" fontId="1" fillId="3" borderId="15" xfId="4" applyFill="1" applyBorder="1" applyAlignment="1">
      <alignment horizontal="center"/>
    </xf>
    <xf numFmtId="0" fontId="1" fillId="3" borderId="16" xfId="4" applyFill="1" applyBorder="1" applyAlignment="1">
      <alignment horizontal="center"/>
    </xf>
    <xf numFmtId="44" fontId="1" fillId="0" borderId="0" xfId="4" applyNumberFormat="1" applyAlignment="1">
      <alignment horizontal="center"/>
    </xf>
    <xf numFmtId="44" fontId="13" fillId="0" borderId="0" xfId="2" applyFont="1" applyAlignment="1">
      <alignment horizontal="center"/>
    </xf>
    <xf numFmtId="44" fontId="1" fillId="0" borderId="0" xfId="2" applyAlignment="1">
      <alignment horizontal="center"/>
    </xf>
    <xf numFmtId="0" fontId="1" fillId="3" borderId="10" xfId="4" applyFill="1" applyBorder="1" applyAlignment="1">
      <alignment horizontal="left"/>
    </xf>
    <xf numFmtId="44" fontId="15" fillId="3" borderId="0" xfId="2" applyFont="1" applyFill="1" applyAlignment="1">
      <alignment horizontal="center"/>
    </xf>
    <xf numFmtId="44" fontId="15" fillId="3" borderId="0" xfId="2" applyFont="1" applyFill="1" applyAlignment="1">
      <alignment horizontal="left"/>
    </xf>
    <xf numFmtId="0" fontId="2" fillId="3" borderId="15" xfId="4" applyFont="1" applyFill="1" applyBorder="1" applyAlignment="1">
      <alignment horizontal="left"/>
    </xf>
    <xf numFmtId="168" fontId="2" fillId="0" borderId="0" xfId="4" applyNumberFormat="1" applyFont="1" applyAlignment="1">
      <alignment horizontal="left"/>
    </xf>
    <xf numFmtId="168" fontId="13" fillId="0" borderId="0" xfId="4" applyNumberFormat="1" applyFont="1" applyAlignment="1">
      <alignment horizontal="center"/>
    </xf>
    <xf numFmtId="166" fontId="16" fillId="0" borderId="12" xfId="0" applyNumberFormat="1" applyFont="1" applyBorder="1"/>
    <xf numFmtId="0" fontId="2" fillId="3" borderId="5" xfId="4" applyFont="1" applyFill="1" applyBorder="1" applyAlignment="1">
      <alignment horizontal="center"/>
    </xf>
    <xf numFmtId="14" fontId="2" fillId="3" borderId="7" xfId="4" applyNumberFormat="1" applyFont="1" applyFill="1" applyBorder="1" applyAlignment="1">
      <alignment horizontal="center"/>
    </xf>
    <xf numFmtId="44" fontId="0" fillId="0" borderId="9" xfId="2" applyFont="1" applyBorder="1"/>
    <xf numFmtId="44" fontId="0" fillId="0" borderId="12" xfId="2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0" borderId="7" xfId="0" applyFont="1" applyBorder="1"/>
    <xf numFmtId="44" fontId="1" fillId="5" borderId="17" xfId="2" applyFill="1" applyBorder="1" applyAlignment="1" applyProtection="1">
      <alignment horizontal="center"/>
      <protection locked="0"/>
    </xf>
    <xf numFmtId="0" fontId="1" fillId="5" borderId="17" xfId="4" applyFill="1" applyBorder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11" fillId="3" borderId="9" xfId="4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 2" xfId="4" xr:uid="{44188D68-C330-470C-B382-1E097E42EB3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Pension for Certificate 757</a:t>
            </a:r>
          </a:p>
        </c:rich>
      </c:tx>
      <c:layout>
        <c:manualLayout>
          <c:xMode val="edge"/>
          <c:yMode val="edge"/>
          <c:x val="0.28385412349772066"/>
          <c:y val="2.011494252873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D Cert. 757'!$B$7</c:f>
              <c:strCache>
                <c:ptCount val="1"/>
                <c:pt idx="0">
                  <c:v>Projected Pension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'Part D Cert. 757'!$A$8:$A$18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</c:numCache>
            </c:numRef>
          </c:cat>
          <c:val>
            <c:numRef>
              <c:f>'Part D Cert. 757'!$B$8:$B$18</c:f>
              <c:numCache>
                <c:formatCode>_("$"* #,##0.00_);_("$"* \(#,##0.00\);_("$"* "-"??_);_(@_)</c:formatCode>
                <c:ptCount val="11"/>
                <c:pt idx="0">
                  <c:v>13351.830554414784</c:v>
                </c:pt>
                <c:pt idx="1">
                  <c:v>14248.486324435316</c:v>
                </c:pt>
                <c:pt idx="2">
                  <c:v>15223.346858316221</c:v>
                </c:pt>
                <c:pt idx="3">
                  <c:v>16120.412402464066</c:v>
                </c:pt>
                <c:pt idx="4">
                  <c:v>17094.810431211499</c:v>
                </c:pt>
                <c:pt idx="5">
                  <c:v>18095.110718685832</c:v>
                </c:pt>
                <c:pt idx="6">
                  <c:v>19178.07770020534</c:v>
                </c:pt>
                <c:pt idx="7">
                  <c:v>20174.467761806984</c:v>
                </c:pt>
                <c:pt idx="8">
                  <c:v>21252.510308008215</c:v>
                </c:pt>
                <c:pt idx="9">
                  <c:v>22356.455112936343</c:v>
                </c:pt>
                <c:pt idx="10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B-41C5-8544-E03A656390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141520"/>
        <c:axId val="331140536"/>
      </c:barChart>
      <c:catAx>
        <c:axId val="3311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at Retirement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0536"/>
        <c:crosses val="autoZero"/>
        <c:auto val="1"/>
        <c:lblAlgn val="ctr"/>
        <c:lblOffset val="100"/>
        <c:noMultiLvlLbl val="0"/>
      </c:catAx>
      <c:valAx>
        <c:axId val="3311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Projected Pension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15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6" fmlaLink="F11" fmlaRange="'Dates for Dropdown'!$A$1:$A$67" noThreeD="1" sel="18" val="17"/>
</file>

<file path=xl/ctrlProps/ctrlProp2.xml><?xml version="1.0" encoding="utf-8"?>
<formControlPr xmlns="http://schemas.microsoft.com/office/spreadsheetml/2009/9/main" objectType="Drop" dropStyle="combo" dx="26" fmlaLink="G12" fmlaRange="'Dates for Dropdown'!$B$1:$B$12" noThreeD="1" sel="5" val="4"/>
</file>

<file path=xl/ctrlProps/ctrlProp3.xml><?xml version="1.0" encoding="utf-8"?>
<formControlPr xmlns="http://schemas.microsoft.com/office/spreadsheetml/2009/9/main" objectType="Drop" dropStyle="combo" dx="26" fmlaLink="G14" fmlaRange="'Dates for Dropdown'!$C$1:$C$31" noThreeD="1" sel="1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144780</xdr:colOff>
          <xdr:row>10</xdr:row>
          <xdr:rowOff>38100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10C3C45F-2038-4D76-88C6-0B82944BA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11</xdr:row>
          <xdr:rowOff>0</xdr:rowOff>
        </xdr:from>
        <xdr:to>
          <xdr:col>6</xdr:col>
          <xdr:colOff>144780</xdr:colOff>
          <xdr:row>12</xdr:row>
          <xdr:rowOff>38100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94C49F28-3D01-4019-81B5-C99E4FCE1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13</xdr:row>
          <xdr:rowOff>0</xdr:rowOff>
        </xdr:from>
        <xdr:to>
          <xdr:col>6</xdr:col>
          <xdr:colOff>137160</xdr:colOff>
          <xdr:row>14</xdr:row>
          <xdr:rowOff>38100</xdr:rowOff>
        </xdr:to>
        <xdr:sp macro="" textlink="">
          <xdr:nvSpPr>
            <xdr:cNvPr id="17411" name="Drop Dow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BC86AFE9-F4E1-4947-8CE4-BFDEB3D11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76200</xdr:rowOff>
    </xdr:from>
    <xdr:to>
      <xdr:col>14</xdr:col>
      <xdr:colOff>457200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7C575-9C51-427A-9169-BF08DCD7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showGridLines="0" zoomScaleNormal="100" workbookViewId="0">
      <pane ySplit="3" topLeftCell="A4" activePane="bottomLeft" state="frozen"/>
      <selection pane="bottomLeft" activeCell="G21" sqref="G21"/>
    </sheetView>
  </sheetViews>
  <sheetFormatPr defaultColWidth="11.5546875" defaultRowHeight="13.2" x14ac:dyDescent="0.25"/>
  <cols>
    <col min="1" max="1" width="14.21875" customWidth="1"/>
    <col min="2" max="2" width="13.6640625" bestFit="1" customWidth="1"/>
    <col min="3" max="3" width="17.33203125" customWidth="1"/>
    <col min="5" max="5" width="31" customWidth="1"/>
    <col min="6" max="6" width="35.109375" customWidth="1"/>
  </cols>
  <sheetData>
    <row r="1" spans="1:6" ht="13.8" thickBot="1" x14ac:dyDescent="0.3">
      <c r="A1" s="12"/>
    </row>
    <row r="2" spans="1:6" ht="13.8" thickBot="1" x14ac:dyDescent="0.3">
      <c r="A2" s="104" t="s">
        <v>4</v>
      </c>
      <c r="B2" s="192" t="s">
        <v>34</v>
      </c>
      <c r="C2" s="102" t="s">
        <v>35</v>
      </c>
      <c r="E2" s="26" t="s">
        <v>36</v>
      </c>
      <c r="F2" s="27" t="s">
        <v>37</v>
      </c>
    </row>
    <row r="3" spans="1:6" ht="13.8" thickBot="1" x14ac:dyDescent="0.3">
      <c r="A3" s="183"/>
      <c r="B3" s="193"/>
      <c r="C3" s="182"/>
      <c r="E3" s="25">
        <f>SUM(B4:B82)</f>
        <v>745267.47968379897</v>
      </c>
      <c r="F3" s="25">
        <f>SUM(C4:C82)</f>
        <v>12222163.88417252</v>
      </c>
    </row>
    <row r="4" spans="1:6" x14ac:dyDescent="0.25">
      <c r="A4" s="191">
        <v>761</v>
      </c>
      <c r="B4" s="185">
        <f>VLOOKUP(A4,'A Calculations'!$B$3:$D$81,2,FALSE)</f>
        <v>3236.7127490759744</v>
      </c>
      <c r="C4" s="28">
        <f>VLOOKUP(A4,'A Calculations'!$B$3:$D$81,3,FALSE)</f>
        <v>48550.691236139617</v>
      </c>
    </row>
    <row r="5" spans="1:6" x14ac:dyDescent="0.25">
      <c r="A5" s="35">
        <v>735</v>
      </c>
      <c r="B5" s="39">
        <f>VLOOKUP(A5,'A Calculations'!$B$3:$D$81,2,FALSE)</f>
        <v>2625.3292583162215</v>
      </c>
      <c r="C5" s="29">
        <f>VLOOKUP(A5,'A Calculations'!$B$3:$D$81,3,FALSE)</f>
        <v>46380.816896919911</v>
      </c>
    </row>
    <row r="6" spans="1:6" x14ac:dyDescent="0.25">
      <c r="A6" s="35">
        <v>769</v>
      </c>
      <c r="B6" s="39">
        <f>VLOOKUP(A6,'A Calculations'!$B$3:$D$81,2,FALSE)</f>
        <v>2343.1906644763862</v>
      </c>
      <c r="C6" s="29">
        <f>VLOOKUP(A6,'A Calculations'!$B$3:$D$81,3,FALSE)</f>
        <v>33976.264634907602</v>
      </c>
    </row>
    <row r="7" spans="1:6" x14ac:dyDescent="0.25">
      <c r="A7" s="35">
        <v>786</v>
      </c>
      <c r="B7" s="39">
        <f>VLOOKUP(A7,'A Calculations'!$B$3:$D$81,2,FALSE)</f>
        <v>3053.0233971252574</v>
      </c>
      <c r="C7" s="29">
        <f>VLOOKUP(A7,'A Calculations'!$B$3:$D$81,3,FALSE)</f>
        <v>40452.560011909663</v>
      </c>
    </row>
    <row r="8" spans="1:6" x14ac:dyDescent="0.25">
      <c r="A8" s="35">
        <v>785</v>
      </c>
      <c r="B8" s="39">
        <f>VLOOKUP(A8,'A Calculations'!$B$3:$D$81,2,FALSE)</f>
        <v>1141.5663080082136</v>
      </c>
      <c r="C8" s="29">
        <f>VLOOKUP(A8,'A Calculations'!$B$3:$D$81,3,FALSE)</f>
        <v>15125.753581108831</v>
      </c>
    </row>
    <row r="9" spans="1:6" x14ac:dyDescent="0.25">
      <c r="A9" s="35">
        <v>784</v>
      </c>
      <c r="B9" s="39">
        <f>VLOOKUP(A9,'A Calculations'!$B$3:$D$81,2,FALSE)</f>
        <v>4723.6298414784405</v>
      </c>
      <c r="C9" s="29">
        <f>VLOOKUP(A9,'A Calculations'!$B$3:$D$81,3,FALSE)</f>
        <v>63375.36703983575</v>
      </c>
    </row>
    <row r="10" spans="1:6" x14ac:dyDescent="0.25">
      <c r="A10" s="35">
        <v>783</v>
      </c>
      <c r="B10" s="39">
        <f>VLOOKUP(A10,'A Calculations'!$B$3:$D$81,2,FALSE)</f>
        <v>4370.0619548254626</v>
      </c>
      <c r="C10" s="29">
        <f>VLOOKUP(A10,'A Calculations'!$B$3:$D$81,3,FALSE)</f>
        <v>58631.664560574958</v>
      </c>
    </row>
    <row r="11" spans="1:6" x14ac:dyDescent="0.25">
      <c r="A11" s="35">
        <v>782</v>
      </c>
      <c r="B11" s="39">
        <f>VLOOKUP(A11,'A Calculations'!$B$3:$D$81,2,FALSE)</f>
        <v>1316.164524024641</v>
      </c>
      <c r="C11" s="29">
        <f>VLOOKUP(A11,'A Calculations'!$B$3:$D$81,3,FALSE)</f>
        <v>17877.901451334707</v>
      </c>
    </row>
    <row r="12" spans="1:6" x14ac:dyDescent="0.25">
      <c r="A12" s="35">
        <v>781</v>
      </c>
      <c r="B12" s="39">
        <f>VLOOKUP(A12,'A Calculations'!$B$3:$D$81,2,FALSE)</f>
        <v>5371.9758406570845</v>
      </c>
      <c r="C12" s="29">
        <f>VLOOKUP(A12,'A Calculations'!$B$3:$D$81,3,FALSE)</f>
        <v>74759.9971158111</v>
      </c>
    </row>
    <row r="13" spans="1:6" x14ac:dyDescent="0.25">
      <c r="A13" s="35">
        <v>780</v>
      </c>
      <c r="B13" s="39">
        <f>VLOOKUP(A13,'A Calculations'!$B$3:$D$81,2,FALSE)</f>
        <v>1764.9788402464062</v>
      </c>
      <c r="C13" s="29">
        <f>VLOOKUP(A13,'A Calculations'!$B$3:$D$81,3,FALSE)</f>
        <v>24121.377483367552</v>
      </c>
    </row>
    <row r="14" spans="1:6" x14ac:dyDescent="0.25">
      <c r="A14" s="35">
        <v>779</v>
      </c>
      <c r="B14" s="39">
        <f>VLOOKUP(A14,'A Calculations'!$B$3:$D$81,2,FALSE)</f>
        <v>3923.6165963039016</v>
      </c>
      <c r="C14" s="29">
        <f>VLOOKUP(A14,'A Calculations'!$B$3:$D$81,3,FALSE)</f>
        <v>54276.696248870641</v>
      </c>
    </row>
    <row r="15" spans="1:6" x14ac:dyDescent="0.25">
      <c r="A15" s="35">
        <v>778</v>
      </c>
      <c r="B15" s="39">
        <f>VLOOKUP(A15,'A Calculations'!$B$3:$D$81,2,FALSE)</f>
        <v>3996.8825741273099</v>
      </c>
      <c r="C15" s="29">
        <f>VLOOKUP(A15,'A Calculations'!$B$3:$D$81,3,FALSE)</f>
        <v>47296.443793839833</v>
      </c>
    </row>
    <row r="16" spans="1:6" x14ac:dyDescent="0.25">
      <c r="A16" s="35">
        <v>777</v>
      </c>
      <c r="B16" s="39">
        <f>VLOOKUP(A16,'A Calculations'!$B$3:$D$81,2,FALSE)</f>
        <v>2754.8924944558526</v>
      </c>
      <c r="C16" s="29">
        <f>VLOOKUP(A16,'A Calculations'!$B$3:$D$81,3,FALSE)</f>
        <v>38109.346173305959</v>
      </c>
    </row>
    <row r="17" spans="1:3" x14ac:dyDescent="0.25">
      <c r="A17" s="35">
        <v>776</v>
      </c>
      <c r="B17" s="39">
        <f>VLOOKUP(A17,'A Calculations'!$B$3:$D$81,2,FALSE)</f>
        <v>6909.3718915811087</v>
      </c>
      <c r="C17" s="29">
        <f>VLOOKUP(A17,'A Calculations'!$B$3:$D$81,3,FALSE)</f>
        <v>96155.425491170434</v>
      </c>
    </row>
    <row r="18" spans="1:3" x14ac:dyDescent="0.25">
      <c r="A18" s="35">
        <v>775</v>
      </c>
      <c r="B18" s="39">
        <f>VLOOKUP(A18,'A Calculations'!$B$3:$D$81,2,FALSE)</f>
        <v>6111.9691318275163</v>
      </c>
      <c r="C18" s="29">
        <f>VLOOKUP(A18,'A Calculations'!$B$3:$D$81,3,FALSE)</f>
        <v>85567.567845585218</v>
      </c>
    </row>
    <row r="19" spans="1:3" x14ac:dyDescent="0.25">
      <c r="A19" s="35">
        <v>774</v>
      </c>
      <c r="B19" s="39">
        <f>VLOOKUP(A19,'A Calculations'!$B$3:$D$81,2,FALSE)</f>
        <v>3954.6168788501022</v>
      </c>
      <c r="C19" s="29">
        <f>VLOOKUP(A19,'A Calculations'!$B$3:$D$81,3,FALSE)</f>
        <v>56023.739117043115</v>
      </c>
    </row>
    <row r="20" spans="1:3" x14ac:dyDescent="0.25">
      <c r="A20" s="35">
        <v>772</v>
      </c>
      <c r="B20" s="39">
        <f>VLOOKUP(A20,'A Calculations'!$B$3:$D$81,2,FALSE)</f>
        <v>2729.7826250513349</v>
      </c>
      <c r="C20" s="29">
        <f>VLOOKUP(A20,'A Calculations'!$B$3:$D$81,3,FALSE)</f>
        <v>39354.366177823409</v>
      </c>
    </row>
    <row r="21" spans="1:3" x14ac:dyDescent="0.25">
      <c r="A21" s="35">
        <v>771</v>
      </c>
      <c r="B21" s="39">
        <f>VLOOKUP(A21,'A Calculations'!$B$3:$D$81,2,FALSE)</f>
        <v>1430.8795811088296</v>
      </c>
      <c r="C21" s="29">
        <f>VLOOKUP(A21,'A Calculations'!$B$3:$D$81,3,FALSE)</f>
        <v>20747.753926078029</v>
      </c>
    </row>
    <row r="22" spans="1:3" x14ac:dyDescent="0.25">
      <c r="A22" s="35">
        <v>768</v>
      </c>
      <c r="B22" s="39">
        <f>VLOOKUP(A22,'A Calculations'!$B$3:$D$81,2,FALSE)</f>
        <v>5120.5335523613967</v>
      </c>
      <c r="C22" s="29">
        <f>VLOOKUP(A22,'A Calculations'!$B$3:$D$81,3,FALSE)</f>
        <v>75101.15876796715</v>
      </c>
    </row>
    <row r="23" spans="1:3" x14ac:dyDescent="0.25">
      <c r="A23" s="35">
        <v>767</v>
      </c>
      <c r="B23" s="39">
        <f>VLOOKUP(A23,'A Calculations'!$B$3:$D$81,2,FALSE)</f>
        <v>2111.2380073921972</v>
      </c>
      <c r="C23" s="29">
        <f>VLOOKUP(A23,'A Calculations'!$B$3:$D$81,3,FALSE)</f>
        <v>31140.760609034911</v>
      </c>
    </row>
    <row r="24" spans="1:3" x14ac:dyDescent="0.25">
      <c r="A24" s="35">
        <v>766</v>
      </c>
      <c r="B24" s="39">
        <f>VLOOKUP(A24,'A Calculations'!$B$3:$D$81,2,FALSE)</f>
        <v>4584.5325092402472</v>
      </c>
      <c r="C24" s="29">
        <f>VLOOKUP(A24,'A Calculations'!$B$3:$D$81,3,FALSE)</f>
        <v>68385.94326283368</v>
      </c>
    </row>
    <row r="25" spans="1:3" x14ac:dyDescent="0.25">
      <c r="A25" s="35">
        <v>765</v>
      </c>
      <c r="B25" s="39">
        <f>VLOOKUP(A25,'A Calculations'!$B$3:$D$81,2,FALSE)</f>
        <v>8262.4299203285445</v>
      </c>
      <c r="C25" s="29">
        <f>VLOOKUP(A25,'A Calculations'!$B$3:$D$81,3,FALSE)</f>
        <v>129444.73541848053</v>
      </c>
    </row>
    <row r="26" spans="1:3" x14ac:dyDescent="0.25">
      <c r="A26" s="35">
        <v>762</v>
      </c>
      <c r="B26" s="39">
        <f>VLOOKUP(A26,'A Calculations'!$B$3:$D$81,2,FALSE)</f>
        <v>2976.0139170431216</v>
      </c>
      <c r="C26" s="29">
        <f>VLOOKUP(A26,'A Calculations'!$B$3:$D$81,3,FALSE)</f>
        <v>46624.21803367557</v>
      </c>
    </row>
    <row r="27" spans="1:3" x14ac:dyDescent="0.25">
      <c r="A27" s="35">
        <v>758</v>
      </c>
      <c r="B27" s="39">
        <f>VLOOKUP(A27,'A Calculations'!$B$3:$D$81,2,FALSE)</f>
        <v>2059.4071441478441</v>
      </c>
      <c r="C27" s="29">
        <f>VLOOKUP(A27,'A Calculations'!$B$3:$D$81,3,FALSE)</f>
        <v>31405.958948254622</v>
      </c>
    </row>
    <row r="28" spans="1:3" x14ac:dyDescent="0.25">
      <c r="A28" s="35">
        <v>757</v>
      </c>
      <c r="B28" s="39">
        <f>VLOOKUP(A28,'A Calculations'!$B$3:$D$81,2,FALSE)</f>
        <v>2933.065128542094</v>
      </c>
      <c r="C28" s="29">
        <f>VLOOKUP(A28,'A Calculations'!$B$3:$D$81,3,FALSE)</f>
        <v>45218.087398357282</v>
      </c>
    </row>
    <row r="29" spans="1:3" x14ac:dyDescent="0.25">
      <c r="A29" s="35">
        <v>756</v>
      </c>
      <c r="B29" s="39">
        <f>VLOOKUP(A29,'A Calculations'!$B$3:$D$81,2,FALSE)</f>
        <v>3460.0362086242299</v>
      </c>
      <c r="C29" s="29">
        <f>VLOOKUP(A29,'A Calculations'!$B$3:$D$81,3,FALSE)</f>
        <v>53053.88853223819</v>
      </c>
    </row>
    <row r="30" spans="1:3" x14ac:dyDescent="0.25">
      <c r="A30" s="35">
        <v>755</v>
      </c>
      <c r="B30" s="39">
        <f>VLOOKUP(A30,'A Calculations'!$B$3:$D$81,2,FALSE)</f>
        <v>2302.0135244353182</v>
      </c>
      <c r="C30" s="29">
        <f>VLOOKUP(A30,'A Calculations'!$B$3:$D$81,3,FALSE)</f>
        <v>36064.878549486646</v>
      </c>
    </row>
    <row r="31" spans="1:3" x14ac:dyDescent="0.25">
      <c r="A31" s="35">
        <v>754</v>
      </c>
      <c r="B31" s="39">
        <f>VLOOKUP(A31,'A Calculations'!$B$3:$D$81,2,FALSE)</f>
        <v>3027.0227285665487</v>
      </c>
      <c r="C31" s="29">
        <f>VLOOKUP(A31,'A Calculations'!$B$3:$D$81,3,FALSE)</f>
        <v>36538.98717803348</v>
      </c>
    </row>
    <row r="32" spans="1:3" x14ac:dyDescent="0.25">
      <c r="A32" s="35">
        <v>753</v>
      </c>
      <c r="B32" s="39">
        <f>VLOOKUP(A32,'A Calculations'!$B$3:$D$81,2,FALSE)</f>
        <v>6945.7394814431354</v>
      </c>
      <c r="C32" s="29">
        <f>VLOOKUP(A32,'A Calculations'!$B$3:$D$81,3,FALSE)</f>
        <v>81257.507104071134</v>
      </c>
    </row>
    <row r="33" spans="1:3" x14ac:dyDescent="0.25">
      <c r="A33" s="35">
        <v>752</v>
      </c>
      <c r="B33" s="39">
        <f>VLOOKUP(A33,'A Calculations'!$B$3:$D$81,2,FALSE)</f>
        <v>2675.9176498611268</v>
      </c>
      <c r="C33" s="29">
        <f>VLOOKUP(A33,'A Calculations'!$B$3:$D$81,3,FALSE)</f>
        <v>31435.260000167971</v>
      </c>
    </row>
    <row r="34" spans="1:3" x14ac:dyDescent="0.25">
      <c r="A34" s="35">
        <v>747</v>
      </c>
      <c r="B34" s="39">
        <f>VLOOKUP(A34,'A Calculations'!$B$3:$D$81,2,FALSE)</f>
        <v>7483.4954536160985</v>
      </c>
      <c r="C34" s="29">
        <f>VLOOKUP(A34,'A Calculations'!$B$3:$D$81,3,FALSE)</f>
        <v>91389.833377622592</v>
      </c>
    </row>
    <row r="35" spans="1:3" x14ac:dyDescent="0.25">
      <c r="A35" s="35">
        <v>746</v>
      </c>
      <c r="B35" s="39">
        <f>VLOOKUP(A35,'A Calculations'!$B$3:$D$81,2,FALSE)</f>
        <v>15977.063740945852</v>
      </c>
      <c r="C35" s="29">
        <f>VLOOKUP(A35,'A Calculations'!$B$3:$D$81,3,FALSE)</f>
        <v>195199.44217492084</v>
      </c>
    </row>
    <row r="36" spans="1:3" x14ac:dyDescent="0.25">
      <c r="A36" s="35">
        <v>743</v>
      </c>
      <c r="B36" s="39">
        <f>VLOOKUP(A36,'A Calculations'!$B$3:$D$81,2,FALSE)</f>
        <v>3946.6725771646288</v>
      </c>
      <c r="C36" s="29">
        <f>VLOOKUP(A36,'A Calculations'!$B$3:$D$81,3,FALSE)</f>
        <v>48725.15114764098</v>
      </c>
    </row>
    <row r="37" spans="1:3" x14ac:dyDescent="0.25">
      <c r="A37" s="35">
        <v>742</v>
      </c>
      <c r="B37" s="39">
        <f>VLOOKUP(A37,'A Calculations'!$B$3:$D$81,2,FALSE)</f>
        <v>8318.1300259507807</v>
      </c>
      <c r="C37" s="29">
        <f>VLOOKUP(A37,'A Calculations'!$B$3:$D$81,3,FALSE)</f>
        <v>103400.82022207741</v>
      </c>
    </row>
    <row r="38" spans="1:3" x14ac:dyDescent="0.25">
      <c r="A38" s="35">
        <v>740</v>
      </c>
      <c r="B38" s="39">
        <f>VLOOKUP(A38,'A Calculations'!$B$3:$D$81,2,FALSE)</f>
        <v>4690.3727534474274</v>
      </c>
      <c r="C38" s="29">
        <f>VLOOKUP(A38,'A Calculations'!$B$3:$D$81,3,FALSE)</f>
        <v>58352.063132188523</v>
      </c>
    </row>
    <row r="39" spans="1:3" x14ac:dyDescent="0.25">
      <c r="A39" s="35">
        <v>734</v>
      </c>
      <c r="B39" s="39">
        <f>VLOOKUP(A39,'A Calculations'!$B$3:$D$81,2,FALSE)</f>
        <v>16195.761590713939</v>
      </c>
      <c r="C39" s="29">
        <f>VLOOKUP(A39,'A Calculations'!$B$3:$D$81,3,FALSE)</f>
        <v>206183.18060788285</v>
      </c>
    </row>
    <row r="40" spans="1:3" x14ac:dyDescent="0.25">
      <c r="A40" s="35">
        <v>732</v>
      </c>
      <c r="B40" s="39">
        <f>VLOOKUP(A40,'A Calculations'!$B$3:$D$81,2,FALSE)</f>
        <v>4355.9785587300903</v>
      </c>
      <c r="C40" s="29">
        <f>VLOOKUP(A40,'A Calculations'!$B$3:$D$81,3,FALSE)</f>
        <v>56325.150060756459</v>
      </c>
    </row>
    <row r="41" spans="1:3" x14ac:dyDescent="0.25">
      <c r="A41" s="35">
        <v>730</v>
      </c>
      <c r="B41" s="39">
        <f>VLOOKUP(A41,'A Calculations'!$B$3:$D$81,2,FALSE)</f>
        <v>6898.7266685348359</v>
      </c>
      <c r="C41" s="29">
        <f>VLOOKUP(A41,'A Calculations'!$B$3:$D$81,3,FALSE)</f>
        <v>89766.902181217374</v>
      </c>
    </row>
    <row r="42" spans="1:3" x14ac:dyDescent="0.25">
      <c r="A42" s="35">
        <v>729</v>
      </c>
      <c r="B42" s="39">
        <f>VLOOKUP(A42,'A Calculations'!$B$3:$D$81,2,FALSE)</f>
        <v>4234.0082300020485</v>
      </c>
      <c r="C42" s="29">
        <f>VLOOKUP(A42,'A Calculations'!$B$3:$D$81,3,FALSE)</f>
        <v>55438.801694371214</v>
      </c>
    </row>
    <row r="43" spans="1:3" x14ac:dyDescent="0.25">
      <c r="A43" s="35">
        <v>726</v>
      </c>
      <c r="B43" s="39">
        <f>VLOOKUP(A43,'A Calculations'!$B$3:$D$81,2,FALSE)</f>
        <v>17935.087439190269</v>
      </c>
      <c r="C43" s="29">
        <f>VLOOKUP(A43,'A Calculations'!$B$3:$D$81,3,FALSE)</f>
        <v>236300.57191585485</v>
      </c>
    </row>
    <row r="44" spans="1:3" x14ac:dyDescent="0.25">
      <c r="A44" s="35">
        <v>721</v>
      </c>
      <c r="B44" s="39">
        <f>VLOOKUP(A44,'A Calculations'!$B$3:$D$81,2,FALSE)</f>
        <v>13469.785936918559</v>
      </c>
      <c r="C44" s="29">
        <f>VLOOKUP(A44,'A Calculations'!$B$3:$D$81,3,FALSE)</f>
        <v>183022.40595047674</v>
      </c>
    </row>
    <row r="45" spans="1:3" x14ac:dyDescent="0.25">
      <c r="A45" s="35">
        <v>718</v>
      </c>
      <c r="B45" s="39">
        <f>VLOOKUP(A45,'A Calculations'!$B$3:$D$81,2,FALSE)</f>
        <v>11021.041209840101</v>
      </c>
      <c r="C45" s="29">
        <f>VLOOKUP(A45,'A Calculations'!$B$3:$D$81,3,FALSE)</f>
        <v>142766.67369896034</v>
      </c>
    </row>
    <row r="46" spans="1:3" x14ac:dyDescent="0.25">
      <c r="A46" s="35">
        <v>714</v>
      </c>
      <c r="B46" s="39">
        <f>VLOOKUP(A46,'A Calculations'!$B$3:$D$81,2,FALSE)</f>
        <v>10058.898894793041</v>
      </c>
      <c r="C46" s="29">
        <f>VLOOKUP(A46,'A Calculations'!$B$3:$D$81,3,FALSE)</f>
        <v>133445.3650231853</v>
      </c>
    </row>
    <row r="47" spans="1:3" x14ac:dyDescent="0.25">
      <c r="A47" s="35">
        <v>709</v>
      </c>
      <c r="B47" s="39">
        <f>VLOOKUP(A47,'A Calculations'!$B$3:$D$81,2,FALSE)</f>
        <v>5062.8325940663908</v>
      </c>
      <c r="C47" s="29">
        <f>VLOOKUP(A47,'A Calculations'!$B$3:$D$81,3,FALSE)</f>
        <v>72918.484808921101</v>
      </c>
    </row>
    <row r="48" spans="1:3" x14ac:dyDescent="0.25">
      <c r="A48" s="35">
        <v>703</v>
      </c>
      <c r="B48" s="39">
        <f>VLOOKUP(A48,'A Calculations'!$B$3:$D$81,2,FALSE)</f>
        <v>5024.2854417290355</v>
      </c>
      <c r="C48" s="29">
        <f>VLOOKUP(A48,'A Calculations'!$B$3:$D$81,3,FALSE)</f>
        <v>74035.566503725291</v>
      </c>
    </row>
    <row r="49" spans="1:3" x14ac:dyDescent="0.25">
      <c r="A49" s="35">
        <v>698</v>
      </c>
      <c r="B49" s="39">
        <f>VLOOKUP(A49,'A Calculations'!$B$3:$D$81,2,FALSE)</f>
        <v>5001.3302688822969</v>
      </c>
      <c r="C49" s="29">
        <f>VLOOKUP(A49,'A Calculations'!$B$3:$D$81,3,FALSE)</f>
        <v>74685.938203162805</v>
      </c>
    </row>
    <row r="50" spans="1:3" x14ac:dyDescent="0.25">
      <c r="A50" s="35">
        <v>697</v>
      </c>
      <c r="B50" s="39">
        <f>VLOOKUP(A50,'A Calculations'!$B$3:$D$81,2,FALSE)</f>
        <v>13219.340770760713</v>
      </c>
      <c r="C50" s="29">
        <f>VLOOKUP(A50,'A Calculations'!$B$3:$D$81,3,FALSE)</f>
        <v>188394.20709794873</v>
      </c>
    </row>
    <row r="51" spans="1:3" x14ac:dyDescent="0.25">
      <c r="A51" s="35">
        <v>696</v>
      </c>
      <c r="B51" s="39">
        <f>VLOOKUP(A51,'A Calculations'!$B$3:$D$81,2,FALSE)</f>
        <v>9014.4884751195896</v>
      </c>
      <c r="C51" s="29">
        <f>VLOOKUP(A51,'A Calculations'!$B$3:$D$81,3,FALSE)</f>
        <v>132413.42942085158</v>
      </c>
    </row>
    <row r="52" spans="1:3" x14ac:dyDescent="0.25">
      <c r="A52" s="35">
        <v>694</v>
      </c>
      <c r="B52" s="39">
        <f>VLOOKUP(A52,'A Calculations'!$B$3:$D$81,2,FALSE)</f>
        <v>7762.8964571011193</v>
      </c>
      <c r="C52" s="29">
        <f>VLOOKUP(A52,'A Calculations'!$B$3:$D$81,3,FALSE)</f>
        <v>117735.89245875581</v>
      </c>
    </row>
    <row r="53" spans="1:3" x14ac:dyDescent="0.25">
      <c r="A53" s="35">
        <v>687</v>
      </c>
      <c r="B53" s="39">
        <f>VLOOKUP(A53,'A Calculations'!$B$3:$D$81,2,FALSE)</f>
        <v>9273.6719171976783</v>
      </c>
      <c r="C53" s="29">
        <f>VLOOKUP(A53,'A Calculations'!$B$3:$D$81,3,FALSE)</f>
        <v>142407.23810038061</v>
      </c>
    </row>
    <row r="54" spans="1:3" x14ac:dyDescent="0.25">
      <c r="A54" s="35">
        <v>685</v>
      </c>
      <c r="B54" s="39">
        <f>VLOOKUP(A54,'A Calculations'!$B$3:$D$81,2,FALSE)</f>
        <v>6456.9390717538245</v>
      </c>
      <c r="C54" s="29">
        <f>VLOOKUP(A54,'A Calculations'!$B$3:$D$81,3,FALSE)</f>
        <v>99946.73221987611</v>
      </c>
    </row>
    <row r="55" spans="1:3" x14ac:dyDescent="0.25">
      <c r="A55" s="35">
        <v>684</v>
      </c>
      <c r="B55" s="39">
        <f>VLOOKUP(A55,'A Calculations'!$B$3:$D$81,2,FALSE)</f>
        <v>10871.977533920719</v>
      </c>
      <c r="C55" s="29">
        <f>VLOOKUP(A55,'A Calculations'!$B$3:$D$81,3,FALSE)</f>
        <v>168352.92173421042</v>
      </c>
    </row>
    <row r="56" spans="1:3" x14ac:dyDescent="0.25">
      <c r="A56" s="35">
        <v>681</v>
      </c>
      <c r="B56" s="39">
        <f>VLOOKUP(A56,'A Calculations'!$B$3:$D$81,2,FALSE)</f>
        <v>11610.154175626581</v>
      </c>
      <c r="C56" s="29">
        <f>VLOOKUP(A56,'A Calculations'!$B$3:$D$81,3,FALSE)</f>
        <v>181552.72084480629</v>
      </c>
    </row>
    <row r="57" spans="1:3" x14ac:dyDescent="0.25">
      <c r="A57" s="35">
        <v>655</v>
      </c>
      <c r="B57" s="39">
        <f>VLOOKUP(A57,'A Calculations'!$B$3:$D$81,2,FALSE)</f>
        <v>6704.7043131376431</v>
      </c>
      <c r="C57" s="29">
        <f>VLOOKUP(A57,'A Calculations'!$B$3:$D$81,3,FALSE)</f>
        <v>109364.22083998471</v>
      </c>
    </row>
    <row r="58" spans="1:3" x14ac:dyDescent="0.25">
      <c r="A58" s="35">
        <v>644</v>
      </c>
      <c r="B58" s="39">
        <f>VLOOKUP(A58,'A Calculations'!$B$3:$D$81,2,FALSE)</f>
        <v>11814.885812432929</v>
      </c>
      <c r="C58" s="29">
        <f>VLOOKUP(A58,'A Calculations'!$B$3:$D$81,3,FALSE)</f>
        <v>195300.2532281077</v>
      </c>
    </row>
    <row r="59" spans="1:3" x14ac:dyDescent="0.25">
      <c r="A59" s="35">
        <v>634</v>
      </c>
      <c r="B59" s="39">
        <f>VLOOKUP(A59,'A Calculations'!$B$3:$D$81,2,FALSE)</f>
        <v>12935.812337179235</v>
      </c>
      <c r="C59" s="29">
        <f>VLOOKUP(A59,'A Calculations'!$B$3:$D$81,3,FALSE)</f>
        <v>218102.07875206837</v>
      </c>
    </row>
    <row r="60" spans="1:3" x14ac:dyDescent="0.25">
      <c r="A60" s="35">
        <v>625</v>
      </c>
      <c r="B60" s="39">
        <f>VLOOKUP(A60,'A Calculations'!$B$3:$D$81,2,FALSE)</f>
        <v>10668.77954697751</v>
      </c>
      <c r="C60" s="29">
        <f>VLOOKUP(A60,'A Calculations'!$B$3:$D$81,3,FALSE)</f>
        <v>181304.23857285545</v>
      </c>
    </row>
    <row r="61" spans="1:3" x14ac:dyDescent="0.25">
      <c r="A61" s="35">
        <v>624</v>
      </c>
      <c r="B61" s="39">
        <f>VLOOKUP(A61,'A Calculations'!$B$3:$D$81,2,FALSE)</f>
        <v>19356.963635649103</v>
      </c>
      <c r="C61" s="29">
        <f>VLOOKUP(A61,'A Calculations'!$B$3:$D$81,3,FALSE)</f>
        <v>329573.09211914963</v>
      </c>
    </row>
    <row r="62" spans="1:3" x14ac:dyDescent="0.25">
      <c r="A62" s="35">
        <v>620</v>
      </c>
      <c r="B62" s="39">
        <f>VLOOKUP(A62,'A Calculations'!$B$3:$D$81,2,FALSE)</f>
        <v>8165.0585231656742</v>
      </c>
      <c r="C62" s="29">
        <f>VLOOKUP(A62,'A Calculations'!$B$3:$D$81,3,FALSE)</f>
        <v>139480.57793323614</v>
      </c>
    </row>
    <row r="63" spans="1:3" x14ac:dyDescent="0.25">
      <c r="A63" s="35">
        <v>588</v>
      </c>
      <c r="B63" s="39">
        <f>VLOOKUP(A63,'A Calculations'!$B$3:$D$81,2,FALSE)</f>
        <v>18227.026621633478</v>
      </c>
      <c r="C63" s="29">
        <f>VLOOKUP(A63,'A Calculations'!$B$3:$D$81,3,FALSE)</f>
        <v>318237.55836229102</v>
      </c>
    </row>
    <row r="64" spans="1:3" x14ac:dyDescent="0.25">
      <c r="A64" s="35">
        <v>584</v>
      </c>
      <c r="B64" s="39">
        <f>VLOOKUP(A64,'A Calculations'!$B$3:$D$81,2,FALSE)</f>
        <v>18027.671868731115</v>
      </c>
      <c r="C64" s="29">
        <f>VLOOKUP(A64,'A Calculations'!$B$3:$D$81,3,FALSE)</f>
        <v>315303.39013388462</v>
      </c>
    </row>
    <row r="65" spans="1:3" x14ac:dyDescent="0.25">
      <c r="A65" s="35">
        <v>580</v>
      </c>
      <c r="B65" s="39">
        <f>VLOOKUP(A65,'A Calculations'!$B$3:$D$81,2,FALSE)</f>
        <v>15677.66185834044</v>
      </c>
      <c r="C65" s="29">
        <f>VLOOKUP(A65,'A Calculations'!$B$3:$D$81,3,FALSE)</f>
        <v>275046.43305810943</v>
      </c>
    </row>
    <row r="66" spans="1:3" x14ac:dyDescent="0.25">
      <c r="A66" s="35">
        <v>579</v>
      </c>
      <c r="B66" s="39">
        <f>VLOOKUP(A66,'A Calculations'!$B$3:$D$81,2,FALSE)</f>
        <v>11966.25728502864</v>
      </c>
      <c r="C66" s="29">
        <f>VLOOKUP(A66,'A Calculations'!$B$3:$D$81,3,FALSE)</f>
        <v>210011.98922459618</v>
      </c>
    </row>
    <row r="67" spans="1:3" x14ac:dyDescent="0.25">
      <c r="A67" s="35">
        <v>576</v>
      </c>
      <c r="B67" s="39">
        <f>VLOOKUP(A67,'A Calculations'!$B$3:$D$81,2,FALSE)</f>
        <v>13987.001970038991</v>
      </c>
      <c r="C67" s="29">
        <f>VLOOKUP(A67,'A Calculations'!$B$3:$D$81,3,FALSE)</f>
        <v>245566.0731145071</v>
      </c>
    </row>
    <row r="68" spans="1:3" x14ac:dyDescent="0.25">
      <c r="A68" s="35">
        <v>564</v>
      </c>
      <c r="B68" s="39">
        <f>VLOOKUP(A68,'A Calculations'!$B$3:$D$81,2,FALSE)</f>
        <v>13206.812702593304</v>
      </c>
      <c r="C68" s="29">
        <f>VLOOKUP(A68,'A Calculations'!$B$3:$D$81,3,FALSE)</f>
        <v>233203.66657295008</v>
      </c>
    </row>
    <row r="69" spans="1:3" x14ac:dyDescent="0.25">
      <c r="A69" s="35">
        <v>561</v>
      </c>
      <c r="B69" s="39">
        <f>VLOOKUP(A69,'A Calculations'!$B$3:$D$81,2,FALSE)</f>
        <v>17383.186713028397</v>
      </c>
      <c r="C69" s="29">
        <f>VLOOKUP(A69,'A Calculations'!$B$3:$D$81,3,FALSE)</f>
        <v>308259.68927733594</v>
      </c>
    </row>
    <row r="70" spans="1:3" x14ac:dyDescent="0.25">
      <c r="A70" s="35">
        <v>553</v>
      </c>
      <c r="B70" s="39">
        <f>VLOOKUP(A70,'A Calculations'!$B$3:$D$81,2,FALSE)</f>
        <v>11018.5101505741</v>
      </c>
      <c r="C70" s="29">
        <f>VLOOKUP(A70,'A Calculations'!$B$3:$D$81,3,FALSE)</f>
        <v>196212.95703503973</v>
      </c>
    </row>
    <row r="71" spans="1:3" x14ac:dyDescent="0.25">
      <c r="A71" s="35">
        <v>547</v>
      </c>
      <c r="B71" s="39">
        <f>VLOOKUP(A71,'A Calculations'!$B$3:$D$81,2,FALSE)</f>
        <v>11137.88771524358</v>
      </c>
      <c r="C71" s="29">
        <f>VLOOKUP(A71,'A Calculations'!$B$3:$D$81,3,FALSE)</f>
        <v>200180.62094206014</v>
      </c>
    </row>
    <row r="72" spans="1:3" x14ac:dyDescent="0.25">
      <c r="A72" s="35">
        <v>524</v>
      </c>
      <c r="B72" s="39">
        <f>VLOOKUP(A72,'A Calculations'!$B$3:$D$81,2,FALSE)</f>
        <v>22982.812284998086</v>
      </c>
      <c r="C72" s="29">
        <f>VLOOKUP(A72,'A Calculations'!$B$3:$D$81,3,FALSE)</f>
        <v>417692.56380600476</v>
      </c>
    </row>
    <row r="73" spans="1:3" x14ac:dyDescent="0.25">
      <c r="A73" s="35">
        <v>514</v>
      </c>
      <c r="B73" s="39">
        <f>VLOOKUP(A73,'A Calculations'!$B$3:$D$81,2,FALSE)</f>
        <v>16093.893216419881</v>
      </c>
      <c r="C73" s="29">
        <f>VLOOKUP(A73,'A Calculations'!$B$3:$D$81,3,FALSE)</f>
        <v>296028.49355229636</v>
      </c>
    </row>
    <row r="74" spans="1:3" x14ac:dyDescent="0.25">
      <c r="A74" s="35">
        <v>498</v>
      </c>
      <c r="B74" s="39">
        <f>VLOOKUP(A74,'A Calculations'!$B$3:$D$81,2,FALSE)</f>
        <v>16070.275449098541</v>
      </c>
      <c r="C74" s="29">
        <f>VLOOKUP(A74,'A Calculations'!$B$3:$D$81,3,FALSE)</f>
        <v>298069.12995807145</v>
      </c>
    </row>
    <row r="75" spans="1:3" x14ac:dyDescent="0.25">
      <c r="A75" s="35">
        <v>482</v>
      </c>
      <c r="B75" s="39">
        <f>VLOOKUP(A75,'A Calculations'!$B$3:$D$81,2,FALSE)</f>
        <v>18991.213615073651</v>
      </c>
      <c r="C75" s="29">
        <f>VLOOKUP(A75,'A Calculations'!$B$3:$D$81,3,FALSE)</f>
        <v>354343.36771521403</v>
      </c>
    </row>
    <row r="76" spans="1:3" x14ac:dyDescent="0.25">
      <c r="A76" s="35">
        <v>481</v>
      </c>
      <c r="B76" s="39">
        <f>VLOOKUP(A76,'A Calculations'!$B$3:$D$81,2,FALSE)</f>
        <v>24209.206194510738</v>
      </c>
      <c r="C76" s="29">
        <f>VLOOKUP(A76,'A Calculations'!$B$3:$D$81,3,FALSE)</f>
        <v>451853.13796743361</v>
      </c>
    </row>
    <row r="77" spans="1:3" x14ac:dyDescent="0.25">
      <c r="A77" s="35">
        <v>474</v>
      </c>
      <c r="B77" s="39">
        <f>VLOOKUP(A77,'A Calculations'!$B$3:$D$81,2,FALSE)</f>
        <v>16305.042449408582</v>
      </c>
      <c r="C77" s="29">
        <f>VLOOKUP(A77,'A Calculations'!$B$3:$D$81,3,FALSE)</f>
        <v>306125.5182284601</v>
      </c>
    </row>
    <row r="78" spans="1:3" x14ac:dyDescent="0.25">
      <c r="A78" s="35">
        <v>452</v>
      </c>
      <c r="B78" s="39">
        <f>VLOOKUP(A78,'A Calculations'!$B$3:$D$81,2,FALSE)</f>
        <v>22755.979267340495</v>
      </c>
      <c r="C78" s="29">
        <f>VLOOKUP(A78,'A Calculations'!$B$3:$D$81,3,FALSE)</f>
        <v>434906.1841946668</v>
      </c>
    </row>
    <row r="79" spans="1:3" x14ac:dyDescent="0.25">
      <c r="A79" s="35">
        <v>391</v>
      </c>
      <c r="B79" s="39">
        <f>VLOOKUP(A79,'A Calculations'!$B$3:$D$81,2,FALSE)</f>
        <v>19796.14877542121</v>
      </c>
      <c r="C79" s="29">
        <f>VLOOKUP(A79,'A Calculations'!$B$3:$D$81,3,FALSE)</f>
        <v>385581.51346045203</v>
      </c>
    </row>
    <row r="80" spans="1:3" x14ac:dyDescent="0.25">
      <c r="A80" s="35">
        <v>386</v>
      </c>
      <c r="B80" s="39">
        <f>VLOOKUP(A80,'A Calculations'!$B$3:$D$81,2,FALSE)</f>
        <v>23350.636006252957</v>
      </c>
      <c r="C80" s="29">
        <f>VLOOKUP(A80,'A Calculations'!$B$3:$D$81,3,FALSE)</f>
        <v>456301.31692709407</v>
      </c>
    </row>
    <row r="81" spans="1:3" x14ac:dyDescent="0.25">
      <c r="A81" s="35">
        <v>360</v>
      </c>
      <c r="B81" s="39">
        <f>VLOOKUP(A81,'A Calculations'!$B$3:$D$81,2,FALSE)</f>
        <v>25297.512659011001</v>
      </c>
      <c r="C81" s="29">
        <f>VLOOKUP(A81,'A Calculations'!$B$3:$D$81,3,FALSE)</f>
        <v>497508.8099834724</v>
      </c>
    </row>
    <row r="82" spans="1:3" ht="13.8" thickBot="1" x14ac:dyDescent="0.3">
      <c r="A82" s="31">
        <v>316</v>
      </c>
      <c r="B82" s="186">
        <f>VLOOKUP(A82,'A Calculations'!$B$3:$D$81,2,FALSE)</f>
        <v>23037.004002978381</v>
      </c>
      <c r="C82" s="30">
        <f>VLOOKUP(A82,'A Calculations'!$B$3:$D$81,3,FALSE)</f>
        <v>469392.40004515613</v>
      </c>
    </row>
    <row r="85" spans="1:3" x14ac:dyDescent="0.25">
      <c r="B85" s="21"/>
      <c r="C85" s="21"/>
    </row>
    <row r="86" spans="1:3" x14ac:dyDescent="0.25">
      <c r="B86" s="22"/>
      <c r="C86" s="22"/>
    </row>
  </sheetData>
  <mergeCells count="3">
    <mergeCell ref="B2:B3"/>
    <mergeCell ref="C2:C3"/>
    <mergeCell ref="A2:A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80"/>
  <sheetViews>
    <sheetView showGridLine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ColWidth="11.5546875" defaultRowHeight="13.2" x14ac:dyDescent="0.25"/>
  <cols>
    <col min="1" max="1" width="7.77734375" bestFit="1" customWidth="1"/>
    <col min="2" max="2" width="12.77734375" bestFit="1" customWidth="1"/>
    <col min="3" max="3" width="18.44140625" bestFit="1" customWidth="1"/>
    <col min="4" max="4" width="22.109375" bestFit="1" customWidth="1"/>
    <col min="5" max="5" width="1.77734375" customWidth="1"/>
    <col min="6" max="6" width="6.6640625" customWidth="1"/>
    <col min="7" max="227" width="8.77734375" customWidth="1"/>
  </cols>
  <sheetData>
    <row r="1" spans="1:55" ht="13.8" thickBot="1" x14ac:dyDescent="0.3">
      <c r="A1" s="47" t="s">
        <v>0</v>
      </c>
      <c r="B1" s="48" t="s">
        <v>4</v>
      </c>
      <c r="C1" s="48" t="s">
        <v>28</v>
      </c>
      <c r="D1" s="48" t="s">
        <v>2</v>
      </c>
      <c r="E1" s="165"/>
      <c r="F1" s="163" t="s">
        <v>16</v>
      </c>
      <c r="G1" s="163">
        <v>1977</v>
      </c>
      <c r="H1" s="163">
        <v>1978</v>
      </c>
      <c r="I1" s="163">
        <v>1979</v>
      </c>
      <c r="J1" s="163">
        <v>1980</v>
      </c>
      <c r="K1" s="163">
        <v>1981</v>
      </c>
      <c r="L1" s="163">
        <v>1982</v>
      </c>
      <c r="M1" s="163">
        <v>1983</v>
      </c>
      <c r="N1" s="163">
        <v>1984</v>
      </c>
      <c r="O1" s="163">
        <v>1985</v>
      </c>
      <c r="P1" s="163">
        <v>1986</v>
      </c>
      <c r="Q1" s="163">
        <v>1987</v>
      </c>
      <c r="R1" s="163">
        <v>1988</v>
      </c>
      <c r="S1" s="163">
        <v>1989</v>
      </c>
      <c r="T1" s="163">
        <v>1990</v>
      </c>
      <c r="U1" s="163">
        <v>1991</v>
      </c>
      <c r="V1" s="163">
        <v>1992</v>
      </c>
      <c r="W1" s="163">
        <v>1993</v>
      </c>
      <c r="X1" s="163">
        <v>1994</v>
      </c>
      <c r="Y1" s="163">
        <v>1995</v>
      </c>
      <c r="Z1" s="163">
        <v>1996</v>
      </c>
      <c r="AA1" s="163">
        <v>1997</v>
      </c>
      <c r="AB1" s="163">
        <v>1998</v>
      </c>
      <c r="AC1" s="163">
        <v>1999</v>
      </c>
      <c r="AD1" s="163">
        <v>2000</v>
      </c>
      <c r="AE1" s="163">
        <v>2001</v>
      </c>
      <c r="AF1" s="163">
        <v>2002</v>
      </c>
      <c r="AG1" s="163">
        <v>2003</v>
      </c>
      <c r="AH1" s="163">
        <v>2004</v>
      </c>
      <c r="AI1" s="163">
        <v>2005</v>
      </c>
      <c r="AJ1" s="163">
        <v>2006</v>
      </c>
      <c r="AK1" s="163">
        <v>2007</v>
      </c>
      <c r="AL1" s="163">
        <v>2008</v>
      </c>
      <c r="AM1" s="163">
        <v>2009</v>
      </c>
      <c r="AN1" s="163">
        <v>2010</v>
      </c>
      <c r="AO1" s="163">
        <v>2011</v>
      </c>
      <c r="AP1" s="163">
        <v>2012</v>
      </c>
      <c r="AQ1" s="163">
        <v>2013</v>
      </c>
      <c r="AR1" s="163">
        <v>2014</v>
      </c>
      <c r="AS1" s="163">
        <v>2015</v>
      </c>
      <c r="AT1" s="163">
        <v>2016</v>
      </c>
      <c r="AU1" s="163">
        <v>2017</v>
      </c>
      <c r="AV1" s="163">
        <v>2018</v>
      </c>
      <c r="AW1" s="163">
        <v>2019</v>
      </c>
      <c r="AX1" s="163">
        <v>2020</v>
      </c>
      <c r="AY1" s="163">
        <v>2021</v>
      </c>
      <c r="AZ1" s="163">
        <v>2022</v>
      </c>
      <c r="BA1" s="163">
        <v>2023</v>
      </c>
      <c r="BB1" s="163">
        <v>2024</v>
      </c>
      <c r="BC1" s="164">
        <v>2025</v>
      </c>
    </row>
    <row r="2" spans="1:55" x14ac:dyDescent="0.25">
      <c r="A2" s="132">
        <v>500</v>
      </c>
      <c r="B2" s="133">
        <v>761</v>
      </c>
      <c r="C2" s="134">
        <v>37974</v>
      </c>
      <c r="D2" s="161">
        <v>49400</v>
      </c>
      <c r="G2" s="5">
        <f>ROUNDDOWN(ROUND((12*IF((DATE(G$1,12,31))&lt;$C2,0,IF(YEAR($C2)=G$1,(DATE(((G$1)+1),1,1)-$C2)/365.25,IF(G$1=YEAR($D2),($D2-(DATE(((G$1)-1),12,31)))/365.25,IF(YEAR($D2)&lt;G$1,0,1))))),1),0)/12</f>
        <v>0</v>
      </c>
      <c r="H2" s="5">
        <f>ROUNDDOWN(ROUND((12*IF((DATE(H$1,12,31))&lt;$C2,0,IF(YEAR($C2)=H$1,(DATE(((H$1)+1),1,1)-$C2)/365.25,IF(H$1=YEAR($D2),($D2-(DATE(((H$1)-1),12,31)))/365.25,IF(YEAR($D2)&lt;H$1,0,1))))),1),0)/12</f>
        <v>0</v>
      </c>
      <c r="I2" s="5">
        <f>ROUNDDOWN(ROUND((12*IF((DATE(I$1,12,31))&lt;$C2,0,IF(YEAR($C2)=I$1,(DATE(((I$1)+1),1,1)-$C2)/365.25,IF(I$1=YEAR($D2),($D2-(DATE(((I$1)-1),12,31)))/365.25,IF(YEAR($D2)&lt;I$1,0,1))))),1),0)/12</f>
        <v>0</v>
      </c>
      <c r="J2" s="5">
        <f>ROUNDDOWN(ROUND((12*IF((DATE(J$1,12,31))&lt;$C2,0,IF(YEAR($C2)=J$1,(DATE(((J$1)+1),1,1)-$C2)/365.25,IF(J$1=YEAR($D2),($D2-(DATE(((J$1)-1),12,31)))/365.25,IF(YEAR($D2)&lt;J$1,0,1))))),1),0)/12</f>
        <v>0</v>
      </c>
      <c r="K2" s="5">
        <f>ROUNDDOWN(ROUND((12*IF((DATE(K$1,12,31))&lt;$C2,0,IF(YEAR($C2)=K$1,(DATE(((K$1)+1),1,1)-$C2)/365.25,IF(K$1=YEAR($D2),($D2-(DATE(((K$1)-1),12,31)))/365.25,IF(YEAR($D2)&lt;K$1,0,1))))),1),0)/12</f>
        <v>0</v>
      </c>
      <c r="L2" s="5">
        <f>ROUNDDOWN(ROUND((12*IF((DATE(L$1,12,31))&lt;$C2,0,IF(YEAR($C2)=L$1,(DATE(((L$1)+1),1,1)-$C2)/365.25,IF(L$1=YEAR($D2),($D2-(DATE(((L$1)-1),12,31)))/365.25,IF(YEAR($D2)&lt;L$1,0,1))))),1),0)/12</f>
        <v>0</v>
      </c>
      <c r="M2" s="5">
        <f>ROUNDDOWN(ROUND((12*IF((DATE(M$1,12,31))&lt;$C2,0,IF(YEAR($C2)=M$1,(DATE(((M$1)+1),1,1)-$C2)/365.25,IF(M$1=YEAR($D2),($D2-(DATE(((M$1)-1),12,31)))/365.25,IF(YEAR($D2)&lt;M$1,0,1))))),1),0)/12</f>
        <v>0</v>
      </c>
      <c r="N2" s="5">
        <f>ROUNDDOWN(ROUND((12*IF((DATE(N$1,12,31))&lt;$C2,0,IF(YEAR($C2)=N$1,(DATE(((N$1)+1),1,1)-$C2)/365.25,IF(N$1=YEAR($D2),($D2-(DATE(((N$1)-1),12,31)))/365.25,IF(YEAR($D2)&lt;N$1,0,1))))),1),0)/12</f>
        <v>0</v>
      </c>
      <c r="O2" s="5">
        <f>ROUNDDOWN(ROUND((12*IF((DATE(O$1,12,31))&lt;$C2,0,IF(YEAR($C2)=O$1,(DATE(((O$1)+1),1,1)-$C2)/365.25,IF(O$1=YEAR($D2),($D2-(DATE(((O$1)-1),12,31)))/365.25,IF(YEAR($D2)&lt;O$1,0,1))))),1),0)/12</f>
        <v>0</v>
      </c>
      <c r="P2" s="5">
        <f>ROUNDDOWN(ROUND((12*IF((DATE(P$1,12,31))&lt;$C2,0,IF(YEAR($C2)=P$1,(DATE(((P$1)+1),1,1)-$C2)/365.25,IF(P$1=YEAR($D2),($D2-(DATE(((P$1)-1),12,31)))/365.25,IF(YEAR($D2)&lt;P$1,0,1))))),1),0)/12</f>
        <v>0</v>
      </c>
      <c r="Q2" s="5">
        <f>ROUNDDOWN(ROUND((12*IF((DATE(Q$1,12,31))&lt;$C2,0,IF(YEAR($C2)=Q$1,(DATE(((Q$1)+1),1,1)-$C2)/365.25,IF(Q$1=YEAR($D2),($D2-(DATE(((Q$1)-1),12,31)))/365.25,IF(YEAR($D2)&lt;Q$1,0,1))))),1),0)/12</f>
        <v>0</v>
      </c>
      <c r="R2" s="5">
        <f>ROUNDDOWN(ROUND((12*IF((DATE(R$1,12,31))&lt;$C2,0,IF(YEAR($C2)=R$1,(DATE(((R$1)+1),1,1)-$C2)/365.25,IF(R$1=YEAR($D2),($D2-(DATE(((R$1)-1),12,31)))/365.25,IF(YEAR($D2)&lt;R$1,0,1))))),1),0)/12</f>
        <v>0</v>
      </c>
      <c r="S2" s="5">
        <f>ROUNDDOWN(ROUND((12*IF((DATE(S$1,12,31))&lt;$C2,0,IF(YEAR($C2)=S$1,(DATE(((S$1)+1),1,1)-$C2)/365.25,IF(S$1=YEAR($D2),($D2-(DATE(((S$1)-1),12,31)))/365.25,IF(YEAR($D2)&lt;S$1,0,1))))),1),0)/12</f>
        <v>0</v>
      </c>
      <c r="T2" s="5">
        <f>ROUNDDOWN(ROUND((12*IF((DATE(T$1,12,31))&lt;$C2,0,IF(YEAR($C2)=T$1,(DATE(((T$1)+1),1,1)-$C2)/365.25,IF(T$1=YEAR($D2),($D2-(DATE(((T$1)-1),12,31)))/365.25,IF(YEAR($D2)&lt;T$1,0,1))))),1),0)/12</f>
        <v>0</v>
      </c>
      <c r="U2" s="5">
        <f>ROUNDDOWN(ROUND((12*IF((DATE(U$1,12,31))&lt;$C2,0,IF(YEAR($C2)=U$1,(DATE(((U$1)+1),1,1)-$C2)/365.25,IF(U$1=YEAR($D2),($D2-(DATE(((U$1)-1),12,31)))/365.25,IF(YEAR($D2)&lt;U$1,0,1))))),1),0)/12</f>
        <v>0</v>
      </c>
      <c r="V2" s="5">
        <f>ROUNDDOWN(ROUND((12*IF((DATE(V$1,12,31))&lt;$C2,0,IF(YEAR($C2)=V$1,(DATE(((V$1)+1),1,1)-$C2)/365.25,IF(V$1=YEAR($D2),($D2-(DATE(((V$1)-1),12,31)))/365.25,IF(YEAR($D2)&lt;V$1,0,1))))),1),0)/12</f>
        <v>0</v>
      </c>
      <c r="W2" s="5">
        <f>ROUNDDOWN(ROUND((12*IF((DATE(W$1,12,31))&lt;$C2,0,IF(YEAR($C2)=W$1,(DATE(((W$1)+1),1,1)-$C2)/365.25,IF(W$1=YEAR($D2),($D2-(DATE(((W$1)-1),12,31)))/365.25,IF(YEAR($D2)&lt;W$1,0,1))))),1),0)/12</f>
        <v>0</v>
      </c>
      <c r="X2" s="5">
        <f>ROUNDDOWN(ROUND((12*IF((DATE(X$1,12,31))&lt;$C2,0,IF(YEAR($C2)=X$1,(DATE(((X$1)+1),1,1)-$C2)/365.25,IF(X$1=YEAR($D2),($D2-(DATE(((X$1)-1),12,31)))/365.25,IF(YEAR($D2)&lt;X$1,0,1))))),1),0)/12</f>
        <v>0</v>
      </c>
      <c r="Y2" s="5">
        <f>ROUNDDOWN(ROUND((12*IF((DATE(Y$1,12,31))&lt;$C2,0,IF(YEAR($C2)=Y$1,(DATE(((Y$1)+1),1,1)-$C2)/365.25,IF(Y$1=YEAR($D2),($D2-(DATE(((Y$1)-1),12,31)))/365.25,IF(YEAR($D2)&lt;Y$1,0,1))))),1),0)/12</f>
        <v>0</v>
      </c>
      <c r="Z2" s="5">
        <f>ROUNDDOWN(ROUND((12*IF((DATE(Z$1,12,31))&lt;$C2,0,IF(YEAR($C2)=Z$1,(DATE(((Z$1)+1),1,1)-$C2)/365.25,IF(Z$1=YEAR($D2),($D2-(DATE(((Z$1)-1),12,31)))/365.25,IF(YEAR($D2)&lt;Z$1,0,1))))),1),0)/12</f>
        <v>0</v>
      </c>
      <c r="AA2" s="5">
        <f>ROUNDDOWN(ROUND((12*IF((DATE(AA$1,12,31))&lt;$C2,0,IF(YEAR($C2)=AA$1,(DATE(((AA$1)+1),1,1)-$C2)/365.25,IF(AA$1=YEAR($D2),($D2-(DATE(((AA$1)-1),12,31)))/365.25,IF(YEAR($D2)&lt;AA$1,0,1))))),1),0)/12</f>
        <v>0</v>
      </c>
      <c r="AB2" s="5">
        <f>ROUNDDOWN(ROUND((12*IF((DATE(AB$1,12,31))&lt;$C2,0,IF(YEAR($C2)=AB$1,(DATE(((AB$1)+1),1,1)-$C2)/365.25,IF(AB$1=YEAR($D2),($D2-(DATE(((AB$1)-1),12,31)))/365.25,IF(YEAR($D2)&lt;AB$1,0,1))))),1),0)/12</f>
        <v>0</v>
      </c>
      <c r="AC2" s="5">
        <f>ROUNDDOWN(ROUND((12*IF((DATE(AC$1,12,31))&lt;$C2,0,IF(YEAR($C2)=AC$1,(DATE(((AC$1)+1),1,1)-$C2)/365.25,IF(AC$1=YEAR($D2),($D2-(DATE(((AC$1)-1),12,31)))/365.25,IF(YEAR($D2)&lt;AC$1,0,1))))),1),0)/12</f>
        <v>0</v>
      </c>
      <c r="AD2" s="5">
        <f>ROUNDDOWN(ROUND((12*IF((DATE(AD$1,12,31))&lt;$C2,0,IF(YEAR($C2)=AD$1,(DATE(((AD$1)+1),1,1)-$C2)/365.25,IF(AD$1=YEAR($D2),($D2-(DATE(((AD$1)-1),12,31)))/365.25,IF(YEAR($D2)&lt;AD$1,0,1))))),1),0)/12</f>
        <v>0</v>
      </c>
      <c r="AE2" s="5">
        <f>ROUNDDOWN(ROUND((12*IF((DATE(AE$1,12,31))&lt;$C2,0,IF(YEAR($C2)=AE$1,(DATE(((AE$1)+1),1,1)-$C2)/365.25,IF(AE$1=YEAR($D2),($D2-(DATE(((AE$1)-1),12,31)))/365.25,IF(YEAR($D2)&lt;AE$1,0,1))))),1),0)/12</f>
        <v>0</v>
      </c>
      <c r="AF2" s="5">
        <f>ROUNDDOWN(ROUND((12*IF((DATE(AF$1,12,31))&lt;$C2,0,IF(YEAR($C2)=AF$1,(DATE(((AF$1)+1),1,1)-$C2)/365.25,IF(AF$1=YEAR($D2),($D2-(DATE(((AF$1)-1),12,31)))/365.25,IF(YEAR($D2)&lt;AF$1,0,1))))),1),0)/12</f>
        <v>0</v>
      </c>
      <c r="AG2" s="5">
        <f>ROUNDDOWN(ROUND((12*IF((DATE(AG$1,12,31))&lt;$C2,0,IF(YEAR($C2)=AG$1,(DATE(((AG$1)+1),1,1)-$C2)/365.25,IF(AG$1=YEAR($D2),($D2-(DATE(((AG$1)-1),12,31)))/365.25,IF(YEAR($D2)&lt;AG$1,0,1))))),1),0)/12</f>
        <v>0</v>
      </c>
      <c r="AH2" s="5">
        <f>ROUNDDOWN(ROUND((12*IF((DATE(AH$1,12,31))&lt;$C2,0,IF(YEAR($C2)=AH$1,(DATE(((AH$1)+1),1,1)-$C2)/365.25,IF(AH$1=YEAR($D2),($D2-(DATE(((AH$1)-1),12,31)))/365.25,IF(YEAR($D2)&lt;AH$1,0,1))))),1),0)/12</f>
        <v>1</v>
      </c>
      <c r="AI2" s="5">
        <f>ROUNDDOWN(ROUND((12*IF((DATE(AI$1,12,31))&lt;$C2,0,IF(YEAR($C2)=AI$1,(DATE(((AI$1)+1),1,1)-$C2)/365.25,IF(AI$1=YEAR($D2),($D2-(DATE(((AI$1)-1),12,31)))/365.25,IF(YEAR($D2)&lt;AI$1,0,1))))),1),0)/12</f>
        <v>1</v>
      </c>
      <c r="AJ2" s="5">
        <f>ROUNDDOWN(ROUND((12*IF((DATE(AJ$1,12,31))&lt;$C2,0,IF(YEAR($C2)=AJ$1,(DATE(((AJ$1)+1),1,1)-$C2)/365.25,IF(AJ$1=YEAR($D2),($D2-(DATE(((AJ$1)-1),12,31)))/365.25,IF(YEAR($D2)&lt;AJ$1,0,1))))),1),0)/12</f>
        <v>1</v>
      </c>
      <c r="AK2" s="5">
        <f>ROUNDDOWN(ROUND((12*IF((DATE(AK$1,12,31))&lt;$C2,0,IF(YEAR($C2)=AK$1,(DATE(((AK$1)+1),1,1)-$C2)/365.25,IF(AK$1=YEAR($D2),($D2-(DATE(((AK$1)-1),12,31)))/365.25,IF(YEAR($D2)&lt;AK$1,0,1))))),1),0)/12</f>
        <v>1</v>
      </c>
      <c r="AL2" s="5">
        <f>ROUNDDOWN(ROUND((12*IF((DATE(AL$1,12,31))&lt;$C2,0,IF(YEAR($C2)=AL$1,(DATE(((AL$1)+1),1,1)-$C2)/365.25,IF(AL$1=YEAR($D2),($D2-(DATE(((AL$1)-1),12,31)))/365.25,IF(YEAR($D2)&lt;AL$1,0,1))))),1),0)/12</f>
        <v>1</v>
      </c>
      <c r="AM2" s="5">
        <f>ROUNDDOWN(ROUND((12*IF((DATE(AM$1,12,31))&lt;$C2,0,IF(YEAR($C2)=AM$1,(DATE(((AM$1)+1),1,1)-$C2)/365.25,IF(AM$1=YEAR($D2),($D2-(DATE(((AM$1)-1),12,31)))/365.25,IF(YEAR($D2)&lt;AM$1,0,1))))),1),0)/12</f>
        <v>1</v>
      </c>
      <c r="AN2" s="5">
        <f>ROUNDDOWN(ROUND((12*IF((DATE(AN$1,12,31))&lt;$C2,0,IF(YEAR($C2)=AN$1,(DATE(((AN$1)+1),1,1)-$C2)/365.25,IF(AN$1=YEAR($D2),($D2-(DATE(((AN$1)-1),12,31)))/365.25,IF(YEAR($D2)&lt;AN$1,0,1))))),1),0)/12</f>
        <v>1</v>
      </c>
      <c r="AO2" s="5">
        <f>ROUNDDOWN(ROUND((12*IF((DATE(AO$1,12,31))&lt;$C2,0,IF(YEAR($C2)=AO$1,(DATE(((AO$1)+1),1,1)-$C2)/365.25,IF(AO$1=YEAR($D2),($D2-(DATE(((AO$1)-1),12,31)))/365.25,IF(YEAR($D2)&lt;AO$1,0,1))))),1),0)/12</f>
        <v>1</v>
      </c>
      <c r="AP2" s="5">
        <f>ROUNDDOWN(ROUND((12*IF((DATE(AP$1,12,31))&lt;$C2,0,IF(YEAR($C2)=AP$1,(DATE(((AP$1)+1),1,1)-$C2)/365.25,IF(AP$1=YEAR($D2),($D2-(DATE(((AP$1)-1),12,31)))/365.25,IF(YEAR($D2)&lt;AP$1,0,1))))),1),0)/12</f>
        <v>1</v>
      </c>
      <c r="AQ2" s="5">
        <f>ROUNDDOWN(ROUND((12*IF((DATE(AQ$1,12,31))&lt;$C2,0,IF(YEAR($C2)=AQ$1,(DATE(((AQ$1)+1),1,1)-$C2)/365.25,IF(AQ$1=YEAR($D2),($D2-(DATE(((AQ$1)-1),12,31)))/365.25,IF(YEAR($D2)&lt;AQ$1,0,1))))),1),0)/12</f>
        <v>1</v>
      </c>
      <c r="AR2" s="5">
        <f>ROUNDDOWN(ROUND((12*IF((DATE(AR$1,12,31))&lt;$C2,0,IF(YEAR($C2)=AR$1,(DATE(((AR$1)+1),1,1)-$C2)/365.25,IF(AR$1=YEAR($D2),($D2-(DATE(((AR$1)-1),12,31)))/365.25,IF(YEAR($D2)&lt;AR$1,0,1))))),1),0)/12</f>
        <v>1</v>
      </c>
      <c r="AS2" s="5">
        <f>ROUNDDOWN(ROUND((12*IF((DATE(AS$1,12,31))&lt;$C2,0,IF(YEAR($C2)=AS$1,(DATE(((AS$1)+1),1,1)-$C2)/365.25,IF(AS$1=YEAR($D2),($D2-(DATE(((AS$1)-1),12,31)))/365.25,IF(YEAR($D2)&lt;AS$1,0,1))))),1),0)/12</f>
        <v>1</v>
      </c>
      <c r="AT2" s="5">
        <f>ROUNDDOWN(ROUND((12*IF((DATE(AT$1,12,31))&lt;$C2,0,IF(YEAR($C2)=AT$1,(DATE(((AT$1)+1),1,1)-$C2)/365.25,IF(AT$1=YEAR($D2),($D2-(DATE(((AT$1)-1),12,31)))/365.25,IF(YEAR($D2)&lt;AT$1,0,1))))),1),0)/12</f>
        <v>1</v>
      </c>
      <c r="AU2" s="5">
        <f>ROUNDDOWN(ROUND((12*IF((DATE(AU$1,12,31))&lt;$C2,0,IF(YEAR($C2)=AU$1,(DATE(((AU$1)+1),1,1)-$C2)/365.25,IF(AU$1=YEAR($D2),($D2-(DATE(((AU$1)-1),12,31)))/365.25,IF(YEAR($D2)&lt;AU$1,0,1))))),1),0)/12</f>
        <v>1</v>
      </c>
      <c r="AV2" s="5">
        <f>ROUNDDOWN(ROUND((12*IF((DATE(AV$1,12,31))&lt;$C2,0,IF(YEAR($C2)=AV$1,(DATE(((AV$1)+1),1,1)-$C2)/365.25,IF(AV$1=YEAR($D2),($D2-(DATE(((AV$1)-1),12,31)))/365.25,IF(YEAR($D2)&lt;AV$1,0,1))))),1),0)/12</f>
        <v>1</v>
      </c>
      <c r="AW2" s="5">
        <f>ROUNDDOWN(ROUND((12*IF((DATE(AW$1,12,31))&lt;$C2,0,IF(YEAR($C2)=AW$1,(DATE(((AW$1)+1),1,1)-$C2)/365.25,IF(AW$1=YEAR($D2),($D2-(DATE(((AW$1)-1),12,31)))/365.25,IF(YEAR($D2)&lt;AW$1,0,1))))),1),0)/12</f>
        <v>1</v>
      </c>
      <c r="AX2" s="5">
        <f>ROUNDDOWN(ROUND((12*IF((DATE(AX$1,12,31))&lt;$C2,0,IF(YEAR($C2)=AX$1,(DATE(((AX$1)+1),1,1)-$C2)/365.25,IF(AX$1=YEAR($D2),($D2-(DATE(((AX$1)-1),12,31)))/365.25,IF(YEAR($D2)&lt;AX$1,0,1))))),1),0)/12</f>
        <v>1</v>
      </c>
      <c r="AY2" s="5">
        <f>ROUNDDOWN(ROUND((12*IF((DATE(AY$1,12,31))&lt;$C2,0,IF(YEAR($C2)=AY$1,(DATE(((AY$1)+1),1,1)-$C2)/365.25,IF(AY$1=YEAR($D2),($D2-(DATE(((AY$1)-1),12,31)))/365.25,IF(YEAR($D2)&lt;AY$1,0,1))))),1),0)/12</f>
        <v>1</v>
      </c>
      <c r="AZ2" s="5">
        <f>ROUNDDOWN(ROUND((12*IF((DATE(AZ$1,12,31))&lt;$C2,0,IF(YEAR($C2)=AZ$1,(DATE(((AZ$1)+1),1,1)-$C2)/365.25,IF(AZ$1=YEAR($D2),($D2-(DATE(((AZ$1)-1),12,31)))/365.25,IF(YEAR($D2)&lt;AZ$1,0,1))))),1),0)/12</f>
        <v>1</v>
      </c>
      <c r="BA2" s="5">
        <f>ROUNDDOWN(ROUND((12*IF((DATE(BA$1,12,31))&lt;$C2,0,IF(YEAR($C2)=BA$1,(DATE(((BA$1)+1),1,1)-$C2)/365.25,IF(BA$1=YEAR($D2),($D2-(DATE(((BA$1)-1),12,31)))/365.25,IF(YEAR($D2)&lt;BA$1,0,1))))),1),0)/12</f>
        <v>1</v>
      </c>
      <c r="BB2" s="5">
        <f>ROUNDDOWN(ROUND((12*IF((DATE(BB$1,12,31))&lt;$C2,0,IF(YEAR($C2)=BB$1,(DATE(((BB$1)+1),1,1)-$C2)/365.25,IF(BB$1=YEAR($D2),($D2-(DATE(((BB$1)-1),12,31)))/365.25,IF(YEAR($D2)&lt;BB$1,0,1))))),1),0)/12</f>
        <v>1</v>
      </c>
      <c r="BC2" s="5">
        <f>ROUNDDOWN(ROUND((12*IF((DATE(BC$1,12,31))&lt;$C2,0,IF(YEAR($C2)=BC$1,(DATE(((BC$1)+1),1,1)-$C2)/365.25,IF(BC$1=YEAR($D2),($D2-(DATE(((BC$1)-1),12,31)))/365.25,IF(YEAR($D2)&lt;BC$1,0,1))))),1),0)/12</f>
        <v>1</v>
      </c>
    </row>
    <row r="3" spans="1:55" x14ac:dyDescent="0.25">
      <c r="A3" s="132">
        <v>500</v>
      </c>
      <c r="B3" s="133">
        <v>735</v>
      </c>
      <c r="C3" s="134">
        <v>37004</v>
      </c>
      <c r="D3" s="161">
        <v>50587</v>
      </c>
      <c r="G3" s="5">
        <f t="shared" ref="G3:G33" si="0">ROUNDDOWN(ROUND((12*IF((DATE(G$1,12,31))&lt;$C3,0,IF(YEAR($C3)=G$1,(DATE(((G$1)+1),1,1)-$C3)/365.25,IF(G$1=YEAR($D3),($D3-(DATE(((G$1)-1),12,31)))/365.25,IF(YEAR($D3)&lt;G$1,0,1))))),1),0)/12</f>
        <v>0</v>
      </c>
      <c r="H3" s="5">
        <f>ROUNDDOWN(ROUND((12*IF((DATE(H$1,12,31))&lt;$C3,0,IF(YEAR($C3)=H$1,(DATE(((H$1)+1),1,1)-$C3)/365.25,IF(H$1=YEAR($D3),($D3-(DATE(((H$1)-1),12,31)))/365.25,IF(YEAR($D3)&lt;H$1,0,1))))),1),0)/12</f>
        <v>0</v>
      </c>
      <c r="I3" s="5">
        <f>ROUNDDOWN(ROUND((12*IF((DATE(I$1,12,31))&lt;$C3,0,IF(YEAR($C3)=I$1,(DATE(((I$1)+1),1,1)-$C3)/365.25,IF(I$1=YEAR($D3),($D3-(DATE(((I$1)-1),12,31)))/365.25,IF(YEAR($D3)&lt;I$1,0,1))))),1),0)/12</f>
        <v>0</v>
      </c>
      <c r="J3" s="5">
        <f>ROUNDDOWN(ROUND((12*IF((DATE(J$1,12,31))&lt;$C3,0,IF(YEAR($C3)=J$1,(DATE(((J$1)+1),1,1)-$C3)/365.25,IF(J$1=YEAR($D3),($D3-(DATE(((J$1)-1),12,31)))/365.25,IF(YEAR($D3)&lt;J$1,0,1))))),1),0)/12</f>
        <v>0</v>
      </c>
      <c r="K3" s="5">
        <f>ROUNDDOWN(ROUND((12*IF((DATE(K$1,12,31))&lt;$C3,0,IF(YEAR($C3)=K$1,(DATE(((K$1)+1),1,1)-$C3)/365.25,IF(K$1=YEAR($D3),($D3-(DATE(((K$1)-1),12,31)))/365.25,IF(YEAR($D3)&lt;K$1,0,1))))),1),0)/12</f>
        <v>0</v>
      </c>
      <c r="L3" s="5">
        <f>ROUNDDOWN(ROUND((12*IF((DATE(L$1,12,31))&lt;$C3,0,IF(YEAR($C3)=L$1,(DATE(((L$1)+1),1,1)-$C3)/365.25,IF(L$1=YEAR($D3),($D3-(DATE(((L$1)-1),12,31)))/365.25,IF(YEAR($D3)&lt;L$1,0,1))))),1),0)/12</f>
        <v>0</v>
      </c>
      <c r="M3" s="5">
        <f>ROUNDDOWN(ROUND((12*IF((DATE(M$1,12,31))&lt;$C3,0,IF(YEAR($C3)=M$1,(DATE(((M$1)+1),1,1)-$C3)/365.25,IF(M$1=YEAR($D3),($D3-(DATE(((M$1)-1),12,31)))/365.25,IF(YEAR($D3)&lt;M$1,0,1))))),1),0)/12</f>
        <v>0</v>
      </c>
      <c r="N3" s="5">
        <f>ROUNDDOWN(ROUND((12*IF((DATE(N$1,12,31))&lt;$C3,0,IF(YEAR($C3)=N$1,(DATE(((N$1)+1),1,1)-$C3)/365.25,IF(N$1=YEAR($D3),($D3-(DATE(((N$1)-1),12,31)))/365.25,IF(YEAR($D3)&lt;N$1,0,1))))),1),0)/12</f>
        <v>0</v>
      </c>
      <c r="O3" s="5">
        <f>ROUNDDOWN(ROUND((12*IF((DATE(O$1,12,31))&lt;$C3,0,IF(YEAR($C3)=O$1,(DATE(((O$1)+1),1,1)-$C3)/365.25,IF(O$1=YEAR($D3),($D3-(DATE(((O$1)-1),12,31)))/365.25,IF(YEAR($D3)&lt;O$1,0,1))))),1),0)/12</f>
        <v>0</v>
      </c>
      <c r="P3" s="5">
        <f>ROUNDDOWN(ROUND((12*IF((DATE(P$1,12,31))&lt;$C3,0,IF(YEAR($C3)=P$1,(DATE(((P$1)+1),1,1)-$C3)/365.25,IF(P$1=YEAR($D3),($D3-(DATE(((P$1)-1),12,31)))/365.25,IF(YEAR($D3)&lt;P$1,0,1))))),1),0)/12</f>
        <v>0</v>
      </c>
      <c r="Q3" s="5">
        <f>ROUNDDOWN(ROUND((12*IF((DATE(Q$1,12,31))&lt;$C3,0,IF(YEAR($C3)=Q$1,(DATE(((Q$1)+1),1,1)-$C3)/365.25,IF(Q$1=YEAR($D3),($D3-(DATE(((Q$1)-1),12,31)))/365.25,IF(YEAR($D3)&lt;Q$1,0,1))))),1),0)/12</f>
        <v>0</v>
      </c>
      <c r="R3" s="5">
        <f>ROUNDDOWN(ROUND((12*IF((DATE(R$1,12,31))&lt;$C3,0,IF(YEAR($C3)=R$1,(DATE(((R$1)+1),1,1)-$C3)/365.25,IF(R$1=YEAR($D3),($D3-(DATE(((R$1)-1),12,31)))/365.25,IF(YEAR($D3)&lt;R$1,0,1))))),1),0)/12</f>
        <v>0</v>
      </c>
      <c r="S3" s="5">
        <f>ROUNDDOWN(ROUND((12*IF((DATE(S$1,12,31))&lt;$C3,0,IF(YEAR($C3)=S$1,(DATE(((S$1)+1),1,1)-$C3)/365.25,IF(S$1=YEAR($D3),($D3-(DATE(((S$1)-1),12,31)))/365.25,IF(YEAR($D3)&lt;S$1,0,1))))),1),0)/12</f>
        <v>0</v>
      </c>
      <c r="T3" s="5">
        <f>ROUNDDOWN(ROUND((12*IF((DATE(T$1,12,31))&lt;$C3,0,IF(YEAR($C3)=T$1,(DATE(((T$1)+1),1,1)-$C3)/365.25,IF(T$1=YEAR($D3),($D3-(DATE(((T$1)-1),12,31)))/365.25,IF(YEAR($D3)&lt;T$1,0,1))))),1),0)/12</f>
        <v>0</v>
      </c>
      <c r="U3" s="5">
        <f>ROUNDDOWN(ROUND((12*IF((DATE(U$1,12,31))&lt;$C3,0,IF(YEAR($C3)=U$1,(DATE(((U$1)+1),1,1)-$C3)/365.25,IF(U$1=YEAR($D3),($D3-(DATE(((U$1)-1),12,31)))/365.25,IF(YEAR($D3)&lt;U$1,0,1))))),1),0)/12</f>
        <v>0</v>
      </c>
      <c r="V3" s="5">
        <f>ROUNDDOWN(ROUND((12*IF((DATE(V$1,12,31))&lt;$C3,0,IF(YEAR($C3)=V$1,(DATE(((V$1)+1),1,1)-$C3)/365.25,IF(V$1=YEAR($D3),($D3-(DATE(((V$1)-1),12,31)))/365.25,IF(YEAR($D3)&lt;V$1,0,1))))),1),0)/12</f>
        <v>0</v>
      </c>
      <c r="W3" s="5">
        <f>ROUNDDOWN(ROUND((12*IF((DATE(W$1,12,31))&lt;$C3,0,IF(YEAR($C3)=W$1,(DATE(((W$1)+1),1,1)-$C3)/365.25,IF(W$1=YEAR($D3),($D3-(DATE(((W$1)-1),12,31)))/365.25,IF(YEAR($D3)&lt;W$1,0,1))))),1),0)/12</f>
        <v>0</v>
      </c>
      <c r="X3" s="5">
        <f>ROUNDDOWN(ROUND((12*IF((DATE(X$1,12,31))&lt;$C3,0,IF(YEAR($C3)=X$1,(DATE(((X$1)+1),1,1)-$C3)/365.25,IF(X$1=YEAR($D3),($D3-(DATE(((X$1)-1),12,31)))/365.25,IF(YEAR($D3)&lt;X$1,0,1))))),1),0)/12</f>
        <v>0</v>
      </c>
      <c r="Y3" s="5">
        <f>ROUNDDOWN(ROUND((12*IF((DATE(Y$1,12,31))&lt;$C3,0,IF(YEAR($C3)=Y$1,(DATE(((Y$1)+1),1,1)-$C3)/365.25,IF(Y$1=YEAR($D3),($D3-(DATE(((Y$1)-1),12,31)))/365.25,IF(YEAR($D3)&lt;Y$1,0,1))))),1),0)/12</f>
        <v>0</v>
      </c>
      <c r="Z3" s="5">
        <f>ROUNDDOWN(ROUND((12*IF((DATE(Z$1,12,31))&lt;$C3,0,IF(YEAR($C3)=Z$1,(DATE(((Z$1)+1),1,1)-$C3)/365.25,IF(Z$1=YEAR($D3),($D3-(DATE(((Z$1)-1),12,31)))/365.25,IF(YEAR($D3)&lt;Z$1,0,1))))),1),0)/12</f>
        <v>0</v>
      </c>
      <c r="AA3" s="5">
        <f>ROUNDDOWN(ROUND((12*IF((DATE(AA$1,12,31))&lt;$C3,0,IF(YEAR($C3)=AA$1,(DATE(((AA$1)+1),1,1)-$C3)/365.25,IF(AA$1=YEAR($D3),($D3-(DATE(((AA$1)-1),12,31)))/365.25,IF(YEAR($D3)&lt;AA$1,0,1))))),1),0)/12</f>
        <v>0</v>
      </c>
      <c r="AB3" s="5">
        <f>ROUNDDOWN(ROUND((12*IF((DATE(AB$1,12,31))&lt;$C3,0,IF(YEAR($C3)=AB$1,(DATE(((AB$1)+1),1,1)-$C3)/365.25,IF(AB$1=YEAR($D3),($D3-(DATE(((AB$1)-1),12,31)))/365.25,IF(YEAR($D3)&lt;AB$1,0,1))))),1),0)/12</f>
        <v>0</v>
      </c>
      <c r="AC3" s="5">
        <f>ROUNDDOWN(ROUND((12*IF((DATE(AC$1,12,31))&lt;$C3,0,IF(YEAR($C3)=AC$1,(DATE(((AC$1)+1),1,1)-$C3)/365.25,IF(AC$1=YEAR($D3),($D3-(DATE(((AC$1)-1),12,31)))/365.25,IF(YEAR($D3)&lt;AC$1,0,1))))),1),0)/12</f>
        <v>0</v>
      </c>
      <c r="AD3" s="5">
        <f>ROUNDDOWN(ROUND((12*IF((DATE(AD$1,12,31))&lt;$C3,0,IF(YEAR($C3)=AD$1,(DATE(((AD$1)+1),1,1)-$C3)/365.25,IF(AD$1=YEAR($D3),($D3-(DATE(((AD$1)-1),12,31)))/365.25,IF(YEAR($D3)&lt;AD$1,0,1))))),1),0)/12</f>
        <v>0</v>
      </c>
      <c r="AE3" s="5">
        <f>ROUNDDOWN(ROUND((12*IF((DATE(AE$1,12,31))&lt;$C3,0,IF(YEAR($C3)=AE$1,(DATE(((AE$1)+1),1,1)-$C3)/365.25,IF(AE$1=YEAR($D3),($D3-(DATE(((AE$1)-1),12,31)))/365.25,IF(YEAR($D3)&lt;AE$1,0,1))))),1),0)/12</f>
        <v>0.66666666666666663</v>
      </c>
      <c r="AF3" s="5">
        <f>ROUNDDOWN(ROUND((12*IF((DATE(AF$1,12,31))&lt;$C3,0,IF(YEAR($C3)=AF$1,(DATE(((AF$1)+1),1,1)-$C3)/365.25,IF(AF$1=YEAR($D3),($D3-(DATE(((AF$1)-1),12,31)))/365.25,IF(YEAR($D3)&lt;AF$1,0,1))))),1),0)/12</f>
        <v>1</v>
      </c>
      <c r="AG3" s="5">
        <f>ROUNDDOWN(ROUND((12*IF((DATE(AG$1,12,31))&lt;$C3,0,IF(YEAR($C3)=AG$1,(DATE(((AG$1)+1),1,1)-$C3)/365.25,IF(AG$1=YEAR($D3),($D3-(DATE(((AG$1)-1),12,31)))/365.25,IF(YEAR($D3)&lt;AG$1,0,1))))),1),0)/12</f>
        <v>1</v>
      </c>
      <c r="AH3" s="5">
        <f>ROUNDDOWN(ROUND((12*IF((DATE(AH$1,12,31))&lt;$C3,0,IF(YEAR($C3)=AH$1,(DATE(((AH$1)+1),1,1)-$C3)/365.25,IF(AH$1=YEAR($D3),($D3-(DATE(((AH$1)-1),12,31)))/365.25,IF(YEAR($D3)&lt;AH$1,0,1))))),1),0)/12</f>
        <v>1</v>
      </c>
      <c r="AI3" s="5">
        <f>ROUNDDOWN(ROUND((12*IF((DATE(AI$1,12,31))&lt;$C3,0,IF(YEAR($C3)=AI$1,(DATE(((AI$1)+1),1,1)-$C3)/365.25,IF(AI$1=YEAR($D3),($D3-(DATE(((AI$1)-1),12,31)))/365.25,IF(YEAR($D3)&lt;AI$1,0,1))))),1),0)/12</f>
        <v>1</v>
      </c>
      <c r="AJ3" s="5">
        <f>ROUNDDOWN(ROUND((12*IF((DATE(AJ$1,12,31))&lt;$C3,0,IF(YEAR($C3)=AJ$1,(DATE(((AJ$1)+1),1,1)-$C3)/365.25,IF(AJ$1=YEAR($D3),($D3-(DATE(((AJ$1)-1),12,31)))/365.25,IF(YEAR($D3)&lt;AJ$1,0,1))))),1),0)/12</f>
        <v>1</v>
      </c>
      <c r="AK3" s="5">
        <f>ROUNDDOWN(ROUND((12*IF((DATE(AK$1,12,31))&lt;$C3,0,IF(YEAR($C3)=AK$1,(DATE(((AK$1)+1),1,1)-$C3)/365.25,IF(AK$1=YEAR($D3),($D3-(DATE(((AK$1)-1),12,31)))/365.25,IF(YEAR($D3)&lt;AK$1,0,1))))),1),0)/12</f>
        <v>1</v>
      </c>
      <c r="AL3" s="5">
        <f>ROUNDDOWN(ROUND((12*IF((DATE(AL$1,12,31))&lt;$C3,0,IF(YEAR($C3)=AL$1,(DATE(((AL$1)+1),1,1)-$C3)/365.25,IF(AL$1=YEAR($D3),($D3-(DATE(((AL$1)-1),12,31)))/365.25,IF(YEAR($D3)&lt;AL$1,0,1))))),1),0)/12</f>
        <v>1</v>
      </c>
      <c r="AM3" s="5">
        <f>ROUNDDOWN(ROUND((12*IF((DATE(AM$1,12,31))&lt;$C3,0,IF(YEAR($C3)=AM$1,(DATE(((AM$1)+1),1,1)-$C3)/365.25,IF(AM$1=YEAR($D3),($D3-(DATE(((AM$1)-1),12,31)))/365.25,IF(YEAR($D3)&lt;AM$1,0,1))))),1),0)/12</f>
        <v>1</v>
      </c>
      <c r="AN3" s="5">
        <f>ROUNDDOWN(ROUND((12*IF((DATE(AN$1,12,31))&lt;$C3,0,IF(YEAR($C3)=AN$1,(DATE(((AN$1)+1),1,1)-$C3)/365.25,IF(AN$1=YEAR($D3),($D3-(DATE(((AN$1)-1),12,31)))/365.25,IF(YEAR($D3)&lt;AN$1,0,1))))),1),0)/12</f>
        <v>1</v>
      </c>
      <c r="AO3" s="5">
        <f>ROUNDDOWN(ROUND((12*IF((DATE(AO$1,12,31))&lt;$C3,0,IF(YEAR($C3)=AO$1,(DATE(((AO$1)+1),1,1)-$C3)/365.25,IF(AO$1=YEAR($D3),($D3-(DATE(((AO$1)-1),12,31)))/365.25,IF(YEAR($D3)&lt;AO$1,0,1))))),1),0)/12</f>
        <v>1</v>
      </c>
      <c r="AP3" s="5">
        <f>ROUNDDOWN(ROUND((12*IF((DATE(AP$1,12,31))&lt;$C3,0,IF(YEAR($C3)=AP$1,(DATE(((AP$1)+1),1,1)-$C3)/365.25,IF(AP$1=YEAR($D3),($D3-(DATE(((AP$1)-1),12,31)))/365.25,IF(YEAR($D3)&lt;AP$1,0,1))))),1),0)/12</f>
        <v>1</v>
      </c>
      <c r="AQ3" s="5">
        <f>ROUNDDOWN(ROUND((12*IF((DATE(AQ$1,12,31))&lt;$C3,0,IF(YEAR($C3)=AQ$1,(DATE(((AQ$1)+1),1,1)-$C3)/365.25,IF(AQ$1=YEAR($D3),($D3-(DATE(((AQ$1)-1),12,31)))/365.25,IF(YEAR($D3)&lt;AQ$1,0,1))))),1),0)/12</f>
        <v>1</v>
      </c>
      <c r="AR3" s="5">
        <f>ROUNDDOWN(ROUND((12*IF((DATE(AR$1,12,31))&lt;$C3,0,IF(YEAR($C3)=AR$1,(DATE(((AR$1)+1),1,1)-$C3)/365.25,IF(AR$1=YEAR($D3),($D3-(DATE(((AR$1)-1),12,31)))/365.25,IF(YEAR($D3)&lt;AR$1,0,1))))),1),0)/12</f>
        <v>1</v>
      </c>
      <c r="AS3" s="5">
        <f>ROUNDDOWN(ROUND((12*IF((DATE(AS$1,12,31))&lt;$C3,0,IF(YEAR($C3)=AS$1,(DATE(((AS$1)+1),1,1)-$C3)/365.25,IF(AS$1=YEAR($D3),($D3-(DATE(((AS$1)-1),12,31)))/365.25,IF(YEAR($D3)&lt;AS$1,0,1))))),1),0)/12</f>
        <v>1</v>
      </c>
      <c r="AT3" s="5">
        <f>ROUNDDOWN(ROUND((12*IF((DATE(AT$1,12,31))&lt;$C3,0,IF(YEAR($C3)=AT$1,(DATE(((AT$1)+1),1,1)-$C3)/365.25,IF(AT$1=YEAR($D3),($D3-(DATE(((AT$1)-1),12,31)))/365.25,IF(YEAR($D3)&lt;AT$1,0,1))))),1),0)/12</f>
        <v>1</v>
      </c>
      <c r="AU3" s="5">
        <f>ROUNDDOWN(ROUND((12*IF((DATE(AU$1,12,31))&lt;$C3,0,IF(YEAR($C3)=AU$1,(DATE(((AU$1)+1),1,1)-$C3)/365.25,IF(AU$1=YEAR($D3),($D3-(DATE(((AU$1)-1),12,31)))/365.25,IF(YEAR($D3)&lt;AU$1,0,1))))),1),0)/12</f>
        <v>1</v>
      </c>
      <c r="AV3" s="5">
        <f>ROUNDDOWN(ROUND((12*IF((DATE(AV$1,12,31))&lt;$C3,0,IF(YEAR($C3)=AV$1,(DATE(((AV$1)+1),1,1)-$C3)/365.25,IF(AV$1=YEAR($D3),($D3-(DATE(((AV$1)-1),12,31)))/365.25,IF(YEAR($D3)&lt;AV$1,0,1))))),1),0)/12</f>
        <v>1</v>
      </c>
      <c r="AW3" s="5">
        <f>ROUNDDOWN(ROUND((12*IF((DATE(AW$1,12,31))&lt;$C3,0,IF(YEAR($C3)=AW$1,(DATE(((AW$1)+1),1,1)-$C3)/365.25,IF(AW$1=YEAR($D3),($D3-(DATE(((AW$1)-1),12,31)))/365.25,IF(YEAR($D3)&lt;AW$1,0,1))))),1),0)/12</f>
        <v>1</v>
      </c>
      <c r="AX3" s="5">
        <f>ROUNDDOWN(ROUND((12*IF((DATE(AX$1,12,31))&lt;$C3,0,IF(YEAR($C3)=AX$1,(DATE(((AX$1)+1),1,1)-$C3)/365.25,IF(AX$1=YEAR($D3),($D3-(DATE(((AX$1)-1),12,31)))/365.25,IF(YEAR($D3)&lt;AX$1,0,1))))),1),0)/12</f>
        <v>1</v>
      </c>
      <c r="AY3" s="5">
        <f>ROUNDDOWN(ROUND((12*IF((DATE(AY$1,12,31))&lt;$C3,0,IF(YEAR($C3)=AY$1,(DATE(((AY$1)+1),1,1)-$C3)/365.25,IF(AY$1=YEAR($D3),($D3-(DATE(((AY$1)-1),12,31)))/365.25,IF(YEAR($D3)&lt;AY$1,0,1))))),1),0)/12</f>
        <v>1</v>
      </c>
      <c r="AZ3" s="5">
        <f>ROUNDDOWN(ROUND((12*IF((DATE(AZ$1,12,31))&lt;$C3,0,IF(YEAR($C3)=AZ$1,(DATE(((AZ$1)+1),1,1)-$C3)/365.25,IF(AZ$1=YEAR($D3),($D3-(DATE(((AZ$1)-1),12,31)))/365.25,IF(YEAR($D3)&lt;AZ$1,0,1))))),1),0)/12</f>
        <v>1</v>
      </c>
      <c r="BA3" s="5">
        <f>ROUNDDOWN(ROUND((12*IF((DATE(BA$1,12,31))&lt;$C3,0,IF(YEAR($C3)=BA$1,(DATE(((BA$1)+1),1,1)-$C3)/365.25,IF(BA$1=YEAR($D3),($D3-(DATE(((BA$1)-1),12,31)))/365.25,IF(YEAR($D3)&lt;BA$1,0,1))))),1),0)/12</f>
        <v>1</v>
      </c>
      <c r="BB3" s="5">
        <f>ROUNDDOWN(ROUND((12*IF((DATE(BB$1,12,31))&lt;$C3,0,IF(YEAR($C3)=BB$1,(DATE(((BB$1)+1),1,1)-$C3)/365.25,IF(BB$1=YEAR($D3),($D3-(DATE(((BB$1)-1),12,31)))/365.25,IF(YEAR($D3)&lt;BB$1,0,1))))),1),0)/12</f>
        <v>1</v>
      </c>
      <c r="BC3" s="5">
        <f>ROUNDDOWN(ROUND((12*IF((DATE(BC$1,12,31))&lt;$C3,0,IF(YEAR($C3)=BC$1,(DATE(((BC$1)+1),1,1)-$C3)/365.25,IF(BC$1=YEAR($D3),($D3-(DATE(((BC$1)-1),12,31)))/365.25,IF(YEAR($D3)&lt;BC$1,0,1))))),1),0)/12</f>
        <v>1</v>
      </c>
    </row>
    <row r="4" spans="1:55" x14ac:dyDescent="0.25">
      <c r="A4" s="132">
        <v>500</v>
      </c>
      <c r="B4" s="133">
        <v>769</v>
      </c>
      <c r="C4" s="134">
        <v>38148</v>
      </c>
      <c r="D4" s="161">
        <v>51441</v>
      </c>
      <c r="G4" s="5">
        <f t="shared" si="0"/>
        <v>0</v>
      </c>
      <c r="H4" s="5">
        <f>ROUNDDOWN(ROUND((12*IF((DATE(H$1,12,31))&lt;$C4,0,IF(YEAR($C4)=H$1,(DATE(((H$1)+1),1,1)-$C4)/365.25,IF(H$1=YEAR($D4),($D4-(DATE(((H$1)-1),12,31)))/365.25,IF(YEAR($D4)&lt;H$1,0,1))))),1),0)/12</f>
        <v>0</v>
      </c>
      <c r="I4" s="5">
        <f>ROUNDDOWN(ROUND((12*IF((DATE(I$1,12,31))&lt;$C4,0,IF(YEAR($C4)=I$1,(DATE(((I$1)+1),1,1)-$C4)/365.25,IF(I$1=YEAR($D4),($D4-(DATE(((I$1)-1),12,31)))/365.25,IF(YEAR($D4)&lt;I$1,0,1))))),1),0)/12</f>
        <v>0</v>
      </c>
      <c r="J4" s="5">
        <f>ROUNDDOWN(ROUND((12*IF((DATE(J$1,12,31))&lt;$C4,0,IF(YEAR($C4)=J$1,(DATE(((J$1)+1),1,1)-$C4)/365.25,IF(J$1=YEAR($D4),($D4-(DATE(((J$1)-1),12,31)))/365.25,IF(YEAR($D4)&lt;J$1,0,1))))),1),0)/12</f>
        <v>0</v>
      </c>
      <c r="K4" s="5">
        <f>ROUNDDOWN(ROUND((12*IF((DATE(K$1,12,31))&lt;$C4,0,IF(YEAR($C4)=K$1,(DATE(((K$1)+1),1,1)-$C4)/365.25,IF(K$1=YEAR($D4),($D4-(DATE(((K$1)-1),12,31)))/365.25,IF(YEAR($D4)&lt;K$1,0,1))))),1),0)/12</f>
        <v>0</v>
      </c>
      <c r="L4" s="5">
        <f>ROUNDDOWN(ROUND((12*IF((DATE(L$1,12,31))&lt;$C4,0,IF(YEAR($C4)=L$1,(DATE(((L$1)+1),1,1)-$C4)/365.25,IF(L$1=YEAR($D4),($D4-(DATE(((L$1)-1),12,31)))/365.25,IF(YEAR($D4)&lt;L$1,0,1))))),1),0)/12</f>
        <v>0</v>
      </c>
      <c r="M4" s="5">
        <f>ROUNDDOWN(ROUND((12*IF((DATE(M$1,12,31))&lt;$C4,0,IF(YEAR($C4)=M$1,(DATE(((M$1)+1),1,1)-$C4)/365.25,IF(M$1=YEAR($D4),($D4-(DATE(((M$1)-1),12,31)))/365.25,IF(YEAR($D4)&lt;M$1,0,1))))),1),0)/12</f>
        <v>0</v>
      </c>
      <c r="N4" s="5">
        <f>ROUNDDOWN(ROUND((12*IF((DATE(N$1,12,31))&lt;$C4,0,IF(YEAR($C4)=N$1,(DATE(((N$1)+1),1,1)-$C4)/365.25,IF(N$1=YEAR($D4),($D4-(DATE(((N$1)-1),12,31)))/365.25,IF(YEAR($D4)&lt;N$1,0,1))))),1),0)/12</f>
        <v>0</v>
      </c>
      <c r="O4" s="5">
        <f>ROUNDDOWN(ROUND((12*IF((DATE(O$1,12,31))&lt;$C4,0,IF(YEAR($C4)=O$1,(DATE(((O$1)+1),1,1)-$C4)/365.25,IF(O$1=YEAR($D4),($D4-(DATE(((O$1)-1),12,31)))/365.25,IF(YEAR($D4)&lt;O$1,0,1))))),1),0)/12</f>
        <v>0</v>
      </c>
      <c r="P4" s="5">
        <f>ROUNDDOWN(ROUND((12*IF((DATE(P$1,12,31))&lt;$C4,0,IF(YEAR($C4)=P$1,(DATE(((P$1)+1),1,1)-$C4)/365.25,IF(P$1=YEAR($D4),($D4-(DATE(((P$1)-1),12,31)))/365.25,IF(YEAR($D4)&lt;P$1,0,1))))),1),0)/12</f>
        <v>0</v>
      </c>
      <c r="Q4" s="5">
        <f>ROUNDDOWN(ROUND((12*IF((DATE(Q$1,12,31))&lt;$C4,0,IF(YEAR($C4)=Q$1,(DATE(((Q$1)+1),1,1)-$C4)/365.25,IF(Q$1=YEAR($D4),($D4-(DATE(((Q$1)-1),12,31)))/365.25,IF(YEAR($D4)&lt;Q$1,0,1))))),1),0)/12</f>
        <v>0</v>
      </c>
      <c r="R4" s="5">
        <f>ROUNDDOWN(ROUND((12*IF((DATE(R$1,12,31))&lt;$C4,0,IF(YEAR($C4)=R$1,(DATE(((R$1)+1),1,1)-$C4)/365.25,IF(R$1=YEAR($D4),($D4-(DATE(((R$1)-1),12,31)))/365.25,IF(YEAR($D4)&lt;R$1,0,1))))),1),0)/12</f>
        <v>0</v>
      </c>
      <c r="S4" s="5">
        <f>ROUNDDOWN(ROUND((12*IF((DATE(S$1,12,31))&lt;$C4,0,IF(YEAR($C4)=S$1,(DATE(((S$1)+1),1,1)-$C4)/365.25,IF(S$1=YEAR($D4),($D4-(DATE(((S$1)-1),12,31)))/365.25,IF(YEAR($D4)&lt;S$1,0,1))))),1),0)/12</f>
        <v>0</v>
      </c>
      <c r="T4" s="5">
        <f>ROUNDDOWN(ROUND((12*IF((DATE(T$1,12,31))&lt;$C4,0,IF(YEAR($C4)=T$1,(DATE(((T$1)+1),1,1)-$C4)/365.25,IF(T$1=YEAR($D4),($D4-(DATE(((T$1)-1),12,31)))/365.25,IF(YEAR($D4)&lt;T$1,0,1))))),1),0)/12</f>
        <v>0</v>
      </c>
      <c r="U4" s="5">
        <f>ROUNDDOWN(ROUND((12*IF((DATE(U$1,12,31))&lt;$C4,0,IF(YEAR($C4)=U$1,(DATE(((U$1)+1),1,1)-$C4)/365.25,IF(U$1=YEAR($D4),($D4-(DATE(((U$1)-1),12,31)))/365.25,IF(YEAR($D4)&lt;U$1,0,1))))),1),0)/12</f>
        <v>0</v>
      </c>
      <c r="V4" s="5">
        <f>ROUNDDOWN(ROUND((12*IF((DATE(V$1,12,31))&lt;$C4,0,IF(YEAR($C4)=V$1,(DATE(((V$1)+1),1,1)-$C4)/365.25,IF(V$1=YEAR($D4),($D4-(DATE(((V$1)-1),12,31)))/365.25,IF(YEAR($D4)&lt;V$1,0,1))))),1),0)/12</f>
        <v>0</v>
      </c>
      <c r="W4" s="5">
        <f>ROUNDDOWN(ROUND((12*IF((DATE(W$1,12,31))&lt;$C4,0,IF(YEAR($C4)=W$1,(DATE(((W$1)+1),1,1)-$C4)/365.25,IF(W$1=YEAR($D4),($D4-(DATE(((W$1)-1),12,31)))/365.25,IF(YEAR($D4)&lt;W$1,0,1))))),1),0)/12</f>
        <v>0</v>
      </c>
      <c r="X4" s="5">
        <f>ROUNDDOWN(ROUND((12*IF((DATE(X$1,12,31))&lt;$C4,0,IF(YEAR($C4)=X$1,(DATE(((X$1)+1),1,1)-$C4)/365.25,IF(X$1=YEAR($D4),($D4-(DATE(((X$1)-1),12,31)))/365.25,IF(YEAR($D4)&lt;X$1,0,1))))),1),0)/12</f>
        <v>0</v>
      </c>
      <c r="Y4" s="5">
        <f>ROUNDDOWN(ROUND((12*IF((DATE(Y$1,12,31))&lt;$C4,0,IF(YEAR($C4)=Y$1,(DATE(((Y$1)+1),1,1)-$C4)/365.25,IF(Y$1=YEAR($D4),($D4-(DATE(((Y$1)-1),12,31)))/365.25,IF(YEAR($D4)&lt;Y$1,0,1))))),1),0)/12</f>
        <v>0</v>
      </c>
      <c r="Z4" s="5">
        <f>ROUNDDOWN(ROUND((12*IF((DATE(Z$1,12,31))&lt;$C4,0,IF(YEAR($C4)=Z$1,(DATE(((Z$1)+1),1,1)-$C4)/365.25,IF(Z$1=YEAR($D4),($D4-(DATE(((Z$1)-1),12,31)))/365.25,IF(YEAR($D4)&lt;Z$1,0,1))))),1),0)/12</f>
        <v>0</v>
      </c>
      <c r="AA4" s="5">
        <f>ROUNDDOWN(ROUND((12*IF((DATE(AA$1,12,31))&lt;$C4,0,IF(YEAR($C4)=AA$1,(DATE(((AA$1)+1),1,1)-$C4)/365.25,IF(AA$1=YEAR($D4),($D4-(DATE(((AA$1)-1),12,31)))/365.25,IF(YEAR($D4)&lt;AA$1,0,1))))),1),0)/12</f>
        <v>0</v>
      </c>
      <c r="AB4" s="5">
        <f>ROUNDDOWN(ROUND((12*IF((DATE(AB$1,12,31))&lt;$C4,0,IF(YEAR($C4)=AB$1,(DATE(((AB$1)+1),1,1)-$C4)/365.25,IF(AB$1=YEAR($D4),($D4-(DATE(((AB$1)-1),12,31)))/365.25,IF(YEAR($D4)&lt;AB$1,0,1))))),1),0)/12</f>
        <v>0</v>
      </c>
      <c r="AC4" s="5">
        <f>ROUNDDOWN(ROUND((12*IF((DATE(AC$1,12,31))&lt;$C4,0,IF(YEAR($C4)=AC$1,(DATE(((AC$1)+1),1,1)-$C4)/365.25,IF(AC$1=YEAR($D4),($D4-(DATE(((AC$1)-1),12,31)))/365.25,IF(YEAR($D4)&lt;AC$1,0,1))))),1),0)/12</f>
        <v>0</v>
      </c>
      <c r="AD4" s="5">
        <f>ROUNDDOWN(ROUND((12*IF((DATE(AD$1,12,31))&lt;$C4,0,IF(YEAR($C4)=AD$1,(DATE(((AD$1)+1),1,1)-$C4)/365.25,IF(AD$1=YEAR($D4),($D4-(DATE(((AD$1)-1),12,31)))/365.25,IF(YEAR($D4)&lt;AD$1,0,1))))),1),0)/12</f>
        <v>0</v>
      </c>
      <c r="AE4" s="5">
        <f>ROUNDDOWN(ROUND((12*IF((DATE(AE$1,12,31))&lt;$C4,0,IF(YEAR($C4)=AE$1,(DATE(((AE$1)+1),1,1)-$C4)/365.25,IF(AE$1=YEAR($D4),($D4-(DATE(((AE$1)-1),12,31)))/365.25,IF(YEAR($D4)&lt;AE$1,0,1))))),1),0)/12</f>
        <v>0</v>
      </c>
      <c r="AF4" s="5">
        <f>ROUNDDOWN(ROUND((12*IF((DATE(AF$1,12,31))&lt;$C4,0,IF(YEAR($C4)=AF$1,(DATE(((AF$1)+1),1,1)-$C4)/365.25,IF(AF$1=YEAR($D4),($D4-(DATE(((AF$1)-1),12,31)))/365.25,IF(YEAR($D4)&lt;AF$1,0,1))))),1),0)/12</f>
        <v>0</v>
      </c>
      <c r="AG4" s="5">
        <f>ROUNDDOWN(ROUND((12*IF((DATE(AG$1,12,31))&lt;$C4,0,IF(YEAR($C4)=AG$1,(DATE(((AG$1)+1),1,1)-$C4)/365.25,IF(AG$1=YEAR($D4),($D4-(DATE(((AG$1)-1),12,31)))/365.25,IF(YEAR($D4)&lt;AG$1,0,1))))),1),0)/12</f>
        <v>0</v>
      </c>
      <c r="AH4" s="5">
        <f>ROUNDDOWN(ROUND((12*IF((DATE(AH$1,12,31))&lt;$C4,0,IF(YEAR($C4)=AH$1,(DATE(((AH$1)+1),1,1)-$C4)/365.25,IF(AH$1=YEAR($D4),($D4-(DATE(((AH$1)-1),12,31)))/365.25,IF(YEAR($D4)&lt;AH$1,0,1))))),1),0)/12</f>
        <v>0.5</v>
      </c>
      <c r="AI4" s="5">
        <f>ROUNDDOWN(ROUND((12*IF((DATE(AI$1,12,31))&lt;$C4,0,IF(YEAR($C4)=AI$1,(DATE(((AI$1)+1),1,1)-$C4)/365.25,IF(AI$1=YEAR($D4),($D4-(DATE(((AI$1)-1),12,31)))/365.25,IF(YEAR($D4)&lt;AI$1,0,1))))),1),0)/12</f>
        <v>1</v>
      </c>
      <c r="AJ4" s="5">
        <f>ROUNDDOWN(ROUND((12*IF((DATE(AJ$1,12,31))&lt;$C4,0,IF(YEAR($C4)=AJ$1,(DATE(((AJ$1)+1),1,1)-$C4)/365.25,IF(AJ$1=YEAR($D4),($D4-(DATE(((AJ$1)-1),12,31)))/365.25,IF(YEAR($D4)&lt;AJ$1,0,1))))),1),0)/12</f>
        <v>1</v>
      </c>
      <c r="AK4" s="5">
        <f>ROUNDDOWN(ROUND((12*IF((DATE(AK$1,12,31))&lt;$C4,0,IF(YEAR($C4)=AK$1,(DATE(((AK$1)+1),1,1)-$C4)/365.25,IF(AK$1=YEAR($D4),($D4-(DATE(((AK$1)-1),12,31)))/365.25,IF(YEAR($D4)&lt;AK$1,0,1))))),1),0)/12</f>
        <v>1</v>
      </c>
      <c r="AL4" s="5">
        <f>ROUNDDOWN(ROUND((12*IF((DATE(AL$1,12,31))&lt;$C4,0,IF(YEAR($C4)=AL$1,(DATE(((AL$1)+1),1,1)-$C4)/365.25,IF(AL$1=YEAR($D4),($D4-(DATE(((AL$1)-1),12,31)))/365.25,IF(YEAR($D4)&lt;AL$1,0,1))))),1),0)/12</f>
        <v>1</v>
      </c>
      <c r="AM4" s="5">
        <f>ROUNDDOWN(ROUND((12*IF((DATE(AM$1,12,31))&lt;$C4,0,IF(YEAR($C4)=AM$1,(DATE(((AM$1)+1),1,1)-$C4)/365.25,IF(AM$1=YEAR($D4),($D4-(DATE(((AM$1)-1),12,31)))/365.25,IF(YEAR($D4)&lt;AM$1,0,1))))),1),0)/12</f>
        <v>1</v>
      </c>
      <c r="AN4" s="5">
        <f>ROUNDDOWN(ROUND((12*IF((DATE(AN$1,12,31))&lt;$C4,0,IF(YEAR($C4)=AN$1,(DATE(((AN$1)+1),1,1)-$C4)/365.25,IF(AN$1=YEAR($D4),($D4-(DATE(((AN$1)-1),12,31)))/365.25,IF(YEAR($D4)&lt;AN$1,0,1))))),1),0)/12</f>
        <v>1</v>
      </c>
      <c r="AO4" s="5">
        <f>ROUNDDOWN(ROUND((12*IF((DATE(AO$1,12,31))&lt;$C4,0,IF(YEAR($C4)=AO$1,(DATE(((AO$1)+1),1,1)-$C4)/365.25,IF(AO$1=YEAR($D4),($D4-(DATE(((AO$1)-1),12,31)))/365.25,IF(YEAR($D4)&lt;AO$1,0,1))))),1),0)/12</f>
        <v>1</v>
      </c>
      <c r="AP4" s="5">
        <f>ROUNDDOWN(ROUND((12*IF((DATE(AP$1,12,31))&lt;$C4,0,IF(YEAR($C4)=AP$1,(DATE(((AP$1)+1),1,1)-$C4)/365.25,IF(AP$1=YEAR($D4),($D4-(DATE(((AP$1)-1),12,31)))/365.25,IF(YEAR($D4)&lt;AP$1,0,1))))),1),0)/12</f>
        <v>1</v>
      </c>
      <c r="AQ4" s="5">
        <f>ROUNDDOWN(ROUND((12*IF((DATE(AQ$1,12,31))&lt;$C4,0,IF(YEAR($C4)=AQ$1,(DATE(((AQ$1)+1),1,1)-$C4)/365.25,IF(AQ$1=YEAR($D4),($D4-(DATE(((AQ$1)-1),12,31)))/365.25,IF(YEAR($D4)&lt;AQ$1,0,1))))),1),0)/12</f>
        <v>1</v>
      </c>
      <c r="AR4" s="5">
        <f>ROUNDDOWN(ROUND((12*IF((DATE(AR$1,12,31))&lt;$C4,0,IF(YEAR($C4)=AR$1,(DATE(((AR$1)+1),1,1)-$C4)/365.25,IF(AR$1=YEAR($D4),($D4-(DATE(((AR$1)-1),12,31)))/365.25,IF(YEAR($D4)&lt;AR$1,0,1))))),1),0)/12</f>
        <v>1</v>
      </c>
      <c r="AS4" s="5">
        <f>ROUNDDOWN(ROUND((12*IF((DATE(AS$1,12,31))&lt;$C4,0,IF(YEAR($C4)=AS$1,(DATE(((AS$1)+1),1,1)-$C4)/365.25,IF(AS$1=YEAR($D4),($D4-(DATE(((AS$1)-1),12,31)))/365.25,IF(YEAR($D4)&lt;AS$1,0,1))))),1),0)/12</f>
        <v>1</v>
      </c>
      <c r="AT4" s="5">
        <f>ROUNDDOWN(ROUND((12*IF((DATE(AT$1,12,31))&lt;$C4,0,IF(YEAR($C4)=AT$1,(DATE(((AT$1)+1),1,1)-$C4)/365.25,IF(AT$1=YEAR($D4),($D4-(DATE(((AT$1)-1),12,31)))/365.25,IF(YEAR($D4)&lt;AT$1,0,1))))),1),0)/12</f>
        <v>1</v>
      </c>
      <c r="AU4" s="5">
        <f>ROUNDDOWN(ROUND((12*IF((DATE(AU$1,12,31))&lt;$C4,0,IF(YEAR($C4)=AU$1,(DATE(((AU$1)+1),1,1)-$C4)/365.25,IF(AU$1=YEAR($D4),($D4-(DATE(((AU$1)-1),12,31)))/365.25,IF(YEAR($D4)&lt;AU$1,0,1))))),1),0)/12</f>
        <v>1</v>
      </c>
      <c r="AV4" s="5">
        <f>ROUNDDOWN(ROUND((12*IF((DATE(AV$1,12,31))&lt;$C4,0,IF(YEAR($C4)=AV$1,(DATE(((AV$1)+1),1,1)-$C4)/365.25,IF(AV$1=YEAR($D4),($D4-(DATE(((AV$1)-1),12,31)))/365.25,IF(YEAR($D4)&lt;AV$1,0,1))))),1),0)/12</f>
        <v>1</v>
      </c>
      <c r="AW4" s="5">
        <f>ROUNDDOWN(ROUND((12*IF((DATE(AW$1,12,31))&lt;$C4,0,IF(YEAR($C4)=AW$1,(DATE(((AW$1)+1),1,1)-$C4)/365.25,IF(AW$1=YEAR($D4),($D4-(DATE(((AW$1)-1),12,31)))/365.25,IF(YEAR($D4)&lt;AW$1,0,1))))),1),0)/12</f>
        <v>1</v>
      </c>
      <c r="AX4" s="5">
        <f>ROUNDDOWN(ROUND((12*IF((DATE(AX$1,12,31))&lt;$C4,0,IF(YEAR($C4)=AX$1,(DATE(((AX$1)+1),1,1)-$C4)/365.25,IF(AX$1=YEAR($D4),($D4-(DATE(((AX$1)-1),12,31)))/365.25,IF(YEAR($D4)&lt;AX$1,0,1))))),1),0)/12</f>
        <v>1</v>
      </c>
      <c r="AY4" s="5">
        <f>ROUNDDOWN(ROUND((12*IF((DATE(AY$1,12,31))&lt;$C4,0,IF(YEAR($C4)=AY$1,(DATE(((AY$1)+1),1,1)-$C4)/365.25,IF(AY$1=YEAR($D4),($D4-(DATE(((AY$1)-1),12,31)))/365.25,IF(YEAR($D4)&lt;AY$1,0,1))))),1),0)/12</f>
        <v>1</v>
      </c>
      <c r="AZ4" s="5">
        <f>ROUNDDOWN(ROUND((12*IF((DATE(AZ$1,12,31))&lt;$C4,0,IF(YEAR($C4)=AZ$1,(DATE(((AZ$1)+1),1,1)-$C4)/365.25,IF(AZ$1=YEAR($D4),($D4-(DATE(((AZ$1)-1),12,31)))/365.25,IF(YEAR($D4)&lt;AZ$1,0,1))))),1),0)/12</f>
        <v>1</v>
      </c>
      <c r="BA4" s="5">
        <f>ROUNDDOWN(ROUND((12*IF((DATE(BA$1,12,31))&lt;$C4,0,IF(YEAR($C4)=BA$1,(DATE(((BA$1)+1),1,1)-$C4)/365.25,IF(BA$1=YEAR($D4),($D4-(DATE(((BA$1)-1),12,31)))/365.25,IF(YEAR($D4)&lt;BA$1,0,1))))),1),0)/12</f>
        <v>1</v>
      </c>
      <c r="BB4" s="5">
        <f>ROUNDDOWN(ROUND((12*IF((DATE(BB$1,12,31))&lt;$C4,0,IF(YEAR($C4)=BB$1,(DATE(((BB$1)+1),1,1)-$C4)/365.25,IF(BB$1=YEAR($D4),($D4-(DATE(((BB$1)-1),12,31)))/365.25,IF(YEAR($D4)&lt;BB$1,0,1))))),1),0)/12</f>
        <v>1</v>
      </c>
      <c r="BC4" s="5">
        <f>ROUNDDOWN(ROUND((12*IF((DATE(BC$1,12,31))&lt;$C4,0,IF(YEAR($C4)=BC$1,(DATE(((BC$1)+1),1,1)-$C4)/365.25,IF(BC$1=YEAR($D4),($D4-(DATE(((BC$1)-1),12,31)))/365.25,IF(YEAR($D4)&lt;BC$1,0,1))))),1),0)/12</f>
        <v>1</v>
      </c>
    </row>
    <row r="5" spans="1:55" x14ac:dyDescent="0.25">
      <c r="A5" s="132">
        <v>500</v>
      </c>
      <c r="B5" s="133">
        <v>786</v>
      </c>
      <c r="C5" s="134">
        <v>38621</v>
      </c>
      <c r="D5" s="161">
        <v>50010</v>
      </c>
      <c r="G5" s="5">
        <f t="shared" si="0"/>
        <v>0</v>
      </c>
      <c r="H5" s="5">
        <f>ROUNDDOWN(ROUND((12*IF((DATE(H$1,12,31))&lt;$C5,0,IF(YEAR($C5)=H$1,(DATE(((H$1)+1),1,1)-$C5)/365.25,IF(H$1=YEAR($D5),($D5-(DATE(((H$1)-1),12,31)))/365.25,IF(YEAR($D5)&lt;H$1,0,1))))),1),0)/12</f>
        <v>0</v>
      </c>
      <c r="I5" s="5">
        <f>ROUNDDOWN(ROUND((12*IF((DATE(I$1,12,31))&lt;$C5,0,IF(YEAR($C5)=I$1,(DATE(((I$1)+1),1,1)-$C5)/365.25,IF(I$1=YEAR($D5),($D5-(DATE(((I$1)-1),12,31)))/365.25,IF(YEAR($D5)&lt;I$1,0,1))))),1),0)/12</f>
        <v>0</v>
      </c>
      <c r="J5" s="5">
        <f>ROUNDDOWN(ROUND((12*IF((DATE(J$1,12,31))&lt;$C5,0,IF(YEAR($C5)=J$1,(DATE(((J$1)+1),1,1)-$C5)/365.25,IF(J$1=YEAR($D5),($D5-(DATE(((J$1)-1),12,31)))/365.25,IF(YEAR($D5)&lt;J$1,0,1))))),1),0)/12</f>
        <v>0</v>
      </c>
      <c r="K5" s="5">
        <f>ROUNDDOWN(ROUND((12*IF((DATE(K$1,12,31))&lt;$C5,0,IF(YEAR($C5)=K$1,(DATE(((K$1)+1),1,1)-$C5)/365.25,IF(K$1=YEAR($D5),($D5-(DATE(((K$1)-1),12,31)))/365.25,IF(YEAR($D5)&lt;K$1,0,1))))),1),0)/12</f>
        <v>0</v>
      </c>
      <c r="L5" s="5">
        <f>ROUNDDOWN(ROUND((12*IF((DATE(L$1,12,31))&lt;$C5,0,IF(YEAR($C5)=L$1,(DATE(((L$1)+1),1,1)-$C5)/365.25,IF(L$1=YEAR($D5),($D5-(DATE(((L$1)-1),12,31)))/365.25,IF(YEAR($D5)&lt;L$1,0,1))))),1),0)/12</f>
        <v>0</v>
      </c>
      <c r="M5" s="5">
        <f>ROUNDDOWN(ROUND((12*IF((DATE(M$1,12,31))&lt;$C5,0,IF(YEAR($C5)=M$1,(DATE(((M$1)+1),1,1)-$C5)/365.25,IF(M$1=YEAR($D5),($D5-(DATE(((M$1)-1),12,31)))/365.25,IF(YEAR($D5)&lt;M$1,0,1))))),1),0)/12</f>
        <v>0</v>
      </c>
      <c r="N5" s="5">
        <f>ROUNDDOWN(ROUND((12*IF((DATE(N$1,12,31))&lt;$C5,0,IF(YEAR($C5)=N$1,(DATE(((N$1)+1),1,1)-$C5)/365.25,IF(N$1=YEAR($D5),($D5-(DATE(((N$1)-1),12,31)))/365.25,IF(YEAR($D5)&lt;N$1,0,1))))),1),0)/12</f>
        <v>0</v>
      </c>
      <c r="O5" s="5">
        <f>ROUNDDOWN(ROUND((12*IF((DATE(O$1,12,31))&lt;$C5,0,IF(YEAR($C5)=O$1,(DATE(((O$1)+1),1,1)-$C5)/365.25,IF(O$1=YEAR($D5),($D5-(DATE(((O$1)-1),12,31)))/365.25,IF(YEAR($D5)&lt;O$1,0,1))))),1),0)/12</f>
        <v>0</v>
      </c>
      <c r="P5" s="5">
        <f>ROUNDDOWN(ROUND((12*IF((DATE(P$1,12,31))&lt;$C5,0,IF(YEAR($C5)=P$1,(DATE(((P$1)+1),1,1)-$C5)/365.25,IF(P$1=YEAR($D5),($D5-(DATE(((P$1)-1),12,31)))/365.25,IF(YEAR($D5)&lt;P$1,0,1))))),1),0)/12</f>
        <v>0</v>
      </c>
      <c r="Q5" s="5">
        <f>ROUNDDOWN(ROUND((12*IF((DATE(Q$1,12,31))&lt;$C5,0,IF(YEAR($C5)=Q$1,(DATE(((Q$1)+1),1,1)-$C5)/365.25,IF(Q$1=YEAR($D5),($D5-(DATE(((Q$1)-1),12,31)))/365.25,IF(YEAR($D5)&lt;Q$1,0,1))))),1),0)/12</f>
        <v>0</v>
      </c>
      <c r="R5" s="5">
        <f>ROUNDDOWN(ROUND((12*IF((DATE(R$1,12,31))&lt;$C5,0,IF(YEAR($C5)=R$1,(DATE(((R$1)+1),1,1)-$C5)/365.25,IF(R$1=YEAR($D5),($D5-(DATE(((R$1)-1),12,31)))/365.25,IF(YEAR($D5)&lt;R$1,0,1))))),1),0)/12</f>
        <v>0</v>
      </c>
      <c r="S5" s="5">
        <f>ROUNDDOWN(ROUND((12*IF((DATE(S$1,12,31))&lt;$C5,0,IF(YEAR($C5)=S$1,(DATE(((S$1)+1),1,1)-$C5)/365.25,IF(S$1=YEAR($D5),($D5-(DATE(((S$1)-1),12,31)))/365.25,IF(YEAR($D5)&lt;S$1,0,1))))),1),0)/12</f>
        <v>0</v>
      </c>
      <c r="T5" s="5">
        <f>ROUNDDOWN(ROUND((12*IF((DATE(T$1,12,31))&lt;$C5,0,IF(YEAR($C5)=T$1,(DATE(((T$1)+1),1,1)-$C5)/365.25,IF(T$1=YEAR($D5),($D5-(DATE(((T$1)-1),12,31)))/365.25,IF(YEAR($D5)&lt;T$1,0,1))))),1),0)/12</f>
        <v>0</v>
      </c>
      <c r="U5" s="5">
        <f>ROUNDDOWN(ROUND((12*IF((DATE(U$1,12,31))&lt;$C5,0,IF(YEAR($C5)=U$1,(DATE(((U$1)+1),1,1)-$C5)/365.25,IF(U$1=YEAR($D5),($D5-(DATE(((U$1)-1),12,31)))/365.25,IF(YEAR($D5)&lt;U$1,0,1))))),1),0)/12</f>
        <v>0</v>
      </c>
      <c r="V5" s="5">
        <f>ROUNDDOWN(ROUND((12*IF((DATE(V$1,12,31))&lt;$C5,0,IF(YEAR($C5)=V$1,(DATE(((V$1)+1),1,1)-$C5)/365.25,IF(V$1=YEAR($D5),($D5-(DATE(((V$1)-1),12,31)))/365.25,IF(YEAR($D5)&lt;V$1,0,1))))),1),0)/12</f>
        <v>0</v>
      </c>
      <c r="W5" s="5">
        <f>ROUNDDOWN(ROUND((12*IF((DATE(W$1,12,31))&lt;$C5,0,IF(YEAR($C5)=W$1,(DATE(((W$1)+1),1,1)-$C5)/365.25,IF(W$1=YEAR($D5),($D5-(DATE(((W$1)-1),12,31)))/365.25,IF(YEAR($D5)&lt;W$1,0,1))))),1),0)/12</f>
        <v>0</v>
      </c>
      <c r="X5" s="5">
        <f>ROUNDDOWN(ROUND((12*IF((DATE(X$1,12,31))&lt;$C5,0,IF(YEAR($C5)=X$1,(DATE(((X$1)+1),1,1)-$C5)/365.25,IF(X$1=YEAR($D5),($D5-(DATE(((X$1)-1),12,31)))/365.25,IF(YEAR($D5)&lt;X$1,0,1))))),1),0)/12</f>
        <v>0</v>
      </c>
      <c r="Y5" s="5">
        <f>ROUNDDOWN(ROUND((12*IF((DATE(Y$1,12,31))&lt;$C5,0,IF(YEAR($C5)=Y$1,(DATE(((Y$1)+1),1,1)-$C5)/365.25,IF(Y$1=YEAR($D5),($D5-(DATE(((Y$1)-1),12,31)))/365.25,IF(YEAR($D5)&lt;Y$1,0,1))))),1),0)/12</f>
        <v>0</v>
      </c>
      <c r="Z5" s="5">
        <f>ROUNDDOWN(ROUND((12*IF((DATE(Z$1,12,31))&lt;$C5,0,IF(YEAR($C5)=Z$1,(DATE(((Z$1)+1),1,1)-$C5)/365.25,IF(Z$1=YEAR($D5),($D5-(DATE(((Z$1)-1),12,31)))/365.25,IF(YEAR($D5)&lt;Z$1,0,1))))),1),0)/12</f>
        <v>0</v>
      </c>
      <c r="AA5" s="5">
        <f>ROUNDDOWN(ROUND((12*IF((DATE(AA$1,12,31))&lt;$C5,0,IF(YEAR($C5)=AA$1,(DATE(((AA$1)+1),1,1)-$C5)/365.25,IF(AA$1=YEAR($D5),($D5-(DATE(((AA$1)-1),12,31)))/365.25,IF(YEAR($D5)&lt;AA$1,0,1))))),1),0)/12</f>
        <v>0</v>
      </c>
      <c r="AB5" s="5">
        <f>ROUNDDOWN(ROUND((12*IF((DATE(AB$1,12,31))&lt;$C5,0,IF(YEAR($C5)=AB$1,(DATE(((AB$1)+1),1,1)-$C5)/365.25,IF(AB$1=YEAR($D5),($D5-(DATE(((AB$1)-1),12,31)))/365.25,IF(YEAR($D5)&lt;AB$1,0,1))))),1),0)/12</f>
        <v>0</v>
      </c>
      <c r="AC5" s="5">
        <f>ROUNDDOWN(ROUND((12*IF((DATE(AC$1,12,31))&lt;$C5,0,IF(YEAR($C5)=AC$1,(DATE(((AC$1)+1),1,1)-$C5)/365.25,IF(AC$1=YEAR($D5),($D5-(DATE(((AC$1)-1),12,31)))/365.25,IF(YEAR($D5)&lt;AC$1,0,1))))),1),0)/12</f>
        <v>0</v>
      </c>
      <c r="AD5" s="5">
        <f>ROUNDDOWN(ROUND((12*IF((DATE(AD$1,12,31))&lt;$C5,0,IF(YEAR($C5)=AD$1,(DATE(((AD$1)+1),1,1)-$C5)/365.25,IF(AD$1=YEAR($D5),($D5-(DATE(((AD$1)-1),12,31)))/365.25,IF(YEAR($D5)&lt;AD$1,0,1))))),1),0)/12</f>
        <v>0</v>
      </c>
      <c r="AE5" s="5">
        <f>ROUNDDOWN(ROUND((12*IF((DATE(AE$1,12,31))&lt;$C5,0,IF(YEAR($C5)=AE$1,(DATE(((AE$1)+1),1,1)-$C5)/365.25,IF(AE$1=YEAR($D5),($D5-(DATE(((AE$1)-1),12,31)))/365.25,IF(YEAR($D5)&lt;AE$1,0,1))))),1),0)/12</f>
        <v>0</v>
      </c>
      <c r="AF5" s="5">
        <f>ROUNDDOWN(ROUND((12*IF((DATE(AF$1,12,31))&lt;$C5,0,IF(YEAR($C5)=AF$1,(DATE(((AF$1)+1),1,1)-$C5)/365.25,IF(AF$1=YEAR($D5),($D5-(DATE(((AF$1)-1),12,31)))/365.25,IF(YEAR($D5)&lt;AF$1,0,1))))),1),0)/12</f>
        <v>0</v>
      </c>
      <c r="AG5" s="5">
        <f>ROUNDDOWN(ROUND((12*IF((DATE(AG$1,12,31))&lt;$C5,0,IF(YEAR($C5)=AG$1,(DATE(((AG$1)+1),1,1)-$C5)/365.25,IF(AG$1=YEAR($D5),($D5-(DATE(((AG$1)-1),12,31)))/365.25,IF(YEAR($D5)&lt;AG$1,0,1))))),1),0)/12</f>
        <v>0</v>
      </c>
      <c r="AH5" s="5">
        <f>ROUNDDOWN(ROUND((12*IF((DATE(AH$1,12,31))&lt;$C5,0,IF(YEAR($C5)=AH$1,(DATE(((AH$1)+1),1,1)-$C5)/365.25,IF(AH$1=YEAR($D5),($D5-(DATE(((AH$1)-1),12,31)))/365.25,IF(YEAR($D5)&lt;AH$1,0,1))))),1),0)/12</f>
        <v>0</v>
      </c>
      <c r="AI5" s="5">
        <f>ROUNDDOWN(ROUND((12*IF((DATE(AI$1,12,31))&lt;$C5,0,IF(YEAR($C5)=AI$1,(DATE(((AI$1)+1),1,1)-$C5)/365.25,IF(AI$1=YEAR($D5),($D5-(DATE(((AI$1)-1),12,31)))/365.25,IF(YEAR($D5)&lt;AI$1,0,1))))),1),0)/12</f>
        <v>0.25</v>
      </c>
      <c r="AJ5" s="5">
        <f>ROUNDDOWN(ROUND((12*IF((DATE(AJ$1,12,31))&lt;$C5,0,IF(YEAR($C5)=AJ$1,(DATE(((AJ$1)+1),1,1)-$C5)/365.25,IF(AJ$1=YEAR($D5),($D5-(DATE(((AJ$1)-1),12,31)))/365.25,IF(YEAR($D5)&lt;AJ$1,0,1))))),1),0)/12</f>
        <v>1</v>
      </c>
      <c r="AK5" s="5">
        <f>ROUNDDOWN(ROUND((12*IF((DATE(AK$1,12,31))&lt;$C5,0,IF(YEAR($C5)=AK$1,(DATE(((AK$1)+1),1,1)-$C5)/365.25,IF(AK$1=YEAR($D5),($D5-(DATE(((AK$1)-1),12,31)))/365.25,IF(YEAR($D5)&lt;AK$1,0,1))))),1),0)/12</f>
        <v>1</v>
      </c>
      <c r="AL5" s="5">
        <f>ROUNDDOWN(ROUND((12*IF((DATE(AL$1,12,31))&lt;$C5,0,IF(YEAR($C5)=AL$1,(DATE(((AL$1)+1),1,1)-$C5)/365.25,IF(AL$1=YEAR($D5),($D5-(DATE(((AL$1)-1),12,31)))/365.25,IF(YEAR($D5)&lt;AL$1,0,1))))),1),0)/12</f>
        <v>1</v>
      </c>
      <c r="AM5" s="5">
        <f>ROUNDDOWN(ROUND((12*IF((DATE(AM$1,12,31))&lt;$C5,0,IF(YEAR($C5)=AM$1,(DATE(((AM$1)+1),1,1)-$C5)/365.25,IF(AM$1=YEAR($D5),($D5-(DATE(((AM$1)-1),12,31)))/365.25,IF(YEAR($D5)&lt;AM$1,0,1))))),1),0)/12</f>
        <v>1</v>
      </c>
      <c r="AN5" s="5">
        <f>ROUNDDOWN(ROUND((12*IF((DATE(AN$1,12,31))&lt;$C5,0,IF(YEAR($C5)=AN$1,(DATE(((AN$1)+1),1,1)-$C5)/365.25,IF(AN$1=YEAR($D5),($D5-(DATE(((AN$1)-1),12,31)))/365.25,IF(YEAR($D5)&lt;AN$1,0,1))))),1),0)/12</f>
        <v>1</v>
      </c>
      <c r="AO5" s="5">
        <f>ROUNDDOWN(ROUND((12*IF((DATE(AO$1,12,31))&lt;$C5,0,IF(YEAR($C5)=AO$1,(DATE(((AO$1)+1),1,1)-$C5)/365.25,IF(AO$1=YEAR($D5),($D5-(DATE(((AO$1)-1),12,31)))/365.25,IF(YEAR($D5)&lt;AO$1,0,1))))),1),0)/12</f>
        <v>1</v>
      </c>
      <c r="AP5" s="5">
        <f>ROUNDDOWN(ROUND((12*IF((DATE(AP$1,12,31))&lt;$C5,0,IF(YEAR($C5)=AP$1,(DATE(((AP$1)+1),1,1)-$C5)/365.25,IF(AP$1=YEAR($D5),($D5-(DATE(((AP$1)-1),12,31)))/365.25,IF(YEAR($D5)&lt;AP$1,0,1))))),1),0)/12</f>
        <v>1</v>
      </c>
      <c r="AQ5" s="5">
        <f>ROUNDDOWN(ROUND((12*IF((DATE(AQ$1,12,31))&lt;$C5,0,IF(YEAR($C5)=AQ$1,(DATE(((AQ$1)+1),1,1)-$C5)/365.25,IF(AQ$1=YEAR($D5),($D5-(DATE(((AQ$1)-1),12,31)))/365.25,IF(YEAR($D5)&lt;AQ$1,0,1))))),1),0)/12</f>
        <v>1</v>
      </c>
      <c r="AR5" s="5">
        <f>ROUNDDOWN(ROUND((12*IF((DATE(AR$1,12,31))&lt;$C5,0,IF(YEAR($C5)=AR$1,(DATE(((AR$1)+1),1,1)-$C5)/365.25,IF(AR$1=YEAR($D5),($D5-(DATE(((AR$1)-1),12,31)))/365.25,IF(YEAR($D5)&lt;AR$1,0,1))))),1),0)/12</f>
        <v>1</v>
      </c>
      <c r="AS5" s="5">
        <f>ROUNDDOWN(ROUND((12*IF((DATE(AS$1,12,31))&lt;$C5,0,IF(YEAR($C5)=AS$1,(DATE(((AS$1)+1),1,1)-$C5)/365.25,IF(AS$1=YEAR($D5),($D5-(DATE(((AS$1)-1),12,31)))/365.25,IF(YEAR($D5)&lt;AS$1,0,1))))),1),0)/12</f>
        <v>1</v>
      </c>
      <c r="AT5" s="5">
        <f>ROUNDDOWN(ROUND((12*IF((DATE(AT$1,12,31))&lt;$C5,0,IF(YEAR($C5)=AT$1,(DATE(((AT$1)+1),1,1)-$C5)/365.25,IF(AT$1=YEAR($D5),($D5-(DATE(((AT$1)-1),12,31)))/365.25,IF(YEAR($D5)&lt;AT$1,0,1))))),1),0)/12</f>
        <v>1</v>
      </c>
      <c r="AU5" s="5">
        <f>ROUNDDOWN(ROUND((12*IF((DATE(AU$1,12,31))&lt;$C5,0,IF(YEAR($C5)=AU$1,(DATE(((AU$1)+1),1,1)-$C5)/365.25,IF(AU$1=YEAR($D5),($D5-(DATE(((AU$1)-1),12,31)))/365.25,IF(YEAR($D5)&lt;AU$1,0,1))))),1),0)/12</f>
        <v>1</v>
      </c>
      <c r="AV5" s="5">
        <f>ROUNDDOWN(ROUND((12*IF((DATE(AV$1,12,31))&lt;$C5,0,IF(YEAR($C5)=AV$1,(DATE(((AV$1)+1),1,1)-$C5)/365.25,IF(AV$1=YEAR($D5),($D5-(DATE(((AV$1)-1),12,31)))/365.25,IF(YEAR($D5)&lt;AV$1,0,1))))),1),0)/12</f>
        <v>1</v>
      </c>
      <c r="AW5" s="5">
        <f>ROUNDDOWN(ROUND((12*IF((DATE(AW$1,12,31))&lt;$C5,0,IF(YEAR($C5)=AW$1,(DATE(((AW$1)+1),1,1)-$C5)/365.25,IF(AW$1=YEAR($D5),($D5-(DATE(((AW$1)-1),12,31)))/365.25,IF(YEAR($D5)&lt;AW$1,0,1))))),1),0)/12</f>
        <v>1</v>
      </c>
      <c r="AX5" s="5">
        <f>ROUNDDOWN(ROUND((12*IF((DATE(AX$1,12,31))&lt;$C5,0,IF(YEAR($C5)=AX$1,(DATE(((AX$1)+1),1,1)-$C5)/365.25,IF(AX$1=YEAR($D5),($D5-(DATE(((AX$1)-1),12,31)))/365.25,IF(YEAR($D5)&lt;AX$1,0,1))))),1),0)/12</f>
        <v>1</v>
      </c>
      <c r="AY5" s="5">
        <f>ROUNDDOWN(ROUND((12*IF((DATE(AY$1,12,31))&lt;$C5,0,IF(YEAR($C5)=AY$1,(DATE(((AY$1)+1),1,1)-$C5)/365.25,IF(AY$1=YEAR($D5),($D5-(DATE(((AY$1)-1),12,31)))/365.25,IF(YEAR($D5)&lt;AY$1,0,1))))),1),0)/12</f>
        <v>1</v>
      </c>
      <c r="AZ5" s="5">
        <f>ROUNDDOWN(ROUND((12*IF((DATE(AZ$1,12,31))&lt;$C5,0,IF(YEAR($C5)=AZ$1,(DATE(((AZ$1)+1),1,1)-$C5)/365.25,IF(AZ$1=YEAR($D5),($D5-(DATE(((AZ$1)-1),12,31)))/365.25,IF(YEAR($D5)&lt;AZ$1,0,1))))),1),0)/12</f>
        <v>1</v>
      </c>
      <c r="BA5" s="5">
        <f>ROUNDDOWN(ROUND((12*IF((DATE(BA$1,12,31))&lt;$C5,0,IF(YEAR($C5)=BA$1,(DATE(((BA$1)+1),1,1)-$C5)/365.25,IF(BA$1=YEAR($D5),($D5-(DATE(((BA$1)-1),12,31)))/365.25,IF(YEAR($D5)&lt;BA$1,0,1))))),1),0)/12</f>
        <v>1</v>
      </c>
      <c r="BB5" s="5">
        <f>ROUNDDOWN(ROUND((12*IF((DATE(BB$1,12,31))&lt;$C5,0,IF(YEAR($C5)=BB$1,(DATE(((BB$1)+1),1,1)-$C5)/365.25,IF(BB$1=YEAR($D5),($D5-(DATE(((BB$1)-1),12,31)))/365.25,IF(YEAR($D5)&lt;BB$1,0,1))))),1),0)/12</f>
        <v>1</v>
      </c>
      <c r="BC5" s="5">
        <f>ROUNDDOWN(ROUND((12*IF((DATE(BC$1,12,31))&lt;$C5,0,IF(YEAR($C5)=BC$1,(DATE(((BC$1)+1),1,1)-$C5)/365.25,IF(BC$1=YEAR($D5),($D5-(DATE(((BC$1)-1),12,31)))/365.25,IF(YEAR($D5)&lt;BC$1,0,1))))),1),0)/12</f>
        <v>1</v>
      </c>
    </row>
    <row r="6" spans="1:55" x14ac:dyDescent="0.25">
      <c r="A6" s="132">
        <v>500</v>
      </c>
      <c r="B6" s="133">
        <v>785</v>
      </c>
      <c r="C6" s="134">
        <v>38621</v>
      </c>
      <c r="D6" s="161">
        <v>55274</v>
      </c>
      <c r="G6" s="5">
        <f t="shared" si="0"/>
        <v>0</v>
      </c>
      <c r="H6" s="5">
        <f t="shared" ref="H6:Q15" si="1">ROUNDDOWN(ROUND((12*IF((DATE(H$1,12,31))&lt;$C6,0,IF(YEAR($C6)=H$1,(DATE(((H$1)+1),1,1)-$C6)/365.25,IF(H$1=YEAR($D6),($D6-(DATE(((H$1)-1),12,31)))/365.25,IF(YEAR($D6)&lt;H$1,0,1))))),1),0)/12</f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>
        <f t="shared" si="1"/>
        <v>0</v>
      </c>
      <c r="R6" s="5">
        <f t="shared" ref="R6:AA15" si="2">ROUNDDOWN(ROUND((12*IF((DATE(R$1,12,31))&lt;$C6,0,IF(YEAR($C6)=R$1,(DATE(((R$1)+1),1,1)-$C6)/365.25,IF(R$1=YEAR($D6),($D6-(DATE(((R$1)-1),12,31)))/365.25,IF(YEAR($D6)&lt;R$1,0,1))))),1),0)/12</f>
        <v>0</v>
      </c>
      <c r="S6" s="5">
        <f t="shared" si="2"/>
        <v>0</v>
      </c>
      <c r="T6" s="5">
        <f t="shared" si="2"/>
        <v>0</v>
      </c>
      <c r="U6" s="5">
        <f t="shared" si="2"/>
        <v>0</v>
      </c>
      <c r="V6" s="5">
        <f t="shared" si="2"/>
        <v>0</v>
      </c>
      <c r="W6" s="5">
        <f t="shared" si="2"/>
        <v>0</v>
      </c>
      <c r="X6" s="5">
        <f t="shared" si="2"/>
        <v>0</v>
      </c>
      <c r="Y6" s="5">
        <f t="shared" si="2"/>
        <v>0</v>
      </c>
      <c r="Z6" s="5">
        <f t="shared" si="2"/>
        <v>0</v>
      </c>
      <c r="AA6" s="5">
        <f t="shared" si="2"/>
        <v>0</v>
      </c>
      <c r="AB6" s="5">
        <f t="shared" ref="AB6:AK15" si="3">ROUNDDOWN(ROUND((12*IF((DATE(AB$1,12,31))&lt;$C6,0,IF(YEAR($C6)=AB$1,(DATE(((AB$1)+1),1,1)-$C6)/365.25,IF(AB$1=YEAR($D6),($D6-(DATE(((AB$1)-1),12,31)))/365.25,IF(YEAR($D6)&lt;AB$1,0,1))))),1),0)/12</f>
        <v>0</v>
      </c>
      <c r="AC6" s="5">
        <f t="shared" si="3"/>
        <v>0</v>
      </c>
      <c r="AD6" s="5">
        <f t="shared" si="3"/>
        <v>0</v>
      </c>
      <c r="AE6" s="5">
        <f t="shared" si="3"/>
        <v>0</v>
      </c>
      <c r="AF6" s="5">
        <f t="shared" si="3"/>
        <v>0</v>
      </c>
      <c r="AG6" s="5">
        <f t="shared" si="3"/>
        <v>0</v>
      </c>
      <c r="AH6" s="5">
        <f t="shared" si="3"/>
        <v>0</v>
      </c>
      <c r="AI6" s="5">
        <f t="shared" si="3"/>
        <v>0.25</v>
      </c>
      <c r="AJ6" s="5">
        <f t="shared" si="3"/>
        <v>1</v>
      </c>
      <c r="AK6" s="5">
        <f t="shared" si="3"/>
        <v>1</v>
      </c>
      <c r="AL6" s="5">
        <f t="shared" ref="AL6:AU15" si="4">ROUNDDOWN(ROUND((12*IF((DATE(AL$1,12,31))&lt;$C6,0,IF(YEAR($C6)=AL$1,(DATE(((AL$1)+1),1,1)-$C6)/365.25,IF(AL$1=YEAR($D6),($D6-(DATE(((AL$1)-1),12,31)))/365.25,IF(YEAR($D6)&lt;AL$1,0,1))))),1),0)/12</f>
        <v>1</v>
      </c>
      <c r="AM6" s="5">
        <f t="shared" si="4"/>
        <v>1</v>
      </c>
      <c r="AN6" s="5">
        <f t="shared" si="4"/>
        <v>1</v>
      </c>
      <c r="AO6" s="5">
        <f t="shared" si="4"/>
        <v>1</v>
      </c>
      <c r="AP6" s="5">
        <f t="shared" si="4"/>
        <v>1</v>
      </c>
      <c r="AQ6" s="5">
        <f t="shared" si="4"/>
        <v>1</v>
      </c>
      <c r="AR6" s="5">
        <f t="shared" si="4"/>
        <v>1</v>
      </c>
      <c r="AS6" s="5">
        <f t="shared" si="4"/>
        <v>1</v>
      </c>
      <c r="AT6" s="5">
        <f t="shared" si="4"/>
        <v>1</v>
      </c>
      <c r="AU6" s="5">
        <f t="shared" si="4"/>
        <v>1</v>
      </c>
      <c r="AV6" s="5">
        <f>ROUNDDOWN(ROUND((12*IF((DATE(AV$1,12,31))&lt;$C6,0,IF(YEAR($C6)=AV$1,(DATE(((AV$1)+1),1,1)-$C6)/365.25,IF(AV$1=YEAR($D6),($D6-(DATE(((AV$1)-1),12,31)))/365.25,IF(YEAR($D6)&lt;AV$1,0,1))))),1),0)/12</f>
        <v>1</v>
      </c>
      <c r="AW6" s="5">
        <f>ROUNDDOWN(ROUND((12*IF((DATE(AW$1,12,31))&lt;$C6,0,IF(YEAR($C6)=AW$1,(DATE(((AW$1)+1),1,1)-$C6)/365.25,IF(AW$1=YEAR($D6),($D6-(DATE(((AW$1)-1),12,31)))/365.25,IF(YEAR($D6)&lt;AW$1,0,1))))),1),0)/12</f>
        <v>1</v>
      </c>
      <c r="AX6" s="5">
        <f>ROUNDDOWN(ROUND((12*IF((DATE(AX$1,12,31))&lt;$C6,0,IF(YEAR($C6)=AX$1,(DATE(((AX$1)+1),1,1)-$C6)/365.25,IF(AX$1=YEAR($D6),($D6-(DATE(((AX$1)-1),12,31)))/365.25,IF(YEAR($D6)&lt;AX$1,0,1))))),1),0)/12</f>
        <v>1</v>
      </c>
      <c r="AY6" s="5">
        <f>ROUNDDOWN(ROUND((12*IF((DATE(AY$1,12,31))&lt;$C6,0,IF(YEAR($C6)=AY$1,(DATE(((AY$1)+1),1,1)-$C6)/365.25,IF(AY$1=YEAR($D6),($D6-(DATE(((AY$1)-1),12,31)))/365.25,IF(YEAR($D6)&lt;AY$1,0,1))))),1),0)/12</f>
        <v>1</v>
      </c>
      <c r="AZ6" s="5">
        <f>ROUNDDOWN(ROUND((12*IF((DATE(AZ$1,12,31))&lt;$C6,0,IF(YEAR($C6)=AZ$1,(DATE(((AZ$1)+1),1,1)-$C6)/365.25,IF(AZ$1=YEAR($D6),($D6-(DATE(((AZ$1)-1),12,31)))/365.25,IF(YEAR($D6)&lt;AZ$1,0,1))))),1),0)/12</f>
        <v>1</v>
      </c>
      <c r="BA6" s="5">
        <f>ROUNDDOWN(ROUND((12*IF((DATE(BA$1,12,31))&lt;$C6,0,IF(YEAR($C6)=BA$1,(DATE(((BA$1)+1),1,1)-$C6)/365.25,IF(BA$1=YEAR($D6),($D6-(DATE(((BA$1)-1),12,31)))/365.25,IF(YEAR($D6)&lt;BA$1,0,1))))),1),0)/12</f>
        <v>1</v>
      </c>
      <c r="BB6" s="5">
        <f>ROUNDDOWN(ROUND((12*IF((DATE(BB$1,12,31))&lt;$C6,0,IF(YEAR($C6)=BB$1,(DATE(((BB$1)+1),1,1)-$C6)/365.25,IF(BB$1=YEAR($D6),($D6-(DATE(((BB$1)-1),12,31)))/365.25,IF(YEAR($D6)&lt;BB$1,0,1))))),1),0)/12</f>
        <v>1</v>
      </c>
      <c r="BC6" s="5">
        <f>ROUNDDOWN(ROUND((12*IF((DATE(BC$1,12,31))&lt;$C6,0,IF(YEAR($C6)=BC$1,(DATE(((BC$1)+1),1,1)-$C6)/365.25,IF(BC$1=YEAR($D6),($D6-(DATE(((BC$1)-1),12,31)))/365.25,IF(YEAR($D6)&lt;BC$1,0,1))))),1),0)/12</f>
        <v>1</v>
      </c>
    </row>
    <row r="7" spans="1:55" x14ac:dyDescent="0.25">
      <c r="A7" s="132">
        <v>500</v>
      </c>
      <c r="B7" s="133">
        <v>784</v>
      </c>
      <c r="C7" s="134">
        <v>38544</v>
      </c>
      <c r="D7" s="161">
        <v>47362</v>
      </c>
      <c r="G7" s="5">
        <f t="shared" si="0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5">
        <f t="shared" si="2"/>
        <v>0</v>
      </c>
      <c r="Y7" s="5">
        <f t="shared" si="2"/>
        <v>0</v>
      </c>
      <c r="Z7" s="5">
        <f t="shared" si="2"/>
        <v>0</v>
      </c>
      <c r="AA7" s="5">
        <f t="shared" si="2"/>
        <v>0</v>
      </c>
      <c r="AB7" s="5">
        <f t="shared" si="3"/>
        <v>0</v>
      </c>
      <c r="AC7" s="5">
        <f t="shared" si="3"/>
        <v>0</v>
      </c>
      <c r="AD7" s="5">
        <f t="shared" si="3"/>
        <v>0</v>
      </c>
      <c r="AE7" s="5">
        <f t="shared" si="3"/>
        <v>0</v>
      </c>
      <c r="AF7" s="5">
        <f t="shared" si="3"/>
        <v>0</v>
      </c>
      <c r="AG7" s="5">
        <f t="shared" si="3"/>
        <v>0</v>
      </c>
      <c r="AH7" s="5">
        <f t="shared" si="3"/>
        <v>0</v>
      </c>
      <c r="AI7" s="5">
        <f t="shared" si="3"/>
        <v>0.41666666666666669</v>
      </c>
      <c r="AJ7" s="5">
        <f t="shared" si="3"/>
        <v>1</v>
      </c>
      <c r="AK7" s="5">
        <f t="shared" si="3"/>
        <v>1</v>
      </c>
      <c r="AL7" s="5">
        <f t="shared" si="4"/>
        <v>1</v>
      </c>
      <c r="AM7" s="5">
        <f t="shared" si="4"/>
        <v>1</v>
      </c>
      <c r="AN7" s="5">
        <f t="shared" si="4"/>
        <v>1</v>
      </c>
      <c r="AO7" s="5">
        <f t="shared" si="4"/>
        <v>1</v>
      </c>
      <c r="AP7" s="5">
        <f t="shared" si="4"/>
        <v>1</v>
      </c>
      <c r="AQ7" s="5">
        <f t="shared" si="4"/>
        <v>1</v>
      </c>
      <c r="AR7" s="5">
        <f t="shared" si="4"/>
        <v>1</v>
      </c>
      <c r="AS7" s="5">
        <f t="shared" si="4"/>
        <v>1</v>
      </c>
      <c r="AT7" s="5">
        <f t="shared" si="4"/>
        <v>1</v>
      </c>
      <c r="AU7" s="5">
        <f t="shared" si="4"/>
        <v>1</v>
      </c>
      <c r="AV7" s="5">
        <f>ROUNDDOWN(ROUND((12*IF((DATE(AV$1,12,31))&lt;$C7,0,IF(YEAR($C7)=AV$1,(DATE(((AV$1)+1),1,1)-$C7)/365.25,IF(AV$1=YEAR($D7),($D7-(DATE(((AV$1)-1),12,31)))/365.25,IF(YEAR($D7)&lt;AV$1,0,1))))),1),0)/12</f>
        <v>1</v>
      </c>
      <c r="AW7" s="5">
        <f>ROUNDDOWN(ROUND((12*IF((DATE(AW$1,12,31))&lt;$C7,0,IF(YEAR($C7)=AW$1,(DATE(((AW$1)+1),1,1)-$C7)/365.25,IF(AW$1=YEAR($D7),($D7-(DATE(((AW$1)-1),12,31)))/365.25,IF(YEAR($D7)&lt;AW$1,0,1))))),1),0)/12</f>
        <v>1</v>
      </c>
      <c r="AX7" s="5">
        <f>ROUNDDOWN(ROUND((12*IF((DATE(AX$1,12,31))&lt;$C7,0,IF(YEAR($C7)=AX$1,(DATE(((AX$1)+1),1,1)-$C7)/365.25,IF(AX$1=YEAR($D7),($D7-(DATE(((AX$1)-1),12,31)))/365.25,IF(YEAR($D7)&lt;AX$1,0,1))))),1),0)/12</f>
        <v>1</v>
      </c>
      <c r="AY7" s="5">
        <f>ROUNDDOWN(ROUND((12*IF((DATE(AY$1,12,31))&lt;$C7,0,IF(YEAR($C7)=AY$1,(DATE(((AY$1)+1),1,1)-$C7)/365.25,IF(AY$1=YEAR($D7),($D7-(DATE(((AY$1)-1),12,31)))/365.25,IF(YEAR($D7)&lt;AY$1,0,1))))),1),0)/12</f>
        <v>1</v>
      </c>
      <c r="AZ7" s="5">
        <f>ROUNDDOWN(ROUND((12*IF((DATE(AZ$1,12,31))&lt;$C7,0,IF(YEAR($C7)=AZ$1,(DATE(((AZ$1)+1),1,1)-$C7)/365.25,IF(AZ$1=YEAR($D7),($D7-(DATE(((AZ$1)-1),12,31)))/365.25,IF(YEAR($D7)&lt;AZ$1,0,1))))),1),0)/12</f>
        <v>1</v>
      </c>
      <c r="BA7" s="5">
        <f>ROUNDDOWN(ROUND((12*IF((DATE(BA$1,12,31))&lt;$C7,0,IF(YEAR($C7)=BA$1,(DATE(((BA$1)+1),1,1)-$C7)/365.25,IF(BA$1=YEAR($D7),($D7-(DATE(((BA$1)-1),12,31)))/365.25,IF(YEAR($D7)&lt;BA$1,0,1))))),1),0)/12</f>
        <v>1</v>
      </c>
      <c r="BB7" s="5">
        <f>ROUNDDOWN(ROUND((12*IF((DATE(BB$1,12,31))&lt;$C7,0,IF(YEAR($C7)=BB$1,(DATE(((BB$1)+1),1,1)-$C7)/365.25,IF(BB$1=YEAR($D7),($D7-(DATE(((BB$1)-1),12,31)))/365.25,IF(YEAR($D7)&lt;BB$1,0,1))))),1),0)/12</f>
        <v>1</v>
      </c>
      <c r="BC7" s="5">
        <f>ROUNDDOWN(ROUND((12*IF((DATE(BC$1,12,31))&lt;$C7,0,IF(YEAR($C7)=BC$1,(DATE(((BC$1)+1),1,1)-$C7)/365.25,IF(BC$1=YEAR($D7),($D7-(DATE(((BC$1)-1),12,31)))/365.25,IF(YEAR($D7)&lt;BC$1,0,1))))),1),0)/12</f>
        <v>1</v>
      </c>
    </row>
    <row r="8" spans="1:55" x14ac:dyDescent="0.25">
      <c r="A8" s="132">
        <v>500</v>
      </c>
      <c r="B8" s="133">
        <v>783</v>
      </c>
      <c r="C8" s="134">
        <v>38537</v>
      </c>
      <c r="D8" s="161">
        <v>47818</v>
      </c>
      <c r="G8" s="5">
        <f t="shared" si="0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>
        <f t="shared" si="1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  <c r="V8" s="5">
        <f t="shared" si="2"/>
        <v>0</v>
      </c>
      <c r="W8" s="5">
        <f t="shared" si="2"/>
        <v>0</v>
      </c>
      <c r="X8" s="5">
        <f t="shared" si="2"/>
        <v>0</v>
      </c>
      <c r="Y8" s="5">
        <f t="shared" si="2"/>
        <v>0</v>
      </c>
      <c r="Z8" s="5">
        <f t="shared" si="2"/>
        <v>0</v>
      </c>
      <c r="AA8" s="5">
        <f t="shared" si="2"/>
        <v>0</v>
      </c>
      <c r="AB8" s="5">
        <f t="shared" si="3"/>
        <v>0</v>
      </c>
      <c r="AC8" s="5">
        <f t="shared" si="3"/>
        <v>0</v>
      </c>
      <c r="AD8" s="5">
        <f t="shared" si="3"/>
        <v>0</v>
      </c>
      <c r="AE8" s="5">
        <f t="shared" si="3"/>
        <v>0</v>
      </c>
      <c r="AF8" s="5">
        <f t="shared" si="3"/>
        <v>0</v>
      </c>
      <c r="AG8" s="5">
        <f t="shared" si="3"/>
        <v>0</v>
      </c>
      <c r="AH8" s="5">
        <f t="shared" si="3"/>
        <v>0</v>
      </c>
      <c r="AI8" s="5">
        <f t="shared" si="3"/>
        <v>0.41666666666666669</v>
      </c>
      <c r="AJ8" s="5">
        <f t="shared" si="3"/>
        <v>1</v>
      </c>
      <c r="AK8" s="5">
        <f t="shared" si="3"/>
        <v>1</v>
      </c>
      <c r="AL8" s="5">
        <f t="shared" si="4"/>
        <v>1</v>
      </c>
      <c r="AM8" s="5">
        <f t="shared" si="4"/>
        <v>1</v>
      </c>
      <c r="AN8" s="5">
        <f t="shared" si="4"/>
        <v>1</v>
      </c>
      <c r="AO8" s="5">
        <f t="shared" si="4"/>
        <v>1</v>
      </c>
      <c r="AP8" s="5">
        <f t="shared" si="4"/>
        <v>1</v>
      </c>
      <c r="AQ8" s="5">
        <f t="shared" si="4"/>
        <v>1</v>
      </c>
      <c r="AR8" s="5">
        <f t="shared" si="4"/>
        <v>1</v>
      </c>
      <c r="AS8" s="5">
        <f t="shared" si="4"/>
        <v>1</v>
      </c>
      <c r="AT8" s="5">
        <f t="shared" si="4"/>
        <v>1</v>
      </c>
      <c r="AU8" s="5">
        <f t="shared" si="4"/>
        <v>1</v>
      </c>
      <c r="AV8" s="5">
        <f>ROUNDDOWN(ROUND((12*IF((DATE(AV$1,12,31))&lt;$C8,0,IF(YEAR($C8)=AV$1,(DATE(((AV$1)+1),1,1)-$C8)/365.25,IF(AV$1=YEAR($D8),($D8-(DATE(((AV$1)-1),12,31)))/365.25,IF(YEAR($D8)&lt;AV$1,0,1))))),1),0)/12</f>
        <v>1</v>
      </c>
      <c r="AW8" s="5">
        <f>ROUNDDOWN(ROUND((12*IF((DATE(AW$1,12,31))&lt;$C8,0,IF(YEAR($C8)=AW$1,(DATE(((AW$1)+1),1,1)-$C8)/365.25,IF(AW$1=YEAR($D8),($D8-(DATE(((AW$1)-1),12,31)))/365.25,IF(YEAR($D8)&lt;AW$1,0,1))))),1),0)/12</f>
        <v>1</v>
      </c>
      <c r="AX8" s="5">
        <f>ROUNDDOWN(ROUND((12*IF((DATE(AX$1,12,31))&lt;$C8,0,IF(YEAR($C8)=AX$1,(DATE(((AX$1)+1),1,1)-$C8)/365.25,IF(AX$1=YEAR($D8),($D8-(DATE(((AX$1)-1),12,31)))/365.25,IF(YEAR($D8)&lt;AX$1,0,1))))),1),0)/12</f>
        <v>1</v>
      </c>
      <c r="AY8" s="5">
        <f>ROUNDDOWN(ROUND((12*IF((DATE(AY$1,12,31))&lt;$C8,0,IF(YEAR($C8)=AY$1,(DATE(((AY$1)+1),1,1)-$C8)/365.25,IF(AY$1=YEAR($D8),($D8-(DATE(((AY$1)-1),12,31)))/365.25,IF(YEAR($D8)&lt;AY$1,0,1))))),1),0)/12</f>
        <v>1</v>
      </c>
      <c r="AZ8" s="5">
        <f>ROUNDDOWN(ROUND((12*IF((DATE(AZ$1,12,31))&lt;$C8,0,IF(YEAR($C8)=AZ$1,(DATE(((AZ$1)+1),1,1)-$C8)/365.25,IF(AZ$1=YEAR($D8),($D8-(DATE(((AZ$1)-1),12,31)))/365.25,IF(YEAR($D8)&lt;AZ$1,0,1))))),1),0)/12</f>
        <v>1</v>
      </c>
      <c r="BA8" s="5">
        <f>ROUNDDOWN(ROUND((12*IF((DATE(BA$1,12,31))&lt;$C8,0,IF(YEAR($C8)=BA$1,(DATE(((BA$1)+1),1,1)-$C8)/365.25,IF(BA$1=YEAR($D8),($D8-(DATE(((BA$1)-1),12,31)))/365.25,IF(YEAR($D8)&lt;BA$1,0,1))))),1),0)/12</f>
        <v>1</v>
      </c>
      <c r="BB8" s="5">
        <f>ROUNDDOWN(ROUND((12*IF((DATE(BB$1,12,31))&lt;$C8,0,IF(YEAR($C8)=BB$1,(DATE(((BB$1)+1),1,1)-$C8)/365.25,IF(BB$1=YEAR($D8),($D8-(DATE(((BB$1)-1),12,31)))/365.25,IF(YEAR($D8)&lt;BB$1,0,1))))),1),0)/12</f>
        <v>1</v>
      </c>
      <c r="BC8" s="5">
        <f>ROUNDDOWN(ROUND((12*IF((DATE(BC$1,12,31))&lt;$C8,0,IF(YEAR($C8)=BC$1,(DATE(((BC$1)+1),1,1)-$C8)/365.25,IF(BC$1=YEAR($D8),($D8-(DATE(((BC$1)-1),12,31)))/365.25,IF(YEAR($D8)&lt;BC$1,0,1))))),1),0)/12</f>
        <v>1</v>
      </c>
    </row>
    <row r="9" spans="1:55" x14ac:dyDescent="0.25">
      <c r="A9" s="132">
        <v>500</v>
      </c>
      <c r="B9" s="133">
        <v>782</v>
      </c>
      <c r="C9" s="134">
        <v>38502</v>
      </c>
      <c r="D9" s="161">
        <v>54483</v>
      </c>
      <c r="G9" s="5">
        <f t="shared" si="0"/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>
        <f t="shared" si="1"/>
        <v>0</v>
      </c>
      <c r="R9" s="5">
        <f t="shared" si="2"/>
        <v>0</v>
      </c>
      <c r="S9" s="5">
        <f t="shared" si="2"/>
        <v>0</v>
      </c>
      <c r="T9" s="5">
        <f t="shared" si="2"/>
        <v>0</v>
      </c>
      <c r="U9" s="5">
        <f t="shared" si="2"/>
        <v>0</v>
      </c>
      <c r="V9" s="5">
        <f t="shared" si="2"/>
        <v>0</v>
      </c>
      <c r="W9" s="5">
        <f t="shared" si="2"/>
        <v>0</v>
      </c>
      <c r="X9" s="5">
        <f t="shared" si="2"/>
        <v>0</v>
      </c>
      <c r="Y9" s="5">
        <f t="shared" si="2"/>
        <v>0</v>
      </c>
      <c r="Z9" s="5">
        <f t="shared" si="2"/>
        <v>0</v>
      </c>
      <c r="AA9" s="5">
        <f t="shared" si="2"/>
        <v>0</v>
      </c>
      <c r="AB9" s="5">
        <f t="shared" si="3"/>
        <v>0</v>
      </c>
      <c r="AC9" s="5">
        <f t="shared" si="3"/>
        <v>0</v>
      </c>
      <c r="AD9" s="5">
        <f t="shared" si="3"/>
        <v>0</v>
      </c>
      <c r="AE9" s="5">
        <f t="shared" si="3"/>
        <v>0</v>
      </c>
      <c r="AF9" s="5">
        <f t="shared" si="3"/>
        <v>0</v>
      </c>
      <c r="AG9" s="5">
        <f t="shared" si="3"/>
        <v>0</v>
      </c>
      <c r="AH9" s="5">
        <f t="shared" si="3"/>
        <v>0</v>
      </c>
      <c r="AI9" s="5">
        <f t="shared" si="3"/>
        <v>0.58333333333333337</v>
      </c>
      <c r="AJ9" s="5">
        <f t="shared" si="3"/>
        <v>1</v>
      </c>
      <c r="AK9" s="5">
        <f t="shared" si="3"/>
        <v>1</v>
      </c>
      <c r="AL9" s="5">
        <f t="shared" si="4"/>
        <v>1</v>
      </c>
      <c r="AM9" s="5">
        <f t="shared" si="4"/>
        <v>1</v>
      </c>
      <c r="AN9" s="5">
        <f t="shared" si="4"/>
        <v>1</v>
      </c>
      <c r="AO9" s="5">
        <f t="shared" si="4"/>
        <v>1</v>
      </c>
      <c r="AP9" s="5">
        <f t="shared" si="4"/>
        <v>1</v>
      </c>
      <c r="AQ9" s="5">
        <f t="shared" si="4"/>
        <v>1</v>
      </c>
      <c r="AR9" s="5">
        <f t="shared" si="4"/>
        <v>1</v>
      </c>
      <c r="AS9" s="5">
        <f t="shared" si="4"/>
        <v>1</v>
      </c>
      <c r="AT9" s="5">
        <f t="shared" si="4"/>
        <v>1</v>
      </c>
      <c r="AU9" s="5">
        <f t="shared" si="4"/>
        <v>1</v>
      </c>
      <c r="AV9" s="5">
        <f>ROUNDDOWN(ROUND((12*IF((DATE(AV$1,12,31))&lt;$C9,0,IF(YEAR($C9)=AV$1,(DATE(((AV$1)+1),1,1)-$C9)/365.25,IF(AV$1=YEAR($D9),($D9-(DATE(((AV$1)-1),12,31)))/365.25,IF(YEAR($D9)&lt;AV$1,0,1))))),1),0)/12</f>
        <v>1</v>
      </c>
      <c r="AW9" s="5">
        <f>ROUNDDOWN(ROUND((12*IF((DATE(AW$1,12,31))&lt;$C9,0,IF(YEAR($C9)=AW$1,(DATE(((AW$1)+1),1,1)-$C9)/365.25,IF(AW$1=YEAR($D9),($D9-(DATE(((AW$1)-1),12,31)))/365.25,IF(YEAR($D9)&lt;AW$1,0,1))))),1),0)/12</f>
        <v>1</v>
      </c>
      <c r="AX9" s="5">
        <f>ROUNDDOWN(ROUND((12*IF((DATE(AX$1,12,31))&lt;$C9,0,IF(YEAR($C9)=AX$1,(DATE(((AX$1)+1),1,1)-$C9)/365.25,IF(AX$1=YEAR($D9),($D9-(DATE(((AX$1)-1),12,31)))/365.25,IF(YEAR($D9)&lt;AX$1,0,1))))),1),0)/12</f>
        <v>1</v>
      </c>
      <c r="AY9" s="5">
        <f>ROUNDDOWN(ROUND((12*IF((DATE(AY$1,12,31))&lt;$C9,0,IF(YEAR($C9)=AY$1,(DATE(((AY$1)+1),1,1)-$C9)/365.25,IF(AY$1=YEAR($D9),($D9-(DATE(((AY$1)-1),12,31)))/365.25,IF(YEAR($D9)&lt;AY$1,0,1))))),1),0)/12</f>
        <v>1</v>
      </c>
      <c r="AZ9" s="5">
        <f>ROUNDDOWN(ROUND((12*IF((DATE(AZ$1,12,31))&lt;$C9,0,IF(YEAR($C9)=AZ$1,(DATE(((AZ$1)+1),1,1)-$C9)/365.25,IF(AZ$1=YEAR($D9),($D9-(DATE(((AZ$1)-1),12,31)))/365.25,IF(YEAR($D9)&lt;AZ$1,0,1))))),1),0)/12</f>
        <v>1</v>
      </c>
      <c r="BA9" s="5">
        <f>ROUNDDOWN(ROUND((12*IF((DATE(BA$1,12,31))&lt;$C9,0,IF(YEAR($C9)=BA$1,(DATE(((BA$1)+1),1,1)-$C9)/365.25,IF(BA$1=YEAR($D9),($D9-(DATE(((BA$1)-1),12,31)))/365.25,IF(YEAR($D9)&lt;BA$1,0,1))))),1),0)/12</f>
        <v>1</v>
      </c>
      <c r="BB9" s="5">
        <f>ROUNDDOWN(ROUND((12*IF((DATE(BB$1,12,31))&lt;$C9,0,IF(YEAR($C9)=BB$1,(DATE(((BB$1)+1),1,1)-$C9)/365.25,IF(BB$1=YEAR($D9),($D9-(DATE(((BB$1)-1),12,31)))/365.25,IF(YEAR($D9)&lt;BB$1,0,1))))),1),0)/12</f>
        <v>1</v>
      </c>
      <c r="BC9" s="5">
        <f>ROUNDDOWN(ROUND((12*IF((DATE(BC$1,12,31))&lt;$C9,0,IF(YEAR($C9)=BC$1,(DATE(((BC$1)+1),1,1)-$C9)/365.25,IF(BC$1=YEAR($D9),($D9-(DATE(((BC$1)-1),12,31)))/365.25,IF(YEAR($D9)&lt;BC$1,0,1))))),1),0)/12</f>
        <v>1</v>
      </c>
    </row>
    <row r="10" spans="1:55" x14ac:dyDescent="0.25">
      <c r="A10" s="132">
        <v>500</v>
      </c>
      <c r="B10" s="133">
        <v>781</v>
      </c>
      <c r="C10" s="134">
        <v>38383</v>
      </c>
      <c r="D10" s="161">
        <v>46631</v>
      </c>
      <c r="G10" s="5">
        <f t="shared" si="0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5">
        <f t="shared" si="1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>
        <f t="shared" si="1"/>
        <v>0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  <c r="X10" s="5">
        <f t="shared" si="2"/>
        <v>0</v>
      </c>
      <c r="Y10" s="5">
        <f t="shared" si="2"/>
        <v>0</v>
      </c>
      <c r="Z10" s="5">
        <f t="shared" si="2"/>
        <v>0</v>
      </c>
      <c r="AA10" s="5">
        <f t="shared" si="2"/>
        <v>0</v>
      </c>
      <c r="AB10" s="5">
        <f t="shared" si="3"/>
        <v>0</v>
      </c>
      <c r="AC10" s="5">
        <f t="shared" si="3"/>
        <v>0</v>
      </c>
      <c r="AD10" s="5">
        <f t="shared" si="3"/>
        <v>0</v>
      </c>
      <c r="AE10" s="5">
        <f t="shared" si="3"/>
        <v>0</v>
      </c>
      <c r="AF10" s="5">
        <f t="shared" si="3"/>
        <v>0</v>
      </c>
      <c r="AG10" s="5">
        <f t="shared" si="3"/>
        <v>0</v>
      </c>
      <c r="AH10" s="5">
        <f t="shared" si="3"/>
        <v>0</v>
      </c>
      <c r="AI10" s="5">
        <f t="shared" si="3"/>
        <v>0.91666666666666663</v>
      </c>
      <c r="AJ10" s="5">
        <f t="shared" si="3"/>
        <v>1</v>
      </c>
      <c r="AK10" s="5">
        <f t="shared" si="3"/>
        <v>1</v>
      </c>
      <c r="AL10" s="5">
        <f t="shared" si="4"/>
        <v>1</v>
      </c>
      <c r="AM10" s="5">
        <f t="shared" si="4"/>
        <v>1</v>
      </c>
      <c r="AN10" s="5">
        <f t="shared" si="4"/>
        <v>1</v>
      </c>
      <c r="AO10" s="5">
        <f t="shared" si="4"/>
        <v>1</v>
      </c>
      <c r="AP10" s="5">
        <f t="shared" si="4"/>
        <v>1</v>
      </c>
      <c r="AQ10" s="5">
        <f t="shared" si="4"/>
        <v>1</v>
      </c>
      <c r="AR10" s="5">
        <f t="shared" si="4"/>
        <v>1</v>
      </c>
      <c r="AS10" s="5">
        <f t="shared" si="4"/>
        <v>1</v>
      </c>
      <c r="AT10" s="5">
        <f t="shared" si="4"/>
        <v>1</v>
      </c>
      <c r="AU10" s="5">
        <f t="shared" si="4"/>
        <v>1</v>
      </c>
      <c r="AV10" s="5">
        <f>ROUNDDOWN(ROUND((12*IF((DATE(AV$1,12,31))&lt;$C10,0,IF(YEAR($C10)=AV$1,(DATE(((AV$1)+1),1,1)-$C10)/365.25,IF(AV$1=YEAR($D10),($D10-(DATE(((AV$1)-1),12,31)))/365.25,IF(YEAR($D10)&lt;AV$1,0,1))))),1),0)/12</f>
        <v>1</v>
      </c>
      <c r="AW10" s="5">
        <f>ROUNDDOWN(ROUND((12*IF((DATE(AW$1,12,31))&lt;$C10,0,IF(YEAR($C10)=AW$1,(DATE(((AW$1)+1),1,1)-$C10)/365.25,IF(AW$1=YEAR($D10),($D10-(DATE(((AW$1)-1),12,31)))/365.25,IF(YEAR($D10)&lt;AW$1,0,1))))),1),0)/12</f>
        <v>1</v>
      </c>
      <c r="AX10" s="5">
        <f>ROUNDDOWN(ROUND((12*IF((DATE(AX$1,12,31))&lt;$C10,0,IF(YEAR($C10)=AX$1,(DATE(((AX$1)+1),1,1)-$C10)/365.25,IF(AX$1=YEAR($D10),($D10-(DATE(((AX$1)-1),12,31)))/365.25,IF(YEAR($D10)&lt;AX$1,0,1))))),1),0)/12</f>
        <v>1</v>
      </c>
      <c r="AY10" s="5">
        <f>ROUNDDOWN(ROUND((12*IF((DATE(AY$1,12,31))&lt;$C10,0,IF(YEAR($C10)=AY$1,(DATE(((AY$1)+1),1,1)-$C10)/365.25,IF(AY$1=YEAR($D10),($D10-(DATE(((AY$1)-1),12,31)))/365.25,IF(YEAR($D10)&lt;AY$1,0,1))))),1),0)/12</f>
        <v>1</v>
      </c>
      <c r="AZ10" s="5">
        <f>ROUNDDOWN(ROUND((12*IF((DATE(AZ$1,12,31))&lt;$C10,0,IF(YEAR($C10)=AZ$1,(DATE(((AZ$1)+1),1,1)-$C10)/365.25,IF(AZ$1=YEAR($D10),($D10-(DATE(((AZ$1)-1),12,31)))/365.25,IF(YEAR($D10)&lt;AZ$1,0,1))))),1),0)/12</f>
        <v>1</v>
      </c>
      <c r="BA10" s="5">
        <f>ROUNDDOWN(ROUND((12*IF((DATE(BA$1,12,31))&lt;$C10,0,IF(YEAR($C10)=BA$1,(DATE(((BA$1)+1),1,1)-$C10)/365.25,IF(BA$1=YEAR($D10),($D10-(DATE(((BA$1)-1),12,31)))/365.25,IF(YEAR($D10)&lt;BA$1,0,1))))),1),0)/12</f>
        <v>1</v>
      </c>
      <c r="BB10" s="5">
        <f>ROUNDDOWN(ROUND((12*IF((DATE(BB$1,12,31))&lt;$C10,0,IF(YEAR($C10)=BB$1,(DATE(((BB$1)+1),1,1)-$C10)/365.25,IF(BB$1=YEAR($D10),($D10-(DATE(((BB$1)-1),12,31)))/365.25,IF(YEAR($D10)&lt;BB$1,0,1))))),1),0)/12</f>
        <v>1</v>
      </c>
      <c r="BC10" s="5">
        <f>ROUNDDOWN(ROUND((12*IF((DATE(BC$1,12,31))&lt;$C10,0,IF(YEAR($C10)=BC$1,(DATE(((BC$1)+1),1,1)-$C10)/365.25,IF(BC$1=YEAR($D10),($D10-(DATE(((BC$1)-1),12,31)))/365.25,IF(YEAR($D10)&lt;BC$1,0,1))))),1),0)/12</f>
        <v>1</v>
      </c>
    </row>
    <row r="11" spans="1:55" x14ac:dyDescent="0.25">
      <c r="A11" s="132">
        <v>500</v>
      </c>
      <c r="B11" s="133">
        <v>780</v>
      </c>
      <c r="C11" s="134">
        <v>38446</v>
      </c>
      <c r="D11" s="161">
        <v>52932</v>
      </c>
      <c r="G11" s="5">
        <f t="shared" si="0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2"/>
        <v>0</v>
      </c>
      <c r="S11" s="5">
        <f t="shared" si="2"/>
        <v>0</v>
      </c>
      <c r="T11" s="5">
        <f t="shared" si="2"/>
        <v>0</v>
      </c>
      <c r="U11" s="5">
        <f t="shared" si="2"/>
        <v>0</v>
      </c>
      <c r="V11" s="5">
        <f t="shared" si="2"/>
        <v>0</v>
      </c>
      <c r="W11" s="5">
        <f t="shared" si="2"/>
        <v>0</v>
      </c>
      <c r="X11" s="5">
        <f t="shared" si="2"/>
        <v>0</v>
      </c>
      <c r="Y11" s="5">
        <f t="shared" si="2"/>
        <v>0</v>
      </c>
      <c r="Z11" s="5">
        <f t="shared" si="2"/>
        <v>0</v>
      </c>
      <c r="AA11" s="5">
        <f t="shared" si="2"/>
        <v>0</v>
      </c>
      <c r="AB11" s="5">
        <f t="shared" si="3"/>
        <v>0</v>
      </c>
      <c r="AC11" s="5">
        <f t="shared" si="3"/>
        <v>0</v>
      </c>
      <c r="AD11" s="5">
        <f t="shared" si="3"/>
        <v>0</v>
      </c>
      <c r="AE11" s="5">
        <f t="shared" si="3"/>
        <v>0</v>
      </c>
      <c r="AF11" s="5">
        <f t="shared" si="3"/>
        <v>0</v>
      </c>
      <c r="AG11" s="5">
        <f t="shared" si="3"/>
        <v>0</v>
      </c>
      <c r="AH11" s="5">
        <f t="shared" si="3"/>
        <v>0</v>
      </c>
      <c r="AI11" s="5">
        <f t="shared" si="3"/>
        <v>0.66666666666666663</v>
      </c>
      <c r="AJ11" s="5">
        <f t="shared" si="3"/>
        <v>1</v>
      </c>
      <c r="AK11" s="5">
        <f t="shared" si="3"/>
        <v>1</v>
      </c>
      <c r="AL11" s="5">
        <f t="shared" si="4"/>
        <v>1</v>
      </c>
      <c r="AM11" s="5">
        <f t="shared" si="4"/>
        <v>1</v>
      </c>
      <c r="AN11" s="5">
        <f t="shared" si="4"/>
        <v>1</v>
      </c>
      <c r="AO11" s="5">
        <f t="shared" si="4"/>
        <v>1</v>
      </c>
      <c r="AP11" s="5">
        <f t="shared" si="4"/>
        <v>1</v>
      </c>
      <c r="AQ11" s="5">
        <f t="shared" si="4"/>
        <v>1</v>
      </c>
      <c r="AR11" s="5">
        <f t="shared" si="4"/>
        <v>1</v>
      </c>
      <c r="AS11" s="5">
        <f t="shared" si="4"/>
        <v>1</v>
      </c>
      <c r="AT11" s="5">
        <f t="shared" si="4"/>
        <v>1</v>
      </c>
      <c r="AU11" s="5">
        <f t="shared" si="4"/>
        <v>1</v>
      </c>
      <c r="AV11" s="5">
        <f>ROUNDDOWN(ROUND((12*IF((DATE(AV$1,12,31))&lt;$C11,0,IF(YEAR($C11)=AV$1,(DATE(((AV$1)+1),1,1)-$C11)/365.25,IF(AV$1=YEAR($D11),($D11-(DATE(((AV$1)-1),12,31)))/365.25,IF(YEAR($D11)&lt;AV$1,0,1))))),1),0)/12</f>
        <v>1</v>
      </c>
      <c r="AW11" s="5">
        <f>ROUNDDOWN(ROUND((12*IF((DATE(AW$1,12,31))&lt;$C11,0,IF(YEAR($C11)=AW$1,(DATE(((AW$1)+1),1,1)-$C11)/365.25,IF(AW$1=YEAR($D11),($D11-(DATE(((AW$1)-1),12,31)))/365.25,IF(YEAR($D11)&lt;AW$1,0,1))))),1),0)/12</f>
        <v>1</v>
      </c>
      <c r="AX11" s="5">
        <f>ROUNDDOWN(ROUND((12*IF((DATE(AX$1,12,31))&lt;$C11,0,IF(YEAR($C11)=AX$1,(DATE(((AX$1)+1),1,1)-$C11)/365.25,IF(AX$1=YEAR($D11),($D11-(DATE(((AX$1)-1),12,31)))/365.25,IF(YEAR($D11)&lt;AX$1,0,1))))),1),0)/12</f>
        <v>1</v>
      </c>
      <c r="AY11" s="5">
        <f>ROUNDDOWN(ROUND((12*IF((DATE(AY$1,12,31))&lt;$C11,0,IF(YEAR($C11)=AY$1,(DATE(((AY$1)+1),1,1)-$C11)/365.25,IF(AY$1=YEAR($D11),($D11-(DATE(((AY$1)-1),12,31)))/365.25,IF(YEAR($D11)&lt;AY$1,0,1))))),1),0)/12</f>
        <v>1</v>
      </c>
      <c r="AZ11" s="5">
        <f>ROUNDDOWN(ROUND((12*IF((DATE(AZ$1,12,31))&lt;$C11,0,IF(YEAR($C11)=AZ$1,(DATE(((AZ$1)+1),1,1)-$C11)/365.25,IF(AZ$1=YEAR($D11),($D11-(DATE(((AZ$1)-1),12,31)))/365.25,IF(YEAR($D11)&lt;AZ$1,0,1))))),1),0)/12</f>
        <v>1</v>
      </c>
      <c r="BA11" s="5">
        <f>ROUNDDOWN(ROUND((12*IF((DATE(BA$1,12,31))&lt;$C11,0,IF(YEAR($C11)=BA$1,(DATE(((BA$1)+1),1,1)-$C11)/365.25,IF(BA$1=YEAR($D11),($D11-(DATE(((BA$1)-1),12,31)))/365.25,IF(YEAR($D11)&lt;BA$1,0,1))))),1),0)/12</f>
        <v>1</v>
      </c>
      <c r="BB11" s="5">
        <f>ROUNDDOWN(ROUND((12*IF((DATE(BB$1,12,31))&lt;$C11,0,IF(YEAR($C11)=BB$1,(DATE(((BB$1)+1),1,1)-$C11)/365.25,IF(BB$1=YEAR($D11),($D11-(DATE(((BB$1)-1),12,31)))/365.25,IF(YEAR($D11)&lt;BB$1,0,1))))),1),0)/12</f>
        <v>1</v>
      </c>
      <c r="BC11" s="5">
        <f>ROUNDDOWN(ROUND((12*IF((DATE(BC$1,12,31))&lt;$C11,0,IF(YEAR($C11)=BC$1,(DATE(((BC$1)+1),1,1)-$C11)/365.25,IF(BC$1=YEAR($D11),($D11-(DATE(((BC$1)-1),12,31)))/365.25,IF(YEAR($D11)&lt;BC$1,0,1))))),1),0)/12</f>
        <v>1</v>
      </c>
    </row>
    <row r="12" spans="1:55" x14ac:dyDescent="0.25">
      <c r="A12" s="132">
        <v>500</v>
      </c>
      <c r="B12" s="133">
        <v>779</v>
      </c>
      <c r="C12" s="134">
        <v>38397</v>
      </c>
      <c r="D12" s="161">
        <v>48519</v>
      </c>
      <c r="G12" s="5">
        <f t="shared" si="0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  <c r="K12" s="5">
        <f t="shared" si="1"/>
        <v>0</v>
      </c>
      <c r="L12" s="5">
        <f t="shared" si="1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5">
        <f t="shared" si="1"/>
        <v>0</v>
      </c>
      <c r="Q12" s="5">
        <f t="shared" si="1"/>
        <v>0</v>
      </c>
      <c r="R12" s="5">
        <f t="shared" si="2"/>
        <v>0</v>
      </c>
      <c r="S12" s="5">
        <f t="shared" si="2"/>
        <v>0</v>
      </c>
      <c r="T12" s="5">
        <f t="shared" si="2"/>
        <v>0</v>
      </c>
      <c r="U12" s="5">
        <f t="shared" si="2"/>
        <v>0</v>
      </c>
      <c r="V12" s="5">
        <f t="shared" si="2"/>
        <v>0</v>
      </c>
      <c r="W12" s="5">
        <f t="shared" si="2"/>
        <v>0</v>
      </c>
      <c r="X12" s="5">
        <f t="shared" si="2"/>
        <v>0</v>
      </c>
      <c r="Y12" s="5">
        <f t="shared" si="2"/>
        <v>0</v>
      </c>
      <c r="Z12" s="5">
        <f t="shared" si="2"/>
        <v>0</v>
      </c>
      <c r="AA12" s="5">
        <f t="shared" si="2"/>
        <v>0</v>
      </c>
      <c r="AB12" s="5">
        <f t="shared" si="3"/>
        <v>0</v>
      </c>
      <c r="AC12" s="5">
        <f t="shared" si="3"/>
        <v>0</v>
      </c>
      <c r="AD12" s="5">
        <f t="shared" si="3"/>
        <v>0</v>
      </c>
      <c r="AE12" s="5">
        <f t="shared" si="3"/>
        <v>0</v>
      </c>
      <c r="AF12" s="5">
        <f t="shared" si="3"/>
        <v>0</v>
      </c>
      <c r="AG12" s="5">
        <f t="shared" si="3"/>
        <v>0</v>
      </c>
      <c r="AH12" s="5">
        <f t="shared" si="3"/>
        <v>0</v>
      </c>
      <c r="AI12" s="5">
        <f t="shared" si="3"/>
        <v>0.83333333333333337</v>
      </c>
      <c r="AJ12" s="5">
        <f t="shared" si="3"/>
        <v>1</v>
      </c>
      <c r="AK12" s="5">
        <f t="shared" si="3"/>
        <v>1</v>
      </c>
      <c r="AL12" s="5">
        <f t="shared" si="4"/>
        <v>1</v>
      </c>
      <c r="AM12" s="5">
        <f t="shared" si="4"/>
        <v>1</v>
      </c>
      <c r="AN12" s="5">
        <f t="shared" si="4"/>
        <v>1</v>
      </c>
      <c r="AO12" s="5">
        <f t="shared" si="4"/>
        <v>1</v>
      </c>
      <c r="AP12" s="5">
        <f t="shared" si="4"/>
        <v>1</v>
      </c>
      <c r="AQ12" s="5">
        <f t="shared" si="4"/>
        <v>1</v>
      </c>
      <c r="AR12" s="5">
        <f t="shared" si="4"/>
        <v>1</v>
      </c>
      <c r="AS12" s="5">
        <f t="shared" si="4"/>
        <v>1</v>
      </c>
      <c r="AT12" s="5">
        <f t="shared" si="4"/>
        <v>1</v>
      </c>
      <c r="AU12" s="5">
        <f t="shared" si="4"/>
        <v>1</v>
      </c>
      <c r="AV12" s="5">
        <f>ROUNDDOWN(ROUND((12*IF((DATE(AV$1,12,31))&lt;$C12,0,IF(YEAR($C12)=AV$1,(DATE(((AV$1)+1),1,1)-$C12)/365.25,IF(AV$1=YEAR($D12),($D12-(DATE(((AV$1)-1),12,31)))/365.25,IF(YEAR($D12)&lt;AV$1,0,1))))),1),0)/12</f>
        <v>1</v>
      </c>
      <c r="AW12" s="5">
        <f>ROUNDDOWN(ROUND((12*IF((DATE(AW$1,12,31))&lt;$C12,0,IF(YEAR($C12)=AW$1,(DATE(((AW$1)+1),1,1)-$C12)/365.25,IF(AW$1=YEAR($D12),($D12-(DATE(((AW$1)-1),12,31)))/365.25,IF(YEAR($D12)&lt;AW$1,0,1))))),1),0)/12</f>
        <v>1</v>
      </c>
      <c r="AX12" s="5">
        <f>ROUNDDOWN(ROUND((12*IF((DATE(AX$1,12,31))&lt;$C12,0,IF(YEAR($C12)=AX$1,(DATE(((AX$1)+1),1,1)-$C12)/365.25,IF(AX$1=YEAR($D12),($D12-(DATE(((AX$1)-1),12,31)))/365.25,IF(YEAR($D12)&lt;AX$1,0,1))))),1),0)/12</f>
        <v>1</v>
      </c>
      <c r="AY12" s="5">
        <f>ROUNDDOWN(ROUND((12*IF((DATE(AY$1,12,31))&lt;$C12,0,IF(YEAR($C12)=AY$1,(DATE(((AY$1)+1),1,1)-$C12)/365.25,IF(AY$1=YEAR($D12),($D12-(DATE(((AY$1)-1),12,31)))/365.25,IF(YEAR($D12)&lt;AY$1,0,1))))),1),0)/12</f>
        <v>1</v>
      </c>
      <c r="AZ12" s="5">
        <f>ROUNDDOWN(ROUND((12*IF((DATE(AZ$1,12,31))&lt;$C12,0,IF(YEAR($C12)=AZ$1,(DATE(((AZ$1)+1),1,1)-$C12)/365.25,IF(AZ$1=YEAR($D12),($D12-(DATE(((AZ$1)-1),12,31)))/365.25,IF(YEAR($D12)&lt;AZ$1,0,1))))),1),0)/12</f>
        <v>1</v>
      </c>
      <c r="BA12" s="5">
        <f>ROUNDDOWN(ROUND((12*IF((DATE(BA$1,12,31))&lt;$C12,0,IF(YEAR($C12)=BA$1,(DATE(((BA$1)+1),1,1)-$C12)/365.25,IF(BA$1=YEAR($D12),($D12-(DATE(((BA$1)-1),12,31)))/365.25,IF(YEAR($D12)&lt;BA$1,0,1))))),1),0)/12</f>
        <v>1</v>
      </c>
      <c r="BB12" s="5">
        <f>ROUNDDOWN(ROUND((12*IF((DATE(BB$1,12,31))&lt;$C12,0,IF(YEAR($C12)=BB$1,(DATE(((BB$1)+1),1,1)-$C12)/365.25,IF(BB$1=YEAR($D12),($D12-(DATE(((BB$1)-1),12,31)))/365.25,IF(YEAR($D12)&lt;BB$1,0,1))))),1),0)/12</f>
        <v>1</v>
      </c>
      <c r="BC12" s="5">
        <f>ROUNDDOWN(ROUND((12*IF((DATE(BC$1,12,31))&lt;$C12,0,IF(YEAR($C12)=BC$1,(DATE(((BC$1)+1),1,1)-$C12)/365.25,IF(BC$1=YEAR($D12),($D12-(DATE(((BC$1)-1),12,31)))/365.25,IF(YEAR($D12)&lt;BC$1,0,1))))),1),0)/12</f>
        <v>1</v>
      </c>
    </row>
    <row r="13" spans="1:55" x14ac:dyDescent="0.25">
      <c r="A13" s="132">
        <v>500</v>
      </c>
      <c r="B13" s="133">
        <v>778</v>
      </c>
      <c r="C13" s="134">
        <v>39142</v>
      </c>
      <c r="D13" s="161">
        <v>48061</v>
      </c>
      <c r="G13" s="5">
        <f t="shared" si="0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K13" s="5">
        <f t="shared" si="1"/>
        <v>0</v>
      </c>
      <c r="L13" s="5">
        <f t="shared" si="1"/>
        <v>0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0</v>
      </c>
      <c r="Q13" s="5">
        <f t="shared" si="1"/>
        <v>0</v>
      </c>
      <c r="R13" s="5">
        <f t="shared" si="2"/>
        <v>0</v>
      </c>
      <c r="S13" s="5">
        <f t="shared" si="2"/>
        <v>0</v>
      </c>
      <c r="T13" s="5">
        <f t="shared" si="2"/>
        <v>0</v>
      </c>
      <c r="U13" s="5">
        <f t="shared" si="2"/>
        <v>0</v>
      </c>
      <c r="V13" s="5">
        <f t="shared" si="2"/>
        <v>0</v>
      </c>
      <c r="W13" s="5">
        <f t="shared" si="2"/>
        <v>0</v>
      </c>
      <c r="X13" s="5">
        <f t="shared" si="2"/>
        <v>0</v>
      </c>
      <c r="Y13" s="5">
        <f t="shared" si="2"/>
        <v>0</v>
      </c>
      <c r="Z13" s="5">
        <f t="shared" si="2"/>
        <v>0</v>
      </c>
      <c r="AA13" s="5">
        <f t="shared" si="2"/>
        <v>0</v>
      </c>
      <c r="AB13" s="5">
        <f t="shared" si="3"/>
        <v>0</v>
      </c>
      <c r="AC13" s="5">
        <f t="shared" si="3"/>
        <v>0</v>
      </c>
      <c r="AD13" s="5">
        <f t="shared" si="3"/>
        <v>0</v>
      </c>
      <c r="AE13" s="5">
        <f t="shared" si="3"/>
        <v>0</v>
      </c>
      <c r="AF13" s="5">
        <f t="shared" si="3"/>
        <v>0</v>
      </c>
      <c r="AG13" s="5">
        <f t="shared" si="3"/>
        <v>0</v>
      </c>
      <c r="AH13" s="5">
        <f t="shared" si="3"/>
        <v>0</v>
      </c>
      <c r="AI13" s="5">
        <f t="shared" si="3"/>
        <v>0</v>
      </c>
      <c r="AJ13" s="5">
        <f t="shared" si="3"/>
        <v>0</v>
      </c>
      <c r="AK13" s="5">
        <f t="shared" si="3"/>
        <v>0.83333333333333337</v>
      </c>
      <c r="AL13" s="5">
        <f t="shared" si="4"/>
        <v>1</v>
      </c>
      <c r="AM13" s="5">
        <f t="shared" si="4"/>
        <v>1</v>
      </c>
      <c r="AN13" s="5">
        <f t="shared" si="4"/>
        <v>1</v>
      </c>
      <c r="AO13" s="5">
        <f t="shared" si="4"/>
        <v>1</v>
      </c>
      <c r="AP13" s="5">
        <f t="shared" si="4"/>
        <v>1</v>
      </c>
      <c r="AQ13" s="5">
        <f t="shared" si="4"/>
        <v>1</v>
      </c>
      <c r="AR13" s="5">
        <f t="shared" si="4"/>
        <v>1</v>
      </c>
      <c r="AS13" s="5">
        <f t="shared" si="4"/>
        <v>1</v>
      </c>
      <c r="AT13" s="5">
        <f t="shared" si="4"/>
        <v>1</v>
      </c>
      <c r="AU13" s="5">
        <f t="shared" si="4"/>
        <v>1</v>
      </c>
      <c r="AV13" s="5">
        <f>ROUNDDOWN(ROUND((12*IF((DATE(AV$1,12,31))&lt;$C13,0,IF(YEAR($C13)=AV$1,(DATE(((AV$1)+1),1,1)-$C13)/365.25,IF(AV$1=YEAR($D13),($D13-(DATE(((AV$1)-1),12,31)))/365.25,IF(YEAR($D13)&lt;AV$1,0,1))))),1),0)/12</f>
        <v>1</v>
      </c>
      <c r="AW13" s="5">
        <f>ROUNDDOWN(ROUND((12*IF((DATE(AW$1,12,31))&lt;$C13,0,IF(YEAR($C13)=AW$1,(DATE(((AW$1)+1),1,1)-$C13)/365.25,IF(AW$1=YEAR($D13),($D13-(DATE(((AW$1)-1),12,31)))/365.25,IF(YEAR($D13)&lt;AW$1,0,1))))),1),0)/12</f>
        <v>1</v>
      </c>
      <c r="AX13" s="5">
        <f>ROUNDDOWN(ROUND((12*IF((DATE(AX$1,12,31))&lt;$C13,0,IF(YEAR($C13)=AX$1,(DATE(((AX$1)+1),1,1)-$C13)/365.25,IF(AX$1=YEAR($D13),($D13-(DATE(((AX$1)-1),12,31)))/365.25,IF(YEAR($D13)&lt;AX$1,0,1))))),1),0)/12</f>
        <v>1</v>
      </c>
      <c r="AY13" s="5">
        <f>ROUNDDOWN(ROUND((12*IF((DATE(AY$1,12,31))&lt;$C13,0,IF(YEAR($C13)=AY$1,(DATE(((AY$1)+1),1,1)-$C13)/365.25,IF(AY$1=YEAR($D13),($D13-(DATE(((AY$1)-1),12,31)))/365.25,IF(YEAR($D13)&lt;AY$1,0,1))))),1),0)/12</f>
        <v>1</v>
      </c>
      <c r="AZ13" s="5">
        <f>ROUNDDOWN(ROUND((12*IF((DATE(AZ$1,12,31))&lt;$C13,0,IF(YEAR($C13)=AZ$1,(DATE(((AZ$1)+1),1,1)-$C13)/365.25,IF(AZ$1=YEAR($D13),($D13-(DATE(((AZ$1)-1),12,31)))/365.25,IF(YEAR($D13)&lt;AZ$1,0,1))))),1),0)/12</f>
        <v>1</v>
      </c>
      <c r="BA13" s="5">
        <f>ROUNDDOWN(ROUND((12*IF((DATE(BA$1,12,31))&lt;$C13,0,IF(YEAR($C13)=BA$1,(DATE(((BA$1)+1),1,1)-$C13)/365.25,IF(BA$1=YEAR($D13),($D13-(DATE(((BA$1)-1),12,31)))/365.25,IF(YEAR($D13)&lt;BA$1,0,1))))),1),0)/12</f>
        <v>1</v>
      </c>
      <c r="BB13" s="5">
        <f>ROUNDDOWN(ROUND((12*IF((DATE(BB$1,12,31))&lt;$C13,0,IF(YEAR($C13)=BB$1,(DATE(((BB$1)+1),1,1)-$C13)/365.25,IF(BB$1=YEAR($D13),($D13-(DATE(((BB$1)-1),12,31)))/365.25,IF(YEAR($D13)&lt;BB$1,0,1))))),1),0)/12</f>
        <v>1</v>
      </c>
      <c r="BC13" s="5">
        <f>ROUNDDOWN(ROUND((12*IF((DATE(BC$1,12,31))&lt;$C13,0,IF(YEAR($C13)=BC$1,(DATE(((BC$1)+1),1,1)-$C13)/365.25,IF(BC$1=YEAR($D13),($D13-(DATE(((BC$1)-1),12,31)))/365.25,IF(YEAR($D13)&lt;BC$1,0,1))))),1),0)/12</f>
        <v>1</v>
      </c>
    </row>
    <row r="14" spans="1:55" x14ac:dyDescent="0.25">
      <c r="A14" s="132">
        <v>500</v>
      </c>
      <c r="B14" s="133">
        <v>777</v>
      </c>
      <c r="C14" s="134">
        <v>38411</v>
      </c>
      <c r="D14" s="161">
        <v>50345</v>
      </c>
      <c r="G14" s="5">
        <f t="shared" si="0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5">
        <f t="shared" si="1"/>
        <v>0</v>
      </c>
      <c r="M14" s="5">
        <f t="shared" si="1"/>
        <v>0</v>
      </c>
      <c r="N14" s="5">
        <f t="shared" si="1"/>
        <v>0</v>
      </c>
      <c r="O14" s="5">
        <f t="shared" si="1"/>
        <v>0</v>
      </c>
      <c r="P14" s="5">
        <f t="shared" si="1"/>
        <v>0</v>
      </c>
      <c r="Q14" s="5">
        <f t="shared" si="1"/>
        <v>0</v>
      </c>
      <c r="R14" s="5">
        <f t="shared" si="2"/>
        <v>0</v>
      </c>
      <c r="S14" s="5">
        <f t="shared" si="2"/>
        <v>0</v>
      </c>
      <c r="T14" s="5">
        <f t="shared" si="2"/>
        <v>0</v>
      </c>
      <c r="U14" s="5">
        <f t="shared" si="2"/>
        <v>0</v>
      </c>
      <c r="V14" s="5">
        <f t="shared" si="2"/>
        <v>0</v>
      </c>
      <c r="W14" s="5">
        <f t="shared" si="2"/>
        <v>0</v>
      </c>
      <c r="X14" s="5">
        <f t="shared" si="2"/>
        <v>0</v>
      </c>
      <c r="Y14" s="5">
        <f t="shared" si="2"/>
        <v>0</v>
      </c>
      <c r="Z14" s="5">
        <f t="shared" si="2"/>
        <v>0</v>
      </c>
      <c r="AA14" s="5">
        <f t="shared" si="2"/>
        <v>0</v>
      </c>
      <c r="AB14" s="5">
        <f t="shared" si="3"/>
        <v>0</v>
      </c>
      <c r="AC14" s="5">
        <f t="shared" si="3"/>
        <v>0</v>
      </c>
      <c r="AD14" s="5">
        <f t="shared" si="3"/>
        <v>0</v>
      </c>
      <c r="AE14" s="5">
        <f t="shared" si="3"/>
        <v>0</v>
      </c>
      <c r="AF14" s="5">
        <f t="shared" si="3"/>
        <v>0</v>
      </c>
      <c r="AG14" s="5">
        <f t="shared" si="3"/>
        <v>0</v>
      </c>
      <c r="AH14" s="5">
        <f t="shared" si="3"/>
        <v>0</v>
      </c>
      <c r="AI14" s="5">
        <f t="shared" si="3"/>
        <v>0.83333333333333337</v>
      </c>
      <c r="AJ14" s="5">
        <f t="shared" si="3"/>
        <v>1</v>
      </c>
      <c r="AK14" s="5">
        <f t="shared" si="3"/>
        <v>1</v>
      </c>
      <c r="AL14" s="5">
        <f t="shared" si="4"/>
        <v>1</v>
      </c>
      <c r="AM14" s="5">
        <f t="shared" si="4"/>
        <v>1</v>
      </c>
      <c r="AN14" s="5">
        <f t="shared" si="4"/>
        <v>1</v>
      </c>
      <c r="AO14" s="5">
        <f t="shared" si="4"/>
        <v>1</v>
      </c>
      <c r="AP14" s="5">
        <f t="shared" si="4"/>
        <v>1</v>
      </c>
      <c r="AQ14" s="5">
        <f t="shared" si="4"/>
        <v>1</v>
      </c>
      <c r="AR14" s="5">
        <f t="shared" si="4"/>
        <v>1</v>
      </c>
      <c r="AS14" s="5">
        <f t="shared" si="4"/>
        <v>1</v>
      </c>
      <c r="AT14" s="5">
        <f t="shared" si="4"/>
        <v>1</v>
      </c>
      <c r="AU14" s="5">
        <f t="shared" si="4"/>
        <v>1</v>
      </c>
      <c r="AV14" s="5">
        <f>ROUNDDOWN(ROUND((12*IF((DATE(AV$1,12,31))&lt;$C14,0,IF(YEAR($C14)=AV$1,(DATE(((AV$1)+1),1,1)-$C14)/365.25,IF(AV$1=YEAR($D14),($D14-(DATE(((AV$1)-1),12,31)))/365.25,IF(YEAR($D14)&lt;AV$1,0,1))))),1),0)/12</f>
        <v>1</v>
      </c>
      <c r="AW14" s="5">
        <f>ROUNDDOWN(ROUND((12*IF((DATE(AW$1,12,31))&lt;$C14,0,IF(YEAR($C14)=AW$1,(DATE(((AW$1)+1),1,1)-$C14)/365.25,IF(AW$1=YEAR($D14),($D14-(DATE(((AW$1)-1),12,31)))/365.25,IF(YEAR($D14)&lt;AW$1,0,1))))),1),0)/12</f>
        <v>1</v>
      </c>
      <c r="AX14" s="5">
        <f>ROUNDDOWN(ROUND((12*IF((DATE(AX$1,12,31))&lt;$C14,0,IF(YEAR($C14)=AX$1,(DATE(((AX$1)+1),1,1)-$C14)/365.25,IF(AX$1=YEAR($D14),($D14-(DATE(((AX$1)-1),12,31)))/365.25,IF(YEAR($D14)&lt;AX$1,0,1))))),1),0)/12</f>
        <v>1</v>
      </c>
      <c r="AY14" s="5">
        <f>ROUNDDOWN(ROUND((12*IF((DATE(AY$1,12,31))&lt;$C14,0,IF(YEAR($C14)=AY$1,(DATE(((AY$1)+1),1,1)-$C14)/365.25,IF(AY$1=YEAR($D14),($D14-(DATE(((AY$1)-1),12,31)))/365.25,IF(YEAR($D14)&lt;AY$1,0,1))))),1),0)/12</f>
        <v>1</v>
      </c>
      <c r="AZ14" s="5">
        <f>ROUNDDOWN(ROUND((12*IF((DATE(AZ$1,12,31))&lt;$C14,0,IF(YEAR($C14)=AZ$1,(DATE(((AZ$1)+1),1,1)-$C14)/365.25,IF(AZ$1=YEAR($D14),($D14-(DATE(((AZ$1)-1),12,31)))/365.25,IF(YEAR($D14)&lt;AZ$1,0,1))))),1),0)/12</f>
        <v>1</v>
      </c>
      <c r="BA14" s="5">
        <f>ROUNDDOWN(ROUND((12*IF((DATE(BA$1,12,31))&lt;$C14,0,IF(YEAR($C14)=BA$1,(DATE(((BA$1)+1),1,1)-$C14)/365.25,IF(BA$1=YEAR($D14),($D14-(DATE(((BA$1)-1),12,31)))/365.25,IF(YEAR($D14)&lt;BA$1,0,1))))),1),0)/12</f>
        <v>1</v>
      </c>
      <c r="BB14" s="5">
        <f>ROUNDDOWN(ROUND((12*IF((DATE(BB$1,12,31))&lt;$C14,0,IF(YEAR($C14)=BB$1,(DATE(((BB$1)+1),1,1)-$C14)/365.25,IF(BB$1=YEAR($D14),($D14-(DATE(((BB$1)-1),12,31)))/365.25,IF(YEAR($D14)&lt;BB$1,0,1))))),1),0)/12</f>
        <v>1</v>
      </c>
      <c r="BC14" s="5">
        <f>ROUNDDOWN(ROUND((12*IF((DATE(BC$1,12,31))&lt;$C14,0,IF(YEAR($C14)=BC$1,(DATE(((BC$1)+1),1,1)-$C14)/365.25,IF(BC$1=YEAR($D14),($D14-(DATE(((BC$1)-1),12,31)))/365.25,IF(YEAR($D14)&lt;BC$1,0,1))))),1),0)/12</f>
        <v>1</v>
      </c>
    </row>
    <row r="15" spans="1:55" x14ac:dyDescent="0.25">
      <c r="A15" s="132">
        <v>500</v>
      </c>
      <c r="B15" s="133">
        <v>776</v>
      </c>
      <c r="C15" s="134">
        <v>38376</v>
      </c>
      <c r="D15" s="161">
        <v>45078</v>
      </c>
      <c r="G15" s="5">
        <f t="shared" si="0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>
        <f t="shared" si="1"/>
        <v>0</v>
      </c>
      <c r="Q15" s="5">
        <f t="shared" si="1"/>
        <v>0</v>
      </c>
      <c r="R15" s="5">
        <f t="shared" si="2"/>
        <v>0</v>
      </c>
      <c r="S15" s="5">
        <f t="shared" si="2"/>
        <v>0</v>
      </c>
      <c r="T15" s="5">
        <f t="shared" si="2"/>
        <v>0</v>
      </c>
      <c r="U15" s="5">
        <f t="shared" si="2"/>
        <v>0</v>
      </c>
      <c r="V15" s="5">
        <f t="shared" si="2"/>
        <v>0</v>
      </c>
      <c r="W15" s="5">
        <f t="shared" si="2"/>
        <v>0</v>
      </c>
      <c r="X15" s="5">
        <f t="shared" si="2"/>
        <v>0</v>
      </c>
      <c r="Y15" s="5">
        <f t="shared" si="2"/>
        <v>0</v>
      </c>
      <c r="Z15" s="5">
        <f t="shared" si="2"/>
        <v>0</v>
      </c>
      <c r="AA15" s="5">
        <f t="shared" si="2"/>
        <v>0</v>
      </c>
      <c r="AB15" s="5">
        <f t="shared" si="3"/>
        <v>0</v>
      </c>
      <c r="AC15" s="5">
        <f t="shared" si="3"/>
        <v>0</v>
      </c>
      <c r="AD15" s="5">
        <f t="shared" si="3"/>
        <v>0</v>
      </c>
      <c r="AE15" s="5">
        <f t="shared" si="3"/>
        <v>0</v>
      </c>
      <c r="AF15" s="5">
        <f t="shared" si="3"/>
        <v>0</v>
      </c>
      <c r="AG15" s="5">
        <f t="shared" si="3"/>
        <v>0</v>
      </c>
      <c r="AH15" s="5">
        <f t="shared" si="3"/>
        <v>0</v>
      </c>
      <c r="AI15" s="5">
        <f t="shared" si="3"/>
        <v>0.91666666666666663</v>
      </c>
      <c r="AJ15" s="5">
        <f t="shared" si="3"/>
        <v>1</v>
      </c>
      <c r="AK15" s="5">
        <f t="shared" si="3"/>
        <v>1</v>
      </c>
      <c r="AL15" s="5">
        <f t="shared" si="4"/>
        <v>1</v>
      </c>
      <c r="AM15" s="5">
        <f t="shared" si="4"/>
        <v>1</v>
      </c>
      <c r="AN15" s="5">
        <f t="shared" si="4"/>
        <v>1</v>
      </c>
      <c r="AO15" s="5">
        <f t="shared" si="4"/>
        <v>1</v>
      </c>
      <c r="AP15" s="5">
        <f t="shared" si="4"/>
        <v>1</v>
      </c>
      <c r="AQ15" s="5">
        <f t="shared" si="4"/>
        <v>1</v>
      </c>
      <c r="AR15" s="5">
        <f t="shared" si="4"/>
        <v>1</v>
      </c>
      <c r="AS15" s="5">
        <f t="shared" si="4"/>
        <v>1</v>
      </c>
      <c r="AT15" s="5">
        <f t="shared" si="4"/>
        <v>1</v>
      </c>
      <c r="AU15" s="5">
        <f t="shared" si="4"/>
        <v>1</v>
      </c>
      <c r="AV15" s="5">
        <f>ROUNDDOWN(ROUND((12*IF((DATE(AV$1,12,31))&lt;$C15,0,IF(YEAR($C15)=AV$1,(DATE(((AV$1)+1),1,1)-$C15)/365.25,IF(AV$1=YEAR($D15),($D15-(DATE(((AV$1)-1),12,31)))/365.25,IF(YEAR($D15)&lt;AV$1,0,1))))),1),0)/12</f>
        <v>1</v>
      </c>
      <c r="AW15" s="5">
        <f>ROUNDDOWN(ROUND((12*IF((DATE(AW$1,12,31))&lt;$C15,0,IF(YEAR($C15)=AW$1,(DATE(((AW$1)+1),1,1)-$C15)/365.25,IF(AW$1=YEAR($D15),($D15-(DATE(((AW$1)-1),12,31)))/365.25,IF(YEAR($D15)&lt;AW$1,0,1))))),1),0)/12</f>
        <v>1</v>
      </c>
      <c r="AX15" s="5">
        <f>ROUNDDOWN(ROUND((12*IF((DATE(AX$1,12,31))&lt;$C15,0,IF(YEAR($C15)=AX$1,(DATE(((AX$1)+1),1,1)-$C15)/365.25,IF(AX$1=YEAR($D15),($D15-(DATE(((AX$1)-1),12,31)))/365.25,IF(YEAR($D15)&lt;AX$1,0,1))))),1),0)/12</f>
        <v>1</v>
      </c>
      <c r="AY15" s="5">
        <f>ROUNDDOWN(ROUND((12*IF((DATE(AY$1,12,31))&lt;$C15,0,IF(YEAR($C15)=AY$1,(DATE(((AY$1)+1),1,1)-$C15)/365.25,IF(AY$1=YEAR($D15),($D15-(DATE(((AY$1)-1),12,31)))/365.25,IF(YEAR($D15)&lt;AY$1,0,1))))),1),0)/12</f>
        <v>1</v>
      </c>
      <c r="AZ15" s="5">
        <f>ROUNDDOWN(ROUND((12*IF((DATE(AZ$1,12,31))&lt;$C15,0,IF(YEAR($C15)=AZ$1,(DATE(((AZ$1)+1),1,1)-$C15)/365.25,IF(AZ$1=YEAR($D15),($D15-(DATE(((AZ$1)-1),12,31)))/365.25,IF(YEAR($D15)&lt;AZ$1,0,1))))),1),0)/12</f>
        <v>1</v>
      </c>
      <c r="BA15" s="5">
        <f>ROUNDDOWN(ROUND((12*IF((DATE(BA$1,12,31))&lt;$C15,0,IF(YEAR($C15)=BA$1,(DATE(((BA$1)+1),1,1)-$C15)/365.25,IF(BA$1=YEAR($D15),($D15-(DATE(((BA$1)-1),12,31)))/365.25,IF(YEAR($D15)&lt;BA$1,0,1))))),1),0)/12</f>
        <v>0.41666666666666669</v>
      </c>
      <c r="BB15" s="5">
        <f>ROUNDDOWN(ROUND((12*IF((DATE(BB$1,12,31))&lt;$C15,0,IF(YEAR($C15)=BB$1,(DATE(((BB$1)+1),1,1)-$C15)/365.25,IF(BB$1=YEAR($D15),($D15-(DATE(((BB$1)-1),12,31)))/365.25,IF(YEAR($D15)&lt;BB$1,0,1))))),1),0)/12</f>
        <v>0</v>
      </c>
      <c r="BC15" s="5">
        <f>ROUNDDOWN(ROUND((12*IF((DATE(BC$1,12,31))&lt;$C15,0,IF(YEAR($C15)=BC$1,(DATE(((BC$1)+1),1,1)-$C15)/365.25,IF(BC$1=YEAR($D15),($D15-(DATE(((BC$1)-1),12,31)))/365.25,IF(YEAR($D15)&lt;BC$1,0,1))))),1),0)/12</f>
        <v>0</v>
      </c>
    </row>
    <row r="16" spans="1:55" x14ac:dyDescent="0.25">
      <c r="A16" s="132">
        <v>500</v>
      </c>
      <c r="B16" s="133">
        <v>775</v>
      </c>
      <c r="C16" s="134">
        <v>38350</v>
      </c>
      <c r="D16" s="161">
        <v>45778</v>
      </c>
      <c r="G16" s="5">
        <f t="shared" si="0"/>
        <v>0</v>
      </c>
      <c r="H16" s="5">
        <f t="shared" ref="H16:Q25" si="5">ROUNDDOWN(ROUND((12*IF((DATE(H$1,12,31))&lt;$C16,0,IF(YEAR($C16)=H$1,(DATE(((H$1)+1),1,1)-$C16)/365.25,IF(H$1=YEAR($D16),($D16-(DATE(((H$1)-1),12,31)))/365.25,IF(YEAR($D16)&lt;H$1,0,1))))),1),0)/12</f>
        <v>0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  <c r="N16" s="5">
        <f t="shared" si="5"/>
        <v>0</v>
      </c>
      <c r="O16" s="5">
        <f t="shared" si="5"/>
        <v>0</v>
      </c>
      <c r="P16" s="5">
        <f t="shared" si="5"/>
        <v>0</v>
      </c>
      <c r="Q16" s="5">
        <f t="shared" si="5"/>
        <v>0</v>
      </c>
      <c r="R16" s="5">
        <f t="shared" ref="R16:AA25" si="6">ROUNDDOWN(ROUND((12*IF((DATE(R$1,12,31))&lt;$C16,0,IF(YEAR($C16)=R$1,(DATE(((R$1)+1),1,1)-$C16)/365.25,IF(R$1=YEAR($D16),($D16-(DATE(((R$1)-1),12,31)))/365.25,IF(YEAR($D16)&lt;R$1,0,1))))),1),0)/12</f>
        <v>0</v>
      </c>
      <c r="S16" s="5">
        <f t="shared" si="6"/>
        <v>0</v>
      </c>
      <c r="T16" s="5">
        <f t="shared" si="6"/>
        <v>0</v>
      </c>
      <c r="U16" s="5">
        <f t="shared" si="6"/>
        <v>0</v>
      </c>
      <c r="V16" s="5">
        <f t="shared" si="6"/>
        <v>0</v>
      </c>
      <c r="W16" s="5">
        <f t="shared" si="6"/>
        <v>0</v>
      </c>
      <c r="X16" s="5">
        <f t="shared" si="6"/>
        <v>0</v>
      </c>
      <c r="Y16" s="5">
        <f t="shared" si="6"/>
        <v>0</v>
      </c>
      <c r="Z16" s="5">
        <f t="shared" si="6"/>
        <v>0</v>
      </c>
      <c r="AA16" s="5">
        <f t="shared" si="6"/>
        <v>0</v>
      </c>
      <c r="AB16" s="5">
        <f t="shared" ref="AB16:AK25" si="7">ROUNDDOWN(ROUND((12*IF((DATE(AB$1,12,31))&lt;$C16,0,IF(YEAR($C16)=AB$1,(DATE(((AB$1)+1),1,1)-$C16)/365.25,IF(AB$1=YEAR($D16),($D16-(DATE(((AB$1)-1),12,31)))/365.25,IF(YEAR($D16)&lt;AB$1,0,1))))),1),0)/12</f>
        <v>0</v>
      </c>
      <c r="AC16" s="5">
        <f t="shared" si="7"/>
        <v>0</v>
      </c>
      <c r="AD16" s="5">
        <f t="shared" si="7"/>
        <v>0</v>
      </c>
      <c r="AE16" s="5">
        <f t="shared" si="7"/>
        <v>0</v>
      </c>
      <c r="AF16" s="5">
        <f t="shared" si="7"/>
        <v>0</v>
      </c>
      <c r="AG16" s="5">
        <f t="shared" si="7"/>
        <v>0</v>
      </c>
      <c r="AH16" s="5">
        <f t="shared" si="7"/>
        <v>0</v>
      </c>
      <c r="AI16" s="5">
        <f t="shared" si="7"/>
        <v>1</v>
      </c>
      <c r="AJ16" s="5">
        <f t="shared" si="7"/>
        <v>1</v>
      </c>
      <c r="AK16" s="5">
        <f t="shared" si="7"/>
        <v>1</v>
      </c>
      <c r="AL16" s="5">
        <f t="shared" ref="AL16:AU25" si="8">ROUNDDOWN(ROUND((12*IF((DATE(AL$1,12,31))&lt;$C16,0,IF(YEAR($C16)=AL$1,(DATE(((AL$1)+1),1,1)-$C16)/365.25,IF(AL$1=YEAR($D16),($D16-(DATE(((AL$1)-1),12,31)))/365.25,IF(YEAR($D16)&lt;AL$1,0,1))))),1),0)/12</f>
        <v>1</v>
      </c>
      <c r="AM16" s="5">
        <f t="shared" si="8"/>
        <v>1</v>
      </c>
      <c r="AN16" s="5">
        <f t="shared" si="8"/>
        <v>1</v>
      </c>
      <c r="AO16" s="5">
        <f t="shared" si="8"/>
        <v>1</v>
      </c>
      <c r="AP16" s="5">
        <f t="shared" si="8"/>
        <v>1</v>
      </c>
      <c r="AQ16" s="5">
        <f t="shared" si="8"/>
        <v>1</v>
      </c>
      <c r="AR16" s="5">
        <f t="shared" si="8"/>
        <v>1</v>
      </c>
      <c r="AS16" s="5">
        <f t="shared" si="8"/>
        <v>1</v>
      </c>
      <c r="AT16" s="5">
        <f t="shared" si="8"/>
        <v>1</v>
      </c>
      <c r="AU16" s="5">
        <f t="shared" si="8"/>
        <v>1</v>
      </c>
      <c r="AV16" s="5">
        <f>ROUNDDOWN(ROUND((12*IF((DATE(AV$1,12,31))&lt;$C16,0,IF(YEAR($C16)=AV$1,(DATE(((AV$1)+1),1,1)-$C16)/365.25,IF(AV$1=YEAR($D16),($D16-(DATE(((AV$1)-1),12,31)))/365.25,IF(YEAR($D16)&lt;AV$1,0,1))))),1),0)/12</f>
        <v>1</v>
      </c>
      <c r="AW16" s="5">
        <f>ROUNDDOWN(ROUND((12*IF((DATE(AW$1,12,31))&lt;$C16,0,IF(YEAR($C16)=AW$1,(DATE(((AW$1)+1),1,1)-$C16)/365.25,IF(AW$1=YEAR($D16),($D16-(DATE(((AW$1)-1),12,31)))/365.25,IF(YEAR($D16)&lt;AW$1,0,1))))),1),0)/12</f>
        <v>1</v>
      </c>
      <c r="AX16" s="5">
        <f>ROUNDDOWN(ROUND((12*IF((DATE(AX$1,12,31))&lt;$C16,0,IF(YEAR($C16)=AX$1,(DATE(((AX$1)+1),1,1)-$C16)/365.25,IF(AX$1=YEAR($D16),($D16-(DATE(((AX$1)-1),12,31)))/365.25,IF(YEAR($D16)&lt;AX$1,0,1))))),1),0)/12</f>
        <v>1</v>
      </c>
      <c r="AY16" s="5">
        <f>ROUNDDOWN(ROUND((12*IF((DATE(AY$1,12,31))&lt;$C16,0,IF(YEAR($C16)=AY$1,(DATE(((AY$1)+1),1,1)-$C16)/365.25,IF(AY$1=YEAR($D16),($D16-(DATE(((AY$1)-1),12,31)))/365.25,IF(YEAR($D16)&lt;AY$1,0,1))))),1),0)/12</f>
        <v>1</v>
      </c>
      <c r="AZ16" s="5">
        <f>ROUNDDOWN(ROUND((12*IF((DATE(AZ$1,12,31))&lt;$C16,0,IF(YEAR($C16)=AZ$1,(DATE(((AZ$1)+1),1,1)-$C16)/365.25,IF(AZ$1=YEAR($D16),($D16-(DATE(((AZ$1)-1),12,31)))/365.25,IF(YEAR($D16)&lt;AZ$1,0,1))))),1),0)/12</f>
        <v>1</v>
      </c>
      <c r="BA16" s="5">
        <f>ROUNDDOWN(ROUND((12*IF((DATE(BA$1,12,31))&lt;$C16,0,IF(YEAR($C16)=BA$1,(DATE(((BA$1)+1),1,1)-$C16)/365.25,IF(BA$1=YEAR($D16),($D16-(DATE(((BA$1)-1),12,31)))/365.25,IF(YEAR($D16)&lt;BA$1,0,1))))),1),0)/12</f>
        <v>1</v>
      </c>
      <c r="BB16" s="5">
        <f>ROUNDDOWN(ROUND((12*IF((DATE(BB$1,12,31))&lt;$C16,0,IF(YEAR($C16)=BB$1,(DATE(((BB$1)+1),1,1)-$C16)/365.25,IF(BB$1=YEAR($D16),($D16-(DATE(((BB$1)-1),12,31)))/365.25,IF(YEAR($D16)&lt;BB$1,0,1))))),1),0)/12</f>
        <v>1</v>
      </c>
      <c r="BC16" s="5">
        <f>ROUNDDOWN(ROUND((12*IF((DATE(BC$1,12,31))&lt;$C16,0,IF(YEAR($C16)=BC$1,(DATE(((BC$1)+1),1,1)-$C16)/365.25,IF(BC$1=YEAR($D16),($D16-(DATE(((BC$1)-1),12,31)))/365.25,IF(YEAR($D16)&lt;BC$1,0,1))))),1),0)/12</f>
        <v>0.33333333333333331</v>
      </c>
    </row>
    <row r="17" spans="1:55" x14ac:dyDescent="0.25">
      <c r="A17" s="132">
        <v>500</v>
      </c>
      <c r="B17" s="133">
        <v>774</v>
      </c>
      <c r="C17" s="134">
        <v>38272</v>
      </c>
      <c r="D17" s="161">
        <v>48274</v>
      </c>
      <c r="G17" s="5">
        <f t="shared" si="0"/>
        <v>0</v>
      </c>
      <c r="H17" s="5">
        <f t="shared" si="5"/>
        <v>0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  <c r="N17" s="5">
        <f t="shared" si="5"/>
        <v>0</v>
      </c>
      <c r="O17" s="5">
        <f t="shared" si="5"/>
        <v>0</v>
      </c>
      <c r="P17" s="5">
        <f t="shared" si="5"/>
        <v>0</v>
      </c>
      <c r="Q17" s="5">
        <f t="shared" si="5"/>
        <v>0</v>
      </c>
      <c r="R17" s="5">
        <f t="shared" si="6"/>
        <v>0</v>
      </c>
      <c r="S17" s="5">
        <f t="shared" si="6"/>
        <v>0</v>
      </c>
      <c r="T17" s="5">
        <f t="shared" si="6"/>
        <v>0</v>
      </c>
      <c r="U17" s="5">
        <f t="shared" si="6"/>
        <v>0</v>
      </c>
      <c r="V17" s="5">
        <f t="shared" si="6"/>
        <v>0</v>
      </c>
      <c r="W17" s="5">
        <f t="shared" si="6"/>
        <v>0</v>
      </c>
      <c r="X17" s="5">
        <f t="shared" si="6"/>
        <v>0</v>
      </c>
      <c r="Y17" s="5">
        <f t="shared" si="6"/>
        <v>0</v>
      </c>
      <c r="Z17" s="5">
        <f t="shared" si="6"/>
        <v>0</v>
      </c>
      <c r="AA17" s="5">
        <f t="shared" si="6"/>
        <v>0</v>
      </c>
      <c r="AB17" s="5">
        <f t="shared" si="7"/>
        <v>0</v>
      </c>
      <c r="AC17" s="5">
        <f t="shared" si="7"/>
        <v>0</v>
      </c>
      <c r="AD17" s="5">
        <f t="shared" si="7"/>
        <v>0</v>
      </c>
      <c r="AE17" s="5">
        <f t="shared" si="7"/>
        <v>0</v>
      </c>
      <c r="AF17" s="5">
        <f t="shared" si="7"/>
        <v>0</v>
      </c>
      <c r="AG17" s="5">
        <f t="shared" si="7"/>
        <v>0</v>
      </c>
      <c r="AH17" s="5">
        <f t="shared" si="7"/>
        <v>0.16666666666666666</v>
      </c>
      <c r="AI17" s="5">
        <f t="shared" si="7"/>
        <v>1</v>
      </c>
      <c r="AJ17" s="5">
        <f t="shared" si="7"/>
        <v>1</v>
      </c>
      <c r="AK17" s="5">
        <f t="shared" si="7"/>
        <v>1</v>
      </c>
      <c r="AL17" s="5">
        <f t="shared" si="8"/>
        <v>1</v>
      </c>
      <c r="AM17" s="5">
        <f t="shared" si="8"/>
        <v>1</v>
      </c>
      <c r="AN17" s="5">
        <f t="shared" si="8"/>
        <v>1</v>
      </c>
      <c r="AO17" s="5">
        <f t="shared" si="8"/>
        <v>1</v>
      </c>
      <c r="AP17" s="5">
        <f t="shared" si="8"/>
        <v>1</v>
      </c>
      <c r="AQ17" s="5">
        <f t="shared" si="8"/>
        <v>1</v>
      </c>
      <c r="AR17" s="5">
        <f t="shared" si="8"/>
        <v>1</v>
      </c>
      <c r="AS17" s="5">
        <f t="shared" si="8"/>
        <v>1</v>
      </c>
      <c r="AT17" s="5">
        <f t="shared" si="8"/>
        <v>1</v>
      </c>
      <c r="AU17" s="5">
        <f t="shared" si="8"/>
        <v>1</v>
      </c>
      <c r="AV17" s="5">
        <f>ROUNDDOWN(ROUND((12*IF((DATE(AV$1,12,31))&lt;$C17,0,IF(YEAR($C17)=AV$1,(DATE(((AV$1)+1),1,1)-$C17)/365.25,IF(AV$1=YEAR($D17),($D17-(DATE(((AV$1)-1),12,31)))/365.25,IF(YEAR($D17)&lt;AV$1,0,1))))),1),0)/12</f>
        <v>1</v>
      </c>
      <c r="AW17" s="5">
        <f>ROUNDDOWN(ROUND((12*IF((DATE(AW$1,12,31))&lt;$C17,0,IF(YEAR($C17)=AW$1,(DATE(((AW$1)+1),1,1)-$C17)/365.25,IF(AW$1=YEAR($D17),($D17-(DATE(((AW$1)-1),12,31)))/365.25,IF(YEAR($D17)&lt;AW$1,0,1))))),1),0)/12</f>
        <v>1</v>
      </c>
      <c r="AX17" s="5">
        <f>ROUNDDOWN(ROUND((12*IF((DATE(AX$1,12,31))&lt;$C17,0,IF(YEAR($C17)=AX$1,(DATE(((AX$1)+1),1,1)-$C17)/365.25,IF(AX$1=YEAR($D17),($D17-(DATE(((AX$1)-1),12,31)))/365.25,IF(YEAR($D17)&lt;AX$1,0,1))))),1),0)/12</f>
        <v>1</v>
      </c>
      <c r="AY17" s="5">
        <f>ROUNDDOWN(ROUND((12*IF((DATE(AY$1,12,31))&lt;$C17,0,IF(YEAR($C17)=AY$1,(DATE(((AY$1)+1),1,1)-$C17)/365.25,IF(AY$1=YEAR($D17),($D17-(DATE(((AY$1)-1),12,31)))/365.25,IF(YEAR($D17)&lt;AY$1,0,1))))),1),0)/12</f>
        <v>1</v>
      </c>
      <c r="AZ17" s="5">
        <f>ROUNDDOWN(ROUND((12*IF((DATE(AZ$1,12,31))&lt;$C17,0,IF(YEAR($C17)=AZ$1,(DATE(((AZ$1)+1),1,1)-$C17)/365.25,IF(AZ$1=YEAR($D17),($D17-(DATE(((AZ$1)-1),12,31)))/365.25,IF(YEAR($D17)&lt;AZ$1,0,1))))),1),0)/12</f>
        <v>1</v>
      </c>
      <c r="BA17" s="5">
        <f>ROUNDDOWN(ROUND((12*IF((DATE(BA$1,12,31))&lt;$C17,0,IF(YEAR($C17)=BA$1,(DATE(((BA$1)+1),1,1)-$C17)/365.25,IF(BA$1=YEAR($D17),($D17-(DATE(((BA$1)-1),12,31)))/365.25,IF(YEAR($D17)&lt;BA$1,0,1))))),1),0)/12</f>
        <v>1</v>
      </c>
      <c r="BB17" s="5">
        <f>ROUNDDOWN(ROUND((12*IF((DATE(BB$1,12,31))&lt;$C17,0,IF(YEAR($C17)=BB$1,(DATE(((BB$1)+1),1,1)-$C17)/365.25,IF(BB$1=YEAR($D17),($D17-(DATE(((BB$1)-1),12,31)))/365.25,IF(YEAR($D17)&lt;BB$1,0,1))))),1),0)/12</f>
        <v>1</v>
      </c>
      <c r="BC17" s="5">
        <f>ROUNDDOWN(ROUND((12*IF((DATE(BC$1,12,31))&lt;$C17,0,IF(YEAR($C17)=BC$1,(DATE(((BC$1)+1),1,1)-$C17)/365.25,IF(BC$1=YEAR($D17),($D17-(DATE(((BC$1)-1),12,31)))/365.25,IF(YEAR($D17)&lt;BC$1,0,1))))),1),0)/12</f>
        <v>1</v>
      </c>
    </row>
    <row r="18" spans="1:55" x14ac:dyDescent="0.25">
      <c r="A18" s="132">
        <v>500</v>
      </c>
      <c r="B18" s="133">
        <v>772</v>
      </c>
      <c r="C18" s="134">
        <v>38187</v>
      </c>
      <c r="D18" s="161">
        <v>50192</v>
      </c>
      <c r="G18" s="5">
        <f t="shared" si="0"/>
        <v>0</v>
      </c>
      <c r="H18" s="5">
        <f t="shared" si="5"/>
        <v>0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  <c r="N18" s="5">
        <f t="shared" si="5"/>
        <v>0</v>
      </c>
      <c r="O18" s="5">
        <f t="shared" si="5"/>
        <v>0</v>
      </c>
      <c r="P18" s="5">
        <f t="shared" si="5"/>
        <v>0</v>
      </c>
      <c r="Q18" s="5">
        <f t="shared" si="5"/>
        <v>0</v>
      </c>
      <c r="R18" s="5">
        <f t="shared" si="6"/>
        <v>0</v>
      </c>
      <c r="S18" s="5">
        <f t="shared" si="6"/>
        <v>0</v>
      </c>
      <c r="T18" s="5">
        <f t="shared" si="6"/>
        <v>0</v>
      </c>
      <c r="U18" s="5">
        <f t="shared" si="6"/>
        <v>0</v>
      </c>
      <c r="V18" s="5">
        <f t="shared" si="6"/>
        <v>0</v>
      </c>
      <c r="W18" s="5">
        <f t="shared" si="6"/>
        <v>0</v>
      </c>
      <c r="X18" s="5">
        <f t="shared" si="6"/>
        <v>0</v>
      </c>
      <c r="Y18" s="5">
        <f t="shared" si="6"/>
        <v>0</v>
      </c>
      <c r="Z18" s="5">
        <f t="shared" si="6"/>
        <v>0</v>
      </c>
      <c r="AA18" s="5">
        <f t="shared" si="6"/>
        <v>0</v>
      </c>
      <c r="AB18" s="5">
        <f t="shared" si="7"/>
        <v>0</v>
      </c>
      <c r="AC18" s="5">
        <f t="shared" si="7"/>
        <v>0</v>
      </c>
      <c r="AD18" s="5">
        <f t="shared" si="7"/>
        <v>0</v>
      </c>
      <c r="AE18" s="5">
        <f t="shared" si="7"/>
        <v>0</v>
      </c>
      <c r="AF18" s="5">
        <f t="shared" si="7"/>
        <v>0</v>
      </c>
      <c r="AG18" s="5">
        <f t="shared" si="7"/>
        <v>0</v>
      </c>
      <c r="AH18" s="5">
        <f t="shared" si="7"/>
        <v>0.41666666666666669</v>
      </c>
      <c r="AI18" s="5">
        <f t="shared" si="7"/>
        <v>1</v>
      </c>
      <c r="AJ18" s="5">
        <f t="shared" si="7"/>
        <v>1</v>
      </c>
      <c r="AK18" s="5">
        <f t="shared" si="7"/>
        <v>1</v>
      </c>
      <c r="AL18" s="5">
        <f t="shared" si="8"/>
        <v>1</v>
      </c>
      <c r="AM18" s="5">
        <f t="shared" si="8"/>
        <v>1</v>
      </c>
      <c r="AN18" s="5">
        <f t="shared" si="8"/>
        <v>1</v>
      </c>
      <c r="AO18" s="5">
        <f t="shared" si="8"/>
        <v>1</v>
      </c>
      <c r="AP18" s="5">
        <f t="shared" si="8"/>
        <v>1</v>
      </c>
      <c r="AQ18" s="5">
        <f t="shared" si="8"/>
        <v>1</v>
      </c>
      <c r="AR18" s="5">
        <f t="shared" si="8"/>
        <v>1</v>
      </c>
      <c r="AS18" s="5">
        <f t="shared" si="8"/>
        <v>1</v>
      </c>
      <c r="AT18" s="5">
        <f t="shared" si="8"/>
        <v>1</v>
      </c>
      <c r="AU18" s="5">
        <f t="shared" si="8"/>
        <v>1</v>
      </c>
      <c r="AV18" s="5">
        <f>ROUNDDOWN(ROUND((12*IF((DATE(AV$1,12,31))&lt;$C18,0,IF(YEAR($C18)=AV$1,(DATE(((AV$1)+1),1,1)-$C18)/365.25,IF(AV$1=YEAR($D18),($D18-(DATE(((AV$1)-1),12,31)))/365.25,IF(YEAR($D18)&lt;AV$1,0,1))))),1),0)/12</f>
        <v>1</v>
      </c>
      <c r="AW18" s="5">
        <f>ROUNDDOWN(ROUND((12*IF((DATE(AW$1,12,31))&lt;$C18,0,IF(YEAR($C18)=AW$1,(DATE(((AW$1)+1),1,1)-$C18)/365.25,IF(AW$1=YEAR($D18),($D18-(DATE(((AW$1)-1),12,31)))/365.25,IF(YEAR($D18)&lt;AW$1,0,1))))),1),0)/12</f>
        <v>1</v>
      </c>
      <c r="AX18" s="5">
        <f>ROUNDDOWN(ROUND((12*IF((DATE(AX$1,12,31))&lt;$C18,0,IF(YEAR($C18)=AX$1,(DATE(((AX$1)+1),1,1)-$C18)/365.25,IF(AX$1=YEAR($D18),($D18-(DATE(((AX$1)-1),12,31)))/365.25,IF(YEAR($D18)&lt;AX$1,0,1))))),1),0)/12</f>
        <v>1</v>
      </c>
      <c r="AY18" s="5">
        <f>ROUNDDOWN(ROUND((12*IF((DATE(AY$1,12,31))&lt;$C18,0,IF(YEAR($C18)=AY$1,(DATE(((AY$1)+1),1,1)-$C18)/365.25,IF(AY$1=YEAR($D18),($D18-(DATE(((AY$1)-1),12,31)))/365.25,IF(YEAR($D18)&lt;AY$1,0,1))))),1),0)/12</f>
        <v>1</v>
      </c>
      <c r="AZ18" s="5">
        <f>ROUNDDOWN(ROUND((12*IF((DATE(AZ$1,12,31))&lt;$C18,0,IF(YEAR($C18)=AZ$1,(DATE(((AZ$1)+1),1,1)-$C18)/365.25,IF(AZ$1=YEAR($D18),($D18-(DATE(((AZ$1)-1),12,31)))/365.25,IF(YEAR($D18)&lt;AZ$1,0,1))))),1),0)/12</f>
        <v>1</v>
      </c>
      <c r="BA18" s="5">
        <f>ROUNDDOWN(ROUND((12*IF((DATE(BA$1,12,31))&lt;$C18,0,IF(YEAR($C18)=BA$1,(DATE(((BA$1)+1),1,1)-$C18)/365.25,IF(BA$1=YEAR($D18),($D18-(DATE(((BA$1)-1),12,31)))/365.25,IF(YEAR($D18)&lt;BA$1,0,1))))),1),0)/12</f>
        <v>1</v>
      </c>
      <c r="BB18" s="5">
        <f>ROUNDDOWN(ROUND((12*IF((DATE(BB$1,12,31))&lt;$C18,0,IF(YEAR($C18)=BB$1,(DATE(((BB$1)+1),1,1)-$C18)/365.25,IF(BB$1=YEAR($D18),($D18-(DATE(((BB$1)-1),12,31)))/365.25,IF(YEAR($D18)&lt;BB$1,0,1))))),1),0)/12</f>
        <v>1</v>
      </c>
      <c r="BC18" s="5">
        <f>ROUNDDOWN(ROUND((12*IF((DATE(BC$1,12,31))&lt;$C18,0,IF(YEAR($C18)=BC$1,(DATE(((BC$1)+1),1,1)-$C18)/365.25,IF(BC$1=YEAR($D18),($D18-(DATE(((BC$1)-1),12,31)))/365.25,IF(YEAR($D18)&lt;BC$1,0,1))))),1),0)/12</f>
        <v>1</v>
      </c>
    </row>
    <row r="19" spans="1:55" x14ac:dyDescent="0.25">
      <c r="A19" s="132">
        <v>500</v>
      </c>
      <c r="B19" s="133">
        <v>771</v>
      </c>
      <c r="C19" s="134">
        <v>38169</v>
      </c>
      <c r="D19" s="161">
        <v>53966</v>
      </c>
      <c r="G19" s="5">
        <f t="shared" si="0"/>
        <v>0</v>
      </c>
      <c r="H19" s="5">
        <f t="shared" si="5"/>
        <v>0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0</v>
      </c>
      <c r="R19" s="5">
        <f t="shared" si="6"/>
        <v>0</v>
      </c>
      <c r="S19" s="5">
        <f t="shared" si="6"/>
        <v>0</v>
      </c>
      <c r="T19" s="5">
        <f t="shared" si="6"/>
        <v>0</v>
      </c>
      <c r="U19" s="5">
        <f t="shared" si="6"/>
        <v>0</v>
      </c>
      <c r="V19" s="5">
        <f t="shared" si="6"/>
        <v>0</v>
      </c>
      <c r="W19" s="5">
        <f t="shared" si="6"/>
        <v>0</v>
      </c>
      <c r="X19" s="5">
        <f t="shared" si="6"/>
        <v>0</v>
      </c>
      <c r="Y19" s="5">
        <f t="shared" si="6"/>
        <v>0</v>
      </c>
      <c r="Z19" s="5">
        <f t="shared" si="6"/>
        <v>0</v>
      </c>
      <c r="AA19" s="5">
        <f t="shared" si="6"/>
        <v>0</v>
      </c>
      <c r="AB19" s="5">
        <f t="shared" si="7"/>
        <v>0</v>
      </c>
      <c r="AC19" s="5">
        <f t="shared" si="7"/>
        <v>0</v>
      </c>
      <c r="AD19" s="5">
        <f t="shared" si="7"/>
        <v>0</v>
      </c>
      <c r="AE19" s="5">
        <f t="shared" si="7"/>
        <v>0</v>
      </c>
      <c r="AF19" s="5">
        <f t="shared" si="7"/>
        <v>0</v>
      </c>
      <c r="AG19" s="5">
        <f t="shared" si="7"/>
        <v>0</v>
      </c>
      <c r="AH19" s="5">
        <f t="shared" si="7"/>
        <v>0.5</v>
      </c>
      <c r="AI19" s="5">
        <f t="shared" si="7"/>
        <v>1</v>
      </c>
      <c r="AJ19" s="5">
        <f t="shared" si="7"/>
        <v>1</v>
      </c>
      <c r="AK19" s="5">
        <f t="shared" si="7"/>
        <v>1</v>
      </c>
      <c r="AL19" s="5">
        <f t="shared" si="8"/>
        <v>1</v>
      </c>
      <c r="AM19" s="5">
        <f t="shared" si="8"/>
        <v>1</v>
      </c>
      <c r="AN19" s="5">
        <f t="shared" si="8"/>
        <v>1</v>
      </c>
      <c r="AO19" s="5">
        <f t="shared" si="8"/>
        <v>1</v>
      </c>
      <c r="AP19" s="5">
        <f t="shared" si="8"/>
        <v>1</v>
      </c>
      <c r="AQ19" s="5">
        <f t="shared" si="8"/>
        <v>1</v>
      </c>
      <c r="AR19" s="5">
        <f t="shared" si="8"/>
        <v>1</v>
      </c>
      <c r="AS19" s="5">
        <f t="shared" si="8"/>
        <v>1</v>
      </c>
      <c r="AT19" s="5">
        <f t="shared" si="8"/>
        <v>1</v>
      </c>
      <c r="AU19" s="5">
        <f t="shared" si="8"/>
        <v>1</v>
      </c>
      <c r="AV19" s="5">
        <f>ROUNDDOWN(ROUND((12*IF((DATE(AV$1,12,31))&lt;$C19,0,IF(YEAR($C19)=AV$1,(DATE(((AV$1)+1),1,1)-$C19)/365.25,IF(AV$1=YEAR($D19),($D19-(DATE(((AV$1)-1),12,31)))/365.25,IF(YEAR($D19)&lt;AV$1,0,1))))),1),0)/12</f>
        <v>1</v>
      </c>
      <c r="AW19" s="5">
        <f>ROUNDDOWN(ROUND((12*IF((DATE(AW$1,12,31))&lt;$C19,0,IF(YEAR($C19)=AW$1,(DATE(((AW$1)+1),1,1)-$C19)/365.25,IF(AW$1=YEAR($D19),($D19-(DATE(((AW$1)-1),12,31)))/365.25,IF(YEAR($D19)&lt;AW$1,0,1))))),1),0)/12</f>
        <v>1</v>
      </c>
      <c r="AX19" s="5">
        <f>ROUNDDOWN(ROUND((12*IF((DATE(AX$1,12,31))&lt;$C19,0,IF(YEAR($C19)=AX$1,(DATE(((AX$1)+1),1,1)-$C19)/365.25,IF(AX$1=YEAR($D19),($D19-(DATE(((AX$1)-1),12,31)))/365.25,IF(YEAR($D19)&lt;AX$1,0,1))))),1),0)/12</f>
        <v>1</v>
      </c>
      <c r="AY19" s="5">
        <f>ROUNDDOWN(ROUND((12*IF((DATE(AY$1,12,31))&lt;$C19,0,IF(YEAR($C19)=AY$1,(DATE(((AY$1)+1),1,1)-$C19)/365.25,IF(AY$1=YEAR($D19),($D19-(DATE(((AY$1)-1),12,31)))/365.25,IF(YEAR($D19)&lt;AY$1,0,1))))),1),0)/12</f>
        <v>1</v>
      </c>
      <c r="AZ19" s="5">
        <f>ROUNDDOWN(ROUND((12*IF((DATE(AZ$1,12,31))&lt;$C19,0,IF(YEAR($C19)=AZ$1,(DATE(((AZ$1)+1),1,1)-$C19)/365.25,IF(AZ$1=YEAR($D19),($D19-(DATE(((AZ$1)-1),12,31)))/365.25,IF(YEAR($D19)&lt;AZ$1,0,1))))),1),0)/12</f>
        <v>1</v>
      </c>
      <c r="BA19" s="5">
        <f>ROUNDDOWN(ROUND((12*IF((DATE(BA$1,12,31))&lt;$C19,0,IF(YEAR($C19)=BA$1,(DATE(((BA$1)+1),1,1)-$C19)/365.25,IF(BA$1=YEAR($D19),($D19-(DATE(((BA$1)-1),12,31)))/365.25,IF(YEAR($D19)&lt;BA$1,0,1))))),1),0)/12</f>
        <v>1</v>
      </c>
      <c r="BB19" s="5">
        <f>ROUNDDOWN(ROUND((12*IF((DATE(BB$1,12,31))&lt;$C19,0,IF(YEAR($C19)=BB$1,(DATE(((BB$1)+1),1,1)-$C19)/365.25,IF(BB$1=YEAR($D19),($D19-(DATE(((BB$1)-1),12,31)))/365.25,IF(YEAR($D19)&lt;BB$1,0,1))))),1),0)/12</f>
        <v>1</v>
      </c>
      <c r="BC19" s="5">
        <f>ROUNDDOWN(ROUND((12*IF((DATE(BC$1,12,31))&lt;$C19,0,IF(YEAR($C19)=BC$1,(DATE(((BC$1)+1),1,1)-$C19)/365.25,IF(BC$1=YEAR($D19),($D19-(DATE(((BC$1)-1),12,31)))/365.25,IF(YEAR($D19)&lt;BC$1,0,1))))),1),0)/12</f>
        <v>1</v>
      </c>
    </row>
    <row r="20" spans="1:55" x14ac:dyDescent="0.25">
      <c r="A20" s="132">
        <v>500</v>
      </c>
      <c r="B20" s="133">
        <v>768</v>
      </c>
      <c r="C20" s="134">
        <v>38110</v>
      </c>
      <c r="D20" s="161">
        <v>47088</v>
      </c>
      <c r="G20" s="5">
        <f t="shared" si="0"/>
        <v>0</v>
      </c>
      <c r="H20" s="5">
        <f t="shared" si="5"/>
        <v>0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  <c r="N20" s="5">
        <f t="shared" si="5"/>
        <v>0</v>
      </c>
      <c r="O20" s="5">
        <f t="shared" si="5"/>
        <v>0</v>
      </c>
      <c r="P20" s="5">
        <f t="shared" si="5"/>
        <v>0</v>
      </c>
      <c r="Q20" s="5">
        <f t="shared" si="5"/>
        <v>0</v>
      </c>
      <c r="R20" s="5">
        <f t="shared" si="6"/>
        <v>0</v>
      </c>
      <c r="S20" s="5">
        <f t="shared" si="6"/>
        <v>0</v>
      </c>
      <c r="T20" s="5">
        <f t="shared" si="6"/>
        <v>0</v>
      </c>
      <c r="U20" s="5">
        <f t="shared" si="6"/>
        <v>0</v>
      </c>
      <c r="V20" s="5">
        <f t="shared" si="6"/>
        <v>0</v>
      </c>
      <c r="W20" s="5">
        <f t="shared" si="6"/>
        <v>0</v>
      </c>
      <c r="X20" s="5">
        <f t="shared" si="6"/>
        <v>0</v>
      </c>
      <c r="Y20" s="5">
        <f t="shared" si="6"/>
        <v>0</v>
      </c>
      <c r="Z20" s="5">
        <f t="shared" si="6"/>
        <v>0</v>
      </c>
      <c r="AA20" s="5">
        <f t="shared" si="6"/>
        <v>0</v>
      </c>
      <c r="AB20" s="5">
        <f t="shared" si="7"/>
        <v>0</v>
      </c>
      <c r="AC20" s="5">
        <f t="shared" si="7"/>
        <v>0</v>
      </c>
      <c r="AD20" s="5">
        <f t="shared" si="7"/>
        <v>0</v>
      </c>
      <c r="AE20" s="5">
        <f t="shared" si="7"/>
        <v>0</v>
      </c>
      <c r="AF20" s="5">
        <f t="shared" si="7"/>
        <v>0</v>
      </c>
      <c r="AG20" s="5">
        <f t="shared" si="7"/>
        <v>0</v>
      </c>
      <c r="AH20" s="5">
        <f t="shared" si="7"/>
        <v>0.66666666666666663</v>
      </c>
      <c r="AI20" s="5">
        <f t="shared" si="7"/>
        <v>1</v>
      </c>
      <c r="AJ20" s="5">
        <f t="shared" si="7"/>
        <v>1</v>
      </c>
      <c r="AK20" s="5">
        <f t="shared" si="7"/>
        <v>1</v>
      </c>
      <c r="AL20" s="5">
        <f t="shared" si="8"/>
        <v>1</v>
      </c>
      <c r="AM20" s="5">
        <f t="shared" si="8"/>
        <v>1</v>
      </c>
      <c r="AN20" s="5">
        <f t="shared" si="8"/>
        <v>1</v>
      </c>
      <c r="AO20" s="5">
        <f t="shared" si="8"/>
        <v>1</v>
      </c>
      <c r="AP20" s="5">
        <f t="shared" si="8"/>
        <v>1</v>
      </c>
      <c r="AQ20" s="5">
        <f t="shared" si="8"/>
        <v>1</v>
      </c>
      <c r="AR20" s="5">
        <f t="shared" si="8"/>
        <v>1</v>
      </c>
      <c r="AS20" s="5">
        <f t="shared" si="8"/>
        <v>1</v>
      </c>
      <c r="AT20" s="5">
        <f t="shared" si="8"/>
        <v>1</v>
      </c>
      <c r="AU20" s="5">
        <f t="shared" si="8"/>
        <v>1</v>
      </c>
      <c r="AV20" s="5">
        <f>ROUNDDOWN(ROUND((12*IF((DATE(AV$1,12,31))&lt;$C20,0,IF(YEAR($C20)=AV$1,(DATE(((AV$1)+1),1,1)-$C20)/365.25,IF(AV$1=YEAR($D20),($D20-(DATE(((AV$1)-1),12,31)))/365.25,IF(YEAR($D20)&lt;AV$1,0,1))))),1),0)/12</f>
        <v>1</v>
      </c>
      <c r="AW20" s="5">
        <f>ROUNDDOWN(ROUND((12*IF((DATE(AW$1,12,31))&lt;$C20,0,IF(YEAR($C20)=AW$1,(DATE(((AW$1)+1),1,1)-$C20)/365.25,IF(AW$1=YEAR($D20),($D20-(DATE(((AW$1)-1),12,31)))/365.25,IF(YEAR($D20)&lt;AW$1,0,1))))),1),0)/12</f>
        <v>1</v>
      </c>
      <c r="AX20" s="5">
        <f>ROUNDDOWN(ROUND((12*IF((DATE(AX$1,12,31))&lt;$C20,0,IF(YEAR($C20)=AX$1,(DATE(((AX$1)+1),1,1)-$C20)/365.25,IF(AX$1=YEAR($D20),($D20-(DATE(((AX$1)-1),12,31)))/365.25,IF(YEAR($D20)&lt;AX$1,0,1))))),1),0)/12</f>
        <v>1</v>
      </c>
      <c r="AY20" s="5">
        <f>ROUNDDOWN(ROUND((12*IF((DATE(AY$1,12,31))&lt;$C20,0,IF(YEAR($C20)=AY$1,(DATE(((AY$1)+1),1,1)-$C20)/365.25,IF(AY$1=YEAR($D20),($D20-(DATE(((AY$1)-1),12,31)))/365.25,IF(YEAR($D20)&lt;AY$1,0,1))))),1),0)/12</f>
        <v>1</v>
      </c>
      <c r="AZ20" s="5">
        <f>ROUNDDOWN(ROUND((12*IF((DATE(AZ$1,12,31))&lt;$C20,0,IF(YEAR($C20)=AZ$1,(DATE(((AZ$1)+1),1,1)-$C20)/365.25,IF(AZ$1=YEAR($D20),($D20-(DATE(((AZ$1)-1),12,31)))/365.25,IF(YEAR($D20)&lt;AZ$1,0,1))))),1),0)/12</f>
        <v>1</v>
      </c>
      <c r="BA20" s="5">
        <f>ROUNDDOWN(ROUND((12*IF((DATE(BA$1,12,31))&lt;$C20,0,IF(YEAR($C20)=BA$1,(DATE(((BA$1)+1),1,1)-$C20)/365.25,IF(BA$1=YEAR($D20),($D20-(DATE(((BA$1)-1),12,31)))/365.25,IF(YEAR($D20)&lt;BA$1,0,1))))),1),0)/12</f>
        <v>1</v>
      </c>
      <c r="BB20" s="5">
        <f>ROUNDDOWN(ROUND((12*IF((DATE(BB$1,12,31))&lt;$C20,0,IF(YEAR($C20)=BB$1,(DATE(((BB$1)+1),1,1)-$C20)/365.25,IF(BB$1=YEAR($D20),($D20-(DATE(((BB$1)-1),12,31)))/365.25,IF(YEAR($D20)&lt;BB$1,0,1))))),1),0)/12</f>
        <v>1</v>
      </c>
      <c r="BC20" s="5">
        <f>ROUNDDOWN(ROUND((12*IF((DATE(BC$1,12,31))&lt;$C20,0,IF(YEAR($C20)=BC$1,(DATE(((BC$1)+1),1,1)-$C20)/365.25,IF(BC$1=YEAR($D20),($D20-(DATE(((BC$1)-1),12,31)))/365.25,IF(YEAR($D20)&lt;BC$1,0,1))))),1),0)/12</f>
        <v>1</v>
      </c>
    </row>
    <row r="21" spans="1:55" x14ac:dyDescent="0.25">
      <c r="A21" s="132">
        <v>500</v>
      </c>
      <c r="B21" s="133">
        <v>767</v>
      </c>
      <c r="C21" s="134">
        <v>38061</v>
      </c>
      <c r="D21" s="161">
        <v>51653</v>
      </c>
      <c r="G21" s="5">
        <f t="shared" si="0"/>
        <v>0</v>
      </c>
      <c r="H21" s="5">
        <f t="shared" si="5"/>
        <v>0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  <c r="N21" s="5">
        <f t="shared" si="5"/>
        <v>0</v>
      </c>
      <c r="O21" s="5">
        <f t="shared" si="5"/>
        <v>0</v>
      </c>
      <c r="P21" s="5">
        <f t="shared" si="5"/>
        <v>0</v>
      </c>
      <c r="Q21" s="5">
        <f t="shared" si="5"/>
        <v>0</v>
      </c>
      <c r="R21" s="5">
        <f t="shared" si="6"/>
        <v>0</v>
      </c>
      <c r="S21" s="5">
        <f t="shared" si="6"/>
        <v>0</v>
      </c>
      <c r="T21" s="5">
        <f t="shared" si="6"/>
        <v>0</v>
      </c>
      <c r="U21" s="5">
        <f t="shared" si="6"/>
        <v>0</v>
      </c>
      <c r="V21" s="5">
        <f t="shared" si="6"/>
        <v>0</v>
      </c>
      <c r="W21" s="5">
        <f t="shared" si="6"/>
        <v>0</v>
      </c>
      <c r="X21" s="5">
        <f t="shared" si="6"/>
        <v>0</v>
      </c>
      <c r="Y21" s="5">
        <f t="shared" si="6"/>
        <v>0</v>
      </c>
      <c r="Z21" s="5">
        <f t="shared" si="6"/>
        <v>0</v>
      </c>
      <c r="AA21" s="5">
        <f t="shared" si="6"/>
        <v>0</v>
      </c>
      <c r="AB21" s="5">
        <f t="shared" si="7"/>
        <v>0</v>
      </c>
      <c r="AC21" s="5">
        <f t="shared" si="7"/>
        <v>0</v>
      </c>
      <c r="AD21" s="5">
        <f t="shared" si="7"/>
        <v>0</v>
      </c>
      <c r="AE21" s="5">
        <f t="shared" si="7"/>
        <v>0</v>
      </c>
      <c r="AF21" s="5">
        <f t="shared" si="7"/>
        <v>0</v>
      </c>
      <c r="AG21" s="5">
        <f t="shared" si="7"/>
        <v>0</v>
      </c>
      <c r="AH21" s="5">
        <f t="shared" si="7"/>
        <v>0.75</v>
      </c>
      <c r="AI21" s="5">
        <f t="shared" si="7"/>
        <v>1</v>
      </c>
      <c r="AJ21" s="5">
        <f t="shared" si="7"/>
        <v>1</v>
      </c>
      <c r="AK21" s="5">
        <f t="shared" si="7"/>
        <v>1</v>
      </c>
      <c r="AL21" s="5">
        <f t="shared" si="8"/>
        <v>1</v>
      </c>
      <c r="AM21" s="5">
        <f t="shared" si="8"/>
        <v>1</v>
      </c>
      <c r="AN21" s="5">
        <f t="shared" si="8"/>
        <v>1</v>
      </c>
      <c r="AO21" s="5">
        <f t="shared" si="8"/>
        <v>1</v>
      </c>
      <c r="AP21" s="5">
        <f t="shared" si="8"/>
        <v>1</v>
      </c>
      <c r="AQ21" s="5">
        <f t="shared" si="8"/>
        <v>1</v>
      </c>
      <c r="AR21" s="5">
        <f t="shared" si="8"/>
        <v>1</v>
      </c>
      <c r="AS21" s="5">
        <f t="shared" si="8"/>
        <v>1</v>
      </c>
      <c r="AT21" s="5">
        <f t="shared" si="8"/>
        <v>1</v>
      </c>
      <c r="AU21" s="5">
        <f t="shared" si="8"/>
        <v>1</v>
      </c>
      <c r="AV21" s="5">
        <f>ROUNDDOWN(ROUND((12*IF((DATE(AV$1,12,31))&lt;$C21,0,IF(YEAR($C21)=AV$1,(DATE(((AV$1)+1),1,1)-$C21)/365.25,IF(AV$1=YEAR($D21),($D21-(DATE(((AV$1)-1),12,31)))/365.25,IF(YEAR($D21)&lt;AV$1,0,1))))),1),0)/12</f>
        <v>1</v>
      </c>
      <c r="AW21" s="5">
        <f>ROUNDDOWN(ROUND((12*IF((DATE(AW$1,12,31))&lt;$C21,0,IF(YEAR($C21)=AW$1,(DATE(((AW$1)+1),1,1)-$C21)/365.25,IF(AW$1=YEAR($D21),($D21-(DATE(((AW$1)-1),12,31)))/365.25,IF(YEAR($D21)&lt;AW$1,0,1))))),1),0)/12</f>
        <v>1</v>
      </c>
      <c r="AX21" s="5">
        <f>ROUNDDOWN(ROUND((12*IF((DATE(AX$1,12,31))&lt;$C21,0,IF(YEAR($C21)=AX$1,(DATE(((AX$1)+1),1,1)-$C21)/365.25,IF(AX$1=YEAR($D21),($D21-(DATE(((AX$1)-1),12,31)))/365.25,IF(YEAR($D21)&lt;AX$1,0,1))))),1),0)/12</f>
        <v>1</v>
      </c>
      <c r="AY21" s="5">
        <f>ROUNDDOWN(ROUND((12*IF((DATE(AY$1,12,31))&lt;$C21,0,IF(YEAR($C21)=AY$1,(DATE(((AY$1)+1),1,1)-$C21)/365.25,IF(AY$1=YEAR($D21),($D21-(DATE(((AY$1)-1),12,31)))/365.25,IF(YEAR($D21)&lt;AY$1,0,1))))),1),0)/12</f>
        <v>1</v>
      </c>
      <c r="AZ21" s="5">
        <f>ROUNDDOWN(ROUND((12*IF((DATE(AZ$1,12,31))&lt;$C21,0,IF(YEAR($C21)=AZ$1,(DATE(((AZ$1)+1),1,1)-$C21)/365.25,IF(AZ$1=YEAR($D21),($D21-(DATE(((AZ$1)-1),12,31)))/365.25,IF(YEAR($D21)&lt;AZ$1,0,1))))),1),0)/12</f>
        <v>1</v>
      </c>
      <c r="BA21" s="5">
        <f>ROUNDDOWN(ROUND((12*IF((DATE(BA$1,12,31))&lt;$C21,0,IF(YEAR($C21)=BA$1,(DATE(((BA$1)+1),1,1)-$C21)/365.25,IF(BA$1=YEAR($D21),($D21-(DATE(((BA$1)-1),12,31)))/365.25,IF(YEAR($D21)&lt;BA$1,0,1))))),1),0)/12</f>
        <v>1</v>
      </c>
      <c r="BB21" s="5">
        <f>ROUNDDOWN(ROUND((12*IF((DATE(BB$1,12,31))&lt;$C21,0,IF(YEAR($C21)=BB$1,(DATE(((BB$1)+1),1,1)-$C21)/365.25,IF(BB$1=YEAR($D21),($D21-(DATE(((BB$1)-1),12,31)))/365.25,IF(YEAR($D21)&lt;BB$1,0,1))))),1),0)/12</f>
        <v>1</v>
      </c>
      <c r="BC21" s="5">
        <f>ROUNDDOWN(ROUND((12*IF((DATE(BC$1,12,31))&lt;$C21,0,IF(YEAR($C21)=BC$1,(DATE(((BC$1)+1),1,1)-$C21)/365.25,IF(BC$1=YEAR($D21),($D21-(DATE(((BC$1)-1),12,31)))/365.25,IF(YEAR($D21)&lt;BC$1,0,1))))),1),0)/12</f>
        <v>1</v>
      </c>
    </row>
    <row r="22" spans="1:55" x14ac:dyDescent="0.25">
      <c r="A22" s="132">
        <v>500</v>
      </c>
      <c r="B22" s="133">
        <v>766</v>
      </c>
      <c r="C22" s="134">
        <v>37991</v>
      </c>
      <c r="D22" s="161">
        <v>47270</v>
      </c>
      <c r="G22" s="5">
        <f t="shared" si="0"/>
        <v>0</v>
      </c>
      <c r="H22" s="5">
        <f t="shared" si="5"/>
        <v>0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6"/>
        <v>0</v>
      </c>
      <c r="S22" s="5">
        <f t="shared" si="6"/>
        <v>0</v>
      </c>
      <c r="T22" s="5">
        <f t="shared" si="6"/>
        <v>0</v>
      </c>
      <c r="U22" s="5">
        <f t="shared" si="6"/>
        <v>0</v>
      </c>
      <c r="V22" s="5">
        <f t="shared" si="6"/>
        <v>0</v>
      </c>
      <c r="W22" s="5">
        <f t="shared" si="6"/>
        <v>0</v>
      </c>
      <c r="X22" s="5">
        <f t="shared" si="6"/>
        <v>0</v>
      </c>
      <c r="Y22" s="5">
        <f t="shared" si="6"/>
        <v>0</v>
      </c>
      <c r="Z22" s="5">
        <f t="shared" si="6"/>
        <v>0</v>
      </c>
      <c r="AA22" s="5">
        <f t="shared" si="6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0.91666666666666663</v>
      </c>
      <c r="AI22" s="5">
        <f t="shared" si="7"/>
        <v>1</v>
      </c>
      <c r="AJ22" s="5">
        <f t="shared" si="7"/>
        <v>1</v>
      </c>
      <c r="AK22" s="5">
        <f t="shared" si="7"/>
        <v>1</v>
      </c>
      <c r="AL22" s="5">
        <f t="shared" si="8"/>
        <v>1</v>
      </c>
      <c r="AM22" s="5">
        <f t="shared" si="8"/>
        <v>1</v>
      </c>
      <c r="AN22" s="5">
        <f t="shared" si="8"/>
        <v>1</v>
      </c>
      <c r="AO22" s="5">
        <f t="shared" si="8"/>
        <v>1</v>
      </c>
      <c r="AP22" s="5">
        <f t="shared" si="8"/>
        <v>1</v>
      </c>
      <c r="AQ22" s="5">
        <f t="shared" si="8"/>
        <v>1</v>
      </c>
      <c r="AR22" s="5">
        <f t="shared" si="8"/>
        <v>1</v>
      </c>
      <c r="AS22" s="5">
        <f t="shared" si="8"/>
        <v>1</v>
      </c>
      <c r="AT22" s="5">
        <f t="shared" si="8"/>
        <v>1</v>
      </c>
      <c r="AU22" s="5">
        <f t="shared" si="8"/>
        <v>1</v>
      </c>
      <c r="AV22" s="5">
        <f>ROUNDDOWN(ROUND((12*IF((DATE(AV$1,12,31))&lt;$C22,0,IF(YEAR($C22)=AV$1,(DATE(((AV$1)+1),1,1)-$C22)/365.25,IF(AV$1=YEAR($D22),($D22-(DATE(((AV$1)-1),12,31)))/365.25,IF(YEAR($D22)&lt;AV$1,0,1))))),1),0)/12</f>
        <v>1</v>
      </c>
      <c r="AW22" s="5">
        <f>ROUNDDOWN(ROUND((12*IF((DATE(AW$1,12,31))&lt;$C22,0,IF(YEAR($C22)=AW$1,(DATE(((AW$1)+1),1,1)-$C22)/365.25,IF(AW$1=YEAR($D22),($D22-(DATE(((AW$1)-1),12,31)))/365.25,IF(YEAR($D22)&lt;AW$1,0,1))))),1),0)/12</f>
        <v>1</v>
      </c>
      <c r="AX22" s="5">
        <f>ROUNDDOWN(ROUND((12*IF((DATE(AX$1,12,31))&lt;$C22,0,IF(YEAR($C22)=AX$1,(DATE(((AX$1)+1),1,1)-$C22)/365.25,IF(AX$1=YEAR($D22),($D22-(DATE(((AX$1)-1),12,31)))/365.25,IF(YEAR($D22)&lt;AX$1,0,1))))),1),0)/12</f>
        <v>1</v>
      </c>
      <c r="AY22" s="5">
        <f>ROUNDDOWN(ROUND((12*IF((DATE(AY$1,12,31))&lt;$C22,0,IF(YEAR($C22)=AY$1,(DATE(((AY$1)+1),1,1)-$C22)/365.25,IF(AY$1=YEAR($D22),($D22-(DATE(((AY$1)-1),12,31)))/365.25,IF(YEAR($D22)&lt;AY$1,0,1))))),1),0)/12</f>
        <v>1</v>
      </c>
      <c r="AZ22" s="5">
        <f>ROUNDDOWN(ROUND((12*IF((DATE(AZ$1,12,31))&lt;$C22,0,IF(YEAR($C22)=AZ$1,(DATE(((AZ$1)+1),1,1)-$C22)/365.25,IF(AZ$1=YEAR($D22),($D22-(DATE(((AZ$1)-1),12,31)))/365.25,IF(YEAR($D22)&lt;AZ$1,0,1))))),1),0)/12</f>
        <v>1</v>
      </c>
      <c r="BA22" s="5">
        <f>ROUNDDOWN(ROUND((12*IF((DATE(BA$1,12,31))&lt;$C22,0,IF(YEAR($C22)=BA$1,(DATE(((BA$1)+1),1,1)-$C22)/365.25,IF(BA$1=YEAR($D22),($D22-(DATE(((BA$1)-1),12,31)))/365.25,IF(YEAR($D22)&lt;BA$1,0,1))))),1),0)/12</f>
        <v>1</v>
      </c>
      <c r="BB22" s="5">
        <f>ROUNDDOWN(ROUND((12*IF((DATE(BB$1,12,31))&lt;$C22,0,IF(YEAR($C22)=BB$1,(DATE(((BB$1)+1),1,1)-$C22)/365.25,IF(BB$1=YEAR($D22),($D22-(DATE(((BB$1)-1),12,31)))/365.25,IF(YEAR($D22)&lt;BB$1,0,1))))),1),0)/12</f>
        <v>1</v>
      </c>
      <c r="BC22" s="5">
        <f>ROUNDDOWN(ROUND((12*IF((DATE(BC$1,12,31))&lt;$C22,0,IF(YEAR($C22)=BC$1,(DATE(((BC$1)+1),1,1)-$C22)/365.25,IF(BC$1=YEAR($D22),($D22-(DATE(((BC$1)-1),12,31)))/365.25,IF(YEAR($D22)&lt;BC$1,0,1))))),1),0)/12</f>
        <v>1</v>
      </c>
    </row>
    <row r="23" spans="1:55" x14ac:dyDescent="0.25">
      <c r="A23" s="132">
        <v>500</v>
      </c>
      <c r="B23" s="133">
        <v>765</v>
      </c>
      <c r="C23" s="134">
        <v>37742</v>
      </c>
      <c r="D23" s="161">
        <v>43922</v>
      </c>
      <c r="G23" s="5">
        <f t="shared" si="0"/>
        <v>0</v>
      </c>
      <c r="H23" s="5">
        <f t="shared" si="5"/>
        <v>0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  <c r="N23" s="5">
        <f t="shared" si="5"/>
        <v>0</v>
      </c>
      <c r="O23" s="5">
        <f t="shared" si="5"/>
        <v>0</v>
      </c>
      <c r="P23" s="5">
        <f t="shared" si="5"/>
        <v>0</v>
      </c>
      <c r="Q23" s="5">
        <f t="shared" si="5"/>
        <v>0</v>
      </c>
      <c r="R23" s="5">
        <f t="shared" si="6"/>
        <v>0</v>
      </c>
      <c r="S23" s="5">
        <f t="shared" si="6"/>
        <v>0</v>
      </c>
      <c r="T23" s="5">
        <f t="shared" si="6"/>
        <v>0</v>
      </c>
      <c r="U23" s="5">
        <f t="shared" si="6"/>
        <v>0</v>
      </c>
      <c r="V23" s="5">
        <f t="shared" si="6"/>
        <v>0</v>
      </c>
      <c r="W23" s="5">
        <f t="shared" si="6"/>
        <v>0</v>
      </c>
      <c r="X23" s="5">
        <f t="shared" si="6"/>
        <v>0</v>
      </c>
      <c r="Y23" s="5">
        <f t="shared" si="6"/>
        <v>0</v>
      </c>
      <c r="Z23" s="5">
        <f t="shared" si="6"/>
        <v>0</v>
      </c>
      <c r="AA23" s="5">
        <f t="shared" si="6"/>
        <v>0</v>
      </c>
      <c r="AB23" s="5">
        <f t="shared" si="7"/>
        <v>0</v>
      </c>
      <c r="AC23" s="5">
        <f t="shared" si="7"/>
        <v>0</v>
      </c>
      <c r="AD23" s="5">
        <f t="shared" si="7"/>
        <v>0</v>
      </c>
      <c r="AE23" s="5">
        <f t="shared" si="7"/>
        <v>0</v>
      </c>
      <c r="AF23" s="5">
        <f t="shared" si="7"/>
        <v>0</v>
      </c>
      <c r="AG23" s="5">
        <f t="shared" si="7"/>
        <v>0.66666666666666663</v>
      </c>
      <c r="AH23" s="5">
        <f t="shared" si="7"/>
        <v>1</v>
      </c>
      <c r="AI23" s="5">
        <f t="shared" si="7"/>
        <v>1</v>
      </c>
      <c r="AJ23" s="5">
        <f t="shared" si="7"/>
        <v>1</v>
      </c>
      <c r="AK23" s="5">
        <f t="shared" si="7"/>
        <v>1</v>
      </c>
      <c r="AL23" s="5">
        <f t="shared" si="8"/>
        <v>1</v>
      </c>
      <c r="AM23" s="5">
        <f t="shared" si="8"/>
        <v>1</v>
      </c>
      <c r="AN23" s="5">
        <f t="shared" si="8"/>
        <v>1</v>
      </c>
      <c r="AO23" s="5">
        <f t="shared" si="8"/>
        <v>1</v>
      </c>
      <c r="AP23" s="5">
        <f t="shared" si="8"/>
        <v>1</v>
      </c>
      <c r="AQ23" s="5">
        <f t="shared" si="8"/>
        <v>1</v>
      </c>
      <c r="AR23" s="5">
        <f t="shared" si="8"/>
        <v>1</v>
      </c>
      <c r="AS23" s="5">
        <f t="shared" si="8"/>
        <v>1</v>
      </c>
      <c r="AT23" s="5">
        <f t="shared" si="8"/>
        <v>1</v>
      </c>
      <c r="AU23" s="5">
        <f t="shared" si="8"/>
        <v>1</v>
      </c>
      <c r="AV23" s="5">
        <f>ROUNDDOWN(ROUND((12*IF((DATE(AV$1,12,31))&lt;$C23,0,IF(YEAR($C23)=AV$1,(DATE(((AV$1)+1),1,1)-$C23)/365.25,IF(AV$1=YEAR($D23),($D23-(DATE(((AV$1)-1),12,31)))/365.25,IF(YEAR($D23)&lt;AV$1,0,1))))),1),0)/12</f>
        <v>1</v>
      </c>
      <c r="AW23" s="5">
        <f>ROUNDDOWN(ROUND((12*IF((DATE(AW$1,12,31))&lt;$C23,0,IF(YEAR($C23)=AW$1,(DATE(((AW$1)+1),1,1)-$C23)/365.25,IF(AW$1=YEAR($D23),($D23-(DATE(((AW$1)-1),12,31)))/365.25,IF(YEAR($D23)&lt;AW$1,0,1))))),1),0)/12</f>
        <v>1</v>
      </c>
      <c r="AX23" s="5">
        <f>ROUNDDOWN(ROUND((12*IF((DATE(AX$1,12,31))&lt;$C23,0,IF(YEAR($C23)=AX$1,(DATE(((AX$1)+1),1,1)-$C23)/365.25,IF(AX$1=YEAR($D23),($D23-(DATE(((AX$1)-1),12,31)))/365.25,IF(YEAR($D23)&lt;AX$1,0,1))))),1),0)/12</f>
        <v>0.25</v>
      </c>
      <c r="AY23" s="5">
        <f>ROUNDDOWN(ROUND((12*IF((DATE(AY$1,12,31))&lt;$C23,0,IF(YEAR($C23)=AY$1,(DATE(((AY$1)+1),1,1)-$C23)/365.25,IF(AY$1=YEAR($D23),($D23-(DATE(((AY$1)-1),12,31)))/365.25,IF(YEAR($D23)&lt;AY$1,0,1))))),1),0)/12</f>
        <v>0</v>
      </c>
      <c r="AZ23" s="5">
        <f>ROUNDDOWN(ROUND((12*IF((DATE(AZ$1,12,31))&lt;$C23,0,IF(YEAR($C23)=AZ$1,(DATE(((AZ$1)+1),1,1)-$C23)/365.25,IF(AZ$1=YEAR($D23),($D23-(DATE(((AZ$1)-1),12,31)))/365.25,IF(YEAR($D23)&lt;AZ$1,0,1))))),1),0)/12</f>
        <v>0</v>
      </c>
      <c r="BA23" s="5">
        <f>ROUNDDOWN(ROUND((12*IF((DATE(BA$1,12,31))&lt;$C23,0,IF(YEAR($C23)=BA$1,(DATE(((BA$1)+1),1,1)-$C23)/365.25,IF(BA$1=YEAR($D23),($D23-(DATE(((BA$1)-1),12,31)))/365.25,IF(YEAR($D23)&lt;BA$1,0,1))))),1),0)/12</f>
        <v>0</v>
      </c>
      <c r="BB23" s="5">
        <f>ROUNDDOWN(ROUND((12*IF((DATE(BB$1,12,31))&lt;$C23,0,IF(YEAR($C23)=BB$1,(DATE(((BB$1)+1),1,1)-$C23)/365.25,IF(BB$1=YEAR($D23),($D23-(DATE(((BB$1)-1),12,31)))/365.25,IF(YEAR($D23)&lt;BB$1,0,1))))),1),0)/12</f>
        <v>0</v>
      </c>
      <c r="BC23" s="5">
        <f>ROUNDDOWN(ROUND((12*IF((DATE(BC$1,12,31))&lt;$C23,0,IF(YEAR($C23)=BC$1,(DATE(((BC$1)+1),1,1)-$C23)/365.25,IF(BC$1=YEAR($D23),($D23-(DATE(((BC$1)-1),12,31)))/365.25,IF(YEAR($D23)&lt;BC$1,0,1))))),1),0)/12</f>
        <v>0</v>
      </c>
    </row>
    <row r="24" spans="1:55" x14ac:dyDescent="0.25">
      <c r="A24" s="132">
        <v>500</v>
      </c>
      <c r="B24" s="133">
        <v>762</v>
      </c>
      <c r="C24" s="134">
        <v>37742</v>
      </c>
      <c r="D24" s="161">
        <v>50041</v>
      </c>
      <c r="G24" s="5">
        <f t="shared" si="0"/>
        <v>0</v>
      </c>
      <c r="H24" s="5">
        <f t="shared" si="5"/>
        <v>0</v>
      </c>
      <c r="I24" s="5">
        <f t="shared" si="5"/>
        <v>0</v>
      </c>
      <c r="J24" s="5">
        <f t="shared" si="5"/>
        <v>0</v>
      </c>
      <c r="K24" s="5">
        <f t="shared" si="5"/>
        <v>0</v>
      </c>
      <c r="L24" s="5">
        <f t="shared" si="5"/>
        <v>0</v>
      </c>
      <c r="M24" s="5">
        <f t="shared" si="5"/>
        <v>0</v>
      </c>
      <c r="N24" s="5">
        <f t="shared" si="5"/>
        <v>0</v>
      </c>
      <c r="O24" s="5">
        <f t="shared" si="5"/>
        <v>0</v>
      </c>
      <c r="P24" s="5">
        <f t="shared" si="5"/>
        <v>0</v>
      </c>
      <c r="Q24" s="5">
        <f t="shared" si="5"/>
        <v>0</v>
      </c>
      <c r="R24" s="5">
        <f t="shared" si="6"/>
        <v>0</v>
      </c>
      <c r="S24" s="5">
        <f t="shared" si="6"/>
        <v>0</v>
      </c>
      <c r="T24" s="5">
        <f t="shared" si="6"/>
        <v>0</v>
      </c>
      <c r="U24" s="5">
        <f t="shared" si="6"/>
        <v>0</v>
      </c>
      <c r="V24" s="5">
        <f t="shared" si="6"/>
        <v>0</v>
      </c>
      <c r="W24" s="5">
        <f t="shared" si="6"/>
        <v>0</v>
      </c>
      <c r="X24" s="5">
        <f t="shared" si="6"/>
        <v>0</v>
      </c>
      <c r="Y24" s="5">
        <f t="shared" si="6"/>
        <v>0</v>
      </c>
      <c r="Z24" s="5">
        <f t="shared" si="6"/>
        <v>0</v>
      </c>
      <c r="AA24" s="5">
        <f t="shared" si="6"/>
        <v>0</v>
      </c>
      <c r="AB24" s="5">
        <f t="shared" si="7"/>
        <v>0</v>
      </c>
      <c r="AC24" s="5">
        <f t="shared" si="7"/>
        <v>0</v>
      </c>
      <c r="AD24" s="5">
        <f t="shared" si="7"/>
        <v>0</v>
      </c>
      <c r="AE24" s="5">
        <f t="shared" si="7"/>
        <v>0</v>
      </c>
      <c r="AF24" s="5">
        <f t="shared" si="7"/>
        <v>0</v>
      </c>
      <c r="AG24" s="5">
        <f t="shared" si="7"/>
        <v>0.66666666666666663</v>
      </c>
      <c r="AH24" s="5">
        <f t="shared" si="7"/>
        <v>1</v>
      </c>
      <c r="AI24" s="5">
        <f t="shared" si="7"/>
        <v>1</v>
      </c>
      <c r="AJ24" s="5">
        <f t="shared" si="7"/>
        <v>1</v>
      </c>
      <c r="AK24" s="5">
        <f t="shared" si="7"/>
        <v>1</v>
      </c>
      <c r="AL24" s="5">
        <f t="shared" si="8"/>
        <v>1</v>
      </c>
      <c r="AM24" s="5">
        <f t="shared" si="8"/>
        <v>1</v>
      </c>
      <c r="AN24" s="5">
        <f t="shared" si="8"/>
        <v>1</v>
      </c>
      <c r="AO24" s="5">
        <f t="shared" si="8"/>
        <v>1</v>
      </c>
      <c r="AP24" s="5">
        <f t="shared" si="8"/>
        <v>1</v>
      </c>
      <c r="AQ24" s="5">
        <f t="shared" si="8"/>
        <v>1</v>
      </c>
      <c r="AR24" s="5">
        <f t="shared" si="8"/>
        <v>1</v>
      </c>
      <c r="AS24" s="5">
        <f t="shared" si="8"/>
        <v>1</v>
      </c>
      <c r="AT24" s="5">
        <f t="shared" si="8"/>
        <v>1</v>
      </c>
      <c r="AU24" s="5">
        <f t="shared" si="8"/>
        <v>1</v>
      </c>
      <c r="AV24" s="5">
        <f>ROUNDDOWN(ROUND((12*IF((DATE(AV$1,12,31))&lt;$C24,0,IF(YEAR($C24)=AV$1,(DATE(((AV$1)+1),1,1)-$C24)/365.25,IF(AV$1=YEAR($D24),($D24-(DATE(((AV$1)-1),12,31)))/365.25,IF(YEAR($D24)&lt;AV$1,0,1))))),1),0)/12</f>
        <v>1</v>
      </c>
      <c r="AW24" s="5">
        <f>ROUNDDOWN(ROUND((12*IF((DATE(AW$1,12,31))&lt;$C24,0,IF(YEAR($C24)=AW$1,(DATE(((AW$1)+1),1,1)-$C24)/365.25,IF(AW$1=YEAR($D24),($D24-(DATE(((AW$1)-1),12,31)))/365.25,IF(YEAR($D24)&lt;AW$1,0,1))))),1),0)/12</f>
        <v>1</v>
      </c>
      <c r="AX24" s="5">
        <f>ROUNDDOWN(ROUND((12*IF((DATE(AX$1,12,31))&lt;$C24,0,IF(YEAR($C24)=AX$1,(DATE(((AX$1)+1),1,1)-$C24)/365.25,IF(AX$1=YEAR($D24),($D24-(DATE(((AX$1)-1),12,31)))/365.25,IF(YEAR($D24)&lt;AX$1,0,1))))),1),0)/12</f>
        <v>1</v>
      </c>
      <c r="AY24" s="5">
        <f>ROUNDDOWN(ROUND((12*IF((DATE(AY$1,12,31))&lt;$C24,0,IF(YEAR($C24)=AY$1,(DATE(((AY$1)+1),1,1)-$C24)/365.25,IF(AY$1=YEAR($D24),($D24-(DATE(((AY$1)-1),12,31)))/365.25,IF(YEAR($D24)&lt;AY$1,0,1))))),1),0)/12</f>
        <v>1</v>
      </c>
      <c r="AZ24" s="5">
        <f>ROUNDDOWN(ROUND((12*IF((DATE(AZ$1,12,31))&lt;$C24,0,IF(YEAR($C24)=AZ$1,(DATE(((AZ$1)+1),1,1)-$C24)/365.25,IF(AZ$1=YEAR($D24),($D24-(DATE(((AZ$1)-1),12,31)))/365.25,IF(YEAR($D24)&lt;AZ$1,0,1))))),1),0)/12</f>
        <v>1</v>
      </c>
      <c r="BA24" s="5">
        <f>ROUNDDOWN(ROUND((12*IF((DATE(BA$1,12,31))&lt;$C24,0,IF(YEAR($C24)=BA$1,(DATE(((BA$1)+1),1,1)-$C24)/365.25,IF(BA$1=YEAR($D24),($D24-(DATE(((BA$1)-1),12,31)))/365.25,IF(YEAR($D24)&lt;BA$1,0,1))))),1),0)/12</f>
        <v>1</v>
      </c>
      <c r="BB24" s="5">
        <f>ROUNDDOWN(ROUND((12*IF((DATE(BB$1,12,31))&lt;$C24,0,IF(YEAR($C24)=BB$1,(DATE(((BB$1)+1),1,1)-$C24)/365.25,IF(BB$1=YEAR($D24),($D24-(DATE(((BB$1)-1),12,31)))/365.25,IF(YEAR($D24)&lt;BB$1,0,1))))),1),0)/12</f>
        <v>1</v>
      </c>
      <c r="BC24" s="5">
        <f>ROUNDDOWN(ROUND((12*IF((DATE(BC$1,12,31))&lt;$C24,0,IF(YEAR($C24)=BC$1,(DATE(((BC$1)+1),1,1)-$C24)/365.25,IF(BC$1=YEAR($D24),($D24-(DATE(((BC$1)-1),12,31)))/365.25,IF(YEAR($D24)&lt;BC$1,0,1))))),1),0)/12</f>
        <v>1</v>
      </c>
    </row>
    <row r="25" spans="1:55" x14ac:dyDescent="0.25">
      <c r="A25" s="132">
        <v>500</v>
      </c>
      <c r="B25" s="133">
        <v>758</v>
      </c>
      <c r="C25" s="134">
        <v>37872</v>
      </c>
      <c r="D25" s="161">
        <v>52171</v>
      </c>
      <c r="G25" s="5">
        <f t="shared" si="0"/>
        <v>0</v>
      </c>
      <c r="H25" s="5">
        <f t="shared" si="5"/>
        <v>0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 t="shared" si="5"/>
        <v>0</v>
      </c>
      <c r="O25" s="5">
        <f t="shared" si="5"/>
        <v>0</v>
      </c>
      <c r="P25" s="5">
        <f t="shared" si="5"/>
        <v>0</v>
      </c>
      <c r="Q25" s="5">
        <f t="shared" si="5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7"/>
        <v>0</v>
      </c>
      <c r="AC25" s="5">
        <f t="shared" si="7"/>
        <v>0</v>
      </c>
      <c r="AD25" s="5">
        <f t="shared" si="7"/>
        <v>0</v>
      </c>
      <c r="AE25" s="5">
        <f t="shared" si="7"/>
        <v>0</v>
      </c>
      <c r="AF25" s="5">
        <f t="shared" si="7"/>
        <v>0</v>
      </c>
      <c r="AG25" s="5">
        <f t="shared" si="7"/>
        <v>0.25</v>
      </c>
      <c r="AH25" s="5">
        <f t="shared" si="7"/>
        <v>1</v>
      </c>
      <c r="AI25" s="5">
        <f t="shared" si="7"/>
        <v>1</v>
      </c>
      <c r="AJ25" s="5">
        <f t="shared" si="7"/>
        <v>1</v>
      </c>
      <c r="AK25" s="5">
        <f t="shared" si="7"/>
        <v>1</v>
      </c>
      <c r="AL25" s="5">
        <f t="shared" si="8"/>
        <v>1</v>
      </c>
      <c r="AM25" s="5">
        <f t="shared" si="8"/>
        <v>1</v>
      </c>
      <c r="AN25" s="5">
        <f t="shared" si="8"/>
        <v>1</v>
      </c>
      <c r="AO25" s="5">
        <f t="shared" si="8"/>
        <v>1</v>
      </c>
      <c r="AP25" s="5">
        <f t="shared" si="8"/>
        <v>1</v>
      </c>
      <c r="AQ25" s="5">
        <f t="shared" si="8"/>
        <v>1</v>
      </c>
      <c r="AR25" s="5">
        <f t="shared" si="8"/>
        <v>1</v>
      </c>
      <c r="AS25" s="5">
        <f t="shared" si="8"/>
        <v>1</v>
      </c>
      <c r="AT25" s="5">
        <f t="shared" si="8"/>
        <v>1</v>
      </c>
      <c r="AU25" s="5">
        <f t="shared" si="8"/>
        <v>1</v>
      </c>
      <c r="AV25" s="5">
        <f>ROUNDDOWN(ROUND((12*IF((DATE(AV$1,12,31))&lt;$C25,0,IF(YEAR($C25)=AV$1,(DATE(((AV$1)+1),1,1)-$C25)/365.25,IF(AV$1=YEAR($D25),($D25-(DATE(((AV$1)-1),12,31)))/365.25,IF(YEAR($D25)&lt;AV$1,0,1))))),1),0)/12</f>
        <v>1</v>
      </c>
      <c r="AW25" s="5">
        <f>ROUNDDOWN(ROUND((12*IF((DATE(AW$1,12,31))&lt;$C25,0,IF(YEAR($C25)=AW$1,(DATE(((AW$1)+1),1,1)-$C25)/365.25,IF(AW$1=YEAR($D25),($D25-(DATE(((AW$1)-1),12,31)))/365.25,IF(YEAR($D25)&lt;AW$1,0,1))))),1),0)/12</f>
        <v>1</v>
      </c>
      <c r="AX25" s="5">
        <f>ROUNDDOWN(ROUND((12*IF((DATE(AX$1,12,31))&lt;$C25,0,IF(YEAR($C25)=AX$1,(DATE(((AX$1)+1),1,1)-$C25)/365.25,IF(AX$1=YEAR($D25),($D25-(DATE(((AX$1)-1),12,31)))/365.25,IF(YEAR($D25)&lt;AX$1,0,1))))),1),0)/12</f>
        <v>1</v>
      </c>
      <c r="AY25" s="5">
        <f>ROUNDDOWN(ROUND((12*IF((DATE(AY$1,12,31))&lt;$C25,0,IF(YEAR($C25)=AY$1,(DATE(((AY$1)+1),1,1)-$C25)/365.25,IF(AY$1=YEAR($D25),($D25-(DATE(((AY$1)-1),12,31)))/365.25,IF(YEAR($D25)&lt;AY$1,0,1))))),1),0)/12</f>
        <v>1</v>
      </c>
      <c r="AZ25" s="5">
        <f>ROUNDDOWN(ROUND((12*IF((DATE(AZ$1,12,31))&lt;$C25,0,IF(YEAR($C25)=AZ$1,(DATE(((AZ$1)+1),1,1)-$C25)/365.25,IF(AZ$1=YEAR($D25),($D25-(DATE(((AZ$1)-1),12,31)))/365.25,IF(YEAR($D25)&lt;AZ$1,0,1))))),1),0)/12</f>
        <v>1</v>
      </c>
      <c r="BA25" s="5">
        <f>ROUNDDOWN(ROUND((12*IF((DATE(BA$1,12,31))&lt;$C25,0,IF(YEAR($C25)=BA$1,(DATE(((BA$1)+1),1,1)-$C25)/365.25,IF(BA$1=YEAR($D25),($D25-(DATE(((BA$1)-1),12,31)))/365.25,IF(YEAR($D25)&lt;BA$1,0,1))))),1),0)/12</f>
        <v>1</v>
      </c>
      <c r="BB25" s="5">
        <f>ROUNDDOWN(ROUND((12*IF((DATE(BB$1,12,31))&lt;$C25,0,IF(YEAR($C25)=BB$1,(DATE(((BB$1)+1),1,1)-$C25)/365.25,IF(BB$1=YEAR($D25),($D25-(DATE(((BB$1)-1),12,31)))/365.25,IF(YEAR($D25)&lt;BB$1,0,1))))),1),0)/12</f>
        <v>1</v>
      </c>
      <c r="BC25" s="5">
        <f>ROUNDDOWN(ROUND((12*IF((DATE(BC$1,12,31))&lt;$C25,0,IF(YEAR($C25)=BC$1,(DATE(((BC$1)+1),1,1)-$C25)/365.25,IF(BC$1=YEAR($D25),($D25-(DATE(((BC$1)-1),12,31)))/365.25,IF(YEAR($D25)&lt;BC$1,0,1))))),1),0)/12</f>
        <v>1</v>
      </c>
    </row>
    <row r="26" spans="1:55" x14ac:dyDescent="0.25">
      <c r="A26" s="132">
        <v>500</v>
      </c>
      <c r="B26" s="133">
        <v>757</v>
      </c>
      <c r="C26" s="134">
        <v>37834</v>
      </c>
      <c r="D26" s="161">
        <v>49796</v>
      </c>
      <c r="G26" s="5">
        <f t="shared" si="0"/>
        <v>0</v>
      </c>
      <c r="H26" s="5">
        <f t="shared" ref="H26:Q39" si="9">ROUNDDOWN(ROUND((12*IF((DATE(H$1,12,31))&lt;$C26,0,IF(YEAR($C26)=H$1,(DATE(((H$1)+1),1,1)-$C26)/365.25,IF(H$1=YEAR($D26),($D26-(DATE(((H$1)-1),12,31)))/365.25,IF(YEAR($D26)&lt;H$1,0,1))))),1),0)/12</f>
        <v>0</v>
      </c>
      <c r="I26" s="5">
        <f t="shared" si="9"/>
        <v>0</v>
      </c>
      <c r="J26" s="5">
        <f t="shared" si="9"/>
        <v>0</v>
      </c>
      <c r="K26" s="5">
        <f t="shared" si="9"/>
        <v>0</v>
      </c>
      <c r="L26" s="5">
        <f t="shared" si="9"/>
        <v>0</v>
      </c>
      <c r="M26" s="5">
        <f t="shared" si="9"/>
        <v>0</v>
      </c>
      <c r="N26" s="5">
        <f t="shared" si="9"/>
        <v>0</v>
      </c>
      <c r="O26" s="5">
        <f t="shared" si="9"/>
        <v>0</v>
      </c>
      <c r="P26" s="5">
        <f t="shared" si="9"/>
        <v>0</v>
      </c>
      <c r="Q26" s="5">
        <f t="shared" si="9"/>
        <v>0</v>
      </c>
      <c r="R26" s="5">
        <f t="shared" ref="R26:AA39" si="10">ROUNDDOWN(ROUND((12*IF((DATE(R$1,12,31))&lt;$C26,0,IF(YEAR($C26)=R$1,(DATE(((R$1)+1),1,1)-$C26)/365.25,IF(R$1=YEAR($D26),($D26-(DATE(((R$1)-1),12,31)))/365.25,IF(YEAR($D26)&lt;R$1,0,1))))),1),0)/12</f>
        <v>0</v>
      </c>
      <c r="S26" s="5">
        <f t="shared" si="10"/>
        <v>0</v>
      </c>
      <c r="T26" s="5">
        <f t="shared" si="10"/>
        <v>0</v>
      </c>
      <c r="U26" s="5">
        <f t="shared" si="10"/>
        <v>0</v>
      </c>
      <c r="V26" s="5">
        <f t="shared" si="10"/>
        <v>0</v>
      </c>
      <c r="W26" s="5">
        <f t="shared" si="10"/>
        <v>0</v>
      </c>
      <c r="X26" s="5">
        <f t="shared" si="10"/>
        <v>0</v>
      </c>
      <c r="Y26" s="5">
        <f t="shared" si="10"/>
        <v>0</v>
      </c>
      <c r="Z26" s="5">
        <f t="shared" si="10"/>
        <v>0</v>
      </c>
      <c r="AA26" s="5">
        <f t="shared" si="10"/>
        <v>0</v>
      </c>
      <c r="AB26" s="5">
        <f t="shared" ref="AB26:AK39" si="11">ROUNDDOWN(ROUND((12*IF((DATE(AB$1,12,31))&lt;$C26,0,IF(YEAR($C26)=AB$1,(DATE(((AB$1)+1),1,1)-$C26)/365.25,IF(AB$1=YEAR($D26),($D26-(DATE(((AB$1)-1),12,31)))/365.25,IF(YEAR($D26)&lt;AB$1,0,1))))),1),0)/12</f>
        <v>0</v>
      </c>
      <c r="AC26" s="5">
        <f t="shared" si="11"/>
        <v>0</v>
      </c>
      <c r="AD26" s="5">
        <f t="shared" si="11"/>
        <v>0</v>
      </c>
      <c r="AE26" s="5">
        <f t="shared" si="11"/>
        <v>0</v>
      </c>
      <c r="AF26" s="5">
        <f t="shared" si="11"/>
        <v>0</v>
      </c>
      <c r="AG26" s="5">
        <f t="shared" si="11"/>
        <v>0.41666666666666669</v>
      </c>
      <c r="AH26" s="5">
        <f t="shared" si="11"/>
        <v>1</v>
      </c>
      <c r="AI26" s="5">
        <f t="shared" si="11"/>
        <v>1</v>
      </c>
      <c r="AJ26" s="5">
        <f t="shared" si="11"/>
        <v>1</v>
      </c>
      <c r="AK26" s="5">
        <f t="shared" si="11"/>
        <v>1</v>
      </c>
      <c r="AL26" s="5">
        <f t="shared" ref="AL26:AU39" si="12">ROUNDDOWN(ROUND((12*IF((DATE(AL$1,12,31))&lt;$C26,0,IF(YEAR($C26)=AL$1,(DATE(((AL$1)+1),1,1)-$C26)/365.25,IF(AL$1=YEAR($D26),($D26-(DATE(((AL$1)-1),12,31)))/365.25,IF(YEAR($D26)&lt;AL$1,0,1))))),1),0)/12</f>
        <v>1</v>
      </c>
      <c r="AM26" s="5">
        <f t="shared" si="12"/>
        <v>1</v>
      </c>
      <c r="AN26" s="5">
        <f t="shared" si="12"/>
        <v>1</v>
      </c>
      <c r="AO26" s="5">
        <f t="shared" si="12"/>
        <v>1</v>
      </c>
      <c r="AP26" s="5">
        <f t="shared" si="12"/>
        <v>1</v>
      </c>
      <c r="AQ26" s="5">
        <f t="shared" si="12"/>
        <v>1</v>
      </c>
      <c r="AR26" s="5">
        <f t="shared" si="12"/>
        <v>1</v>
      </c>
      <c r="AS26" s="5">
        <f t="shared" si="12"/>
        <v>1</v>
      </c>
      <c r="AT26" s="5">
        <f t="shared" si="12"/>
        <v>1</v>
      </c>
      <c r="AU26" s="5">
        <f t="shared" si="12"/>
        <v>1</v>
      </c>
      <c r="AV26" s="5">
        <f>ROUNDDOWN(ROUND((12*IF((DATE(AV$1,12,31))&lt;$C26,0,IF(YEAR($C26)=AV$1,(DATE(((AV$1)+1),1,1)-$C26)/365.25,IF(AV$1=YEAR($D26),($D26-(DATE(((AV$1)-1),12,31)))/365.25,IF(YEAR($D26)&lt;AV$1,0,1))))),1),0)/12</f>
        <v>1</v>
      </c>
      <c r="AW26" s="5">
        <f>ROUNDDOWN(ROUND((12*IF((DATE(AW$1,12,31))&lt;$C26,0,IF(YEAR($C26)=AW$1,(DATE(((AW$1)+1),1,1)-$C26)/365.25,IF(AW$1=YEAR($D26),($D26-(DATE(((AW$1)-1),12,31)))/365.25,IF(YEAR($D26)&lt;AW$1,0,1))))),1),0)/12</f>
        <v>1</v>
      </c>
      <c r="AX26" s="5">
        <f>ROUNDDOWN(ROUND((12*IF((DATE(AX$1,12,31))&lt;$C26,0,IF(YEAR($C26)=AX$1,(DATE(((AX$1)+1),1,1)-$C26)/365.25,IF(AX$1=YEAR($D26),($D26-(DATE(((AX$1)-1),12,31)))/365.25,IF(YEAR($D26)&lt;AX$1,0,1))))),1),0)/12</f>
        <v>1</v>
      </c>
      <c r="AY26" s="5">
        <f>ROUNDDOWN(ROUND((12*IF((DATE(AY$1,12,31))&lt;$C26,0,IF(YEAR($C26)=AY$1,(DATE(((AY$1)+1),1,1)-$C26)/365.25,IF(AY$1=YEAR($D26),($D26-(DATE(((AY$1)-1),12,31)))/365.25,IF(YEAR($D26)&lt;AY$1,0,1))))),1),0)/12</f>
        <v>1</v>
      </c>
      <c r="AZ26" s="5">
        <f>ROUNDDOWN(ROUND((12*IF((DATE(AZ$1,12,31))&lt;$C26,0,IF(YEAR($C26)=AZ$1,(DATE(((AZ$1)+1),1,1)-$C26)/365.25,IF(AZ$1=YEAR($D26),($D26-(DATE(((AZ$1)-1),12,31)))/365.25,IF(YEAR($D26)&lt;AZ$1,0,1))))),1),0)/12</f>
        <v>1</v>
      </c>
      <c r="BA26" s="5">
        <f>ROUNDDOWN(ROUND((12*IF((DATE(BA$1,12,31))&lt;$C26,0,IF(YEAR($C26)=BA$1,(DATE(((BA$1)+1),1,1)-$C26)/365.25,IF(BA$1=YEAR($D26),($D26-(DATE(((BA$1)-1),12,31)))/365.25,IF(YEAR($D26)&lt;BA$1,0,1))))),1),0)/12</f>
        <v>1</v>
      </c>
      <c r="BB26" s="5">
        <f>ROUNDDOWN(ROUND((12*IF((DATE(BB$1,12,31))&lt;$C26,0,IF(YEAR($C26)=BB$1,(DATE(((BB$1)+1),1,1)-$C26)/365.25,IF(BB$1=YEAR($D26),($D26-(DATE(((BB$1)-1),12,31)))/365.25,IF(YEAR($D26)&lt;BB$1,0,1))))),1),0)/12</f>
        <v>1</v>
      </c>
      <c r="BC26" s="5">
        <f>ROUNDDOWN(ROUND((12*IF((DATE(BC$1,12,31))&lt;$C26,0,IF(YEAR($C26)=BC$1,(DATE(((BC$1)+1),1,1)-$C26)/365.25,IF(BC$1=YEAR($D26),($D26-(DATE(((BC$1)-1),12,31)))/365.25,IF(YEAR($D26)&lt;BC$1,0,1))))),1),0)/12</f>
        <v>1</v>
      </c>
    </row>
    <row r="27" spans="1:55" x14ac:dyDescent="0.25">
      <c r="A27" s="132">
        <v>500</v>
      </c>
      <c r="B27" s="133">
        <v>756</v>
      </c>
      <c r="C27" s="134">
        <v>37838</v>
      </c>
      <c r="D27" s="161">
        <v>49035</v>
      </c>
      <c r="G27" s="5">
        <f t="shared" si="0"/>
        <v>0</v>
      </c>
      <c r="H27" s="5">
        <f t="shared" si="9"/>
        <v>0</v>
      </c>
      <c r="I27" s="5">
        <f t="shared" si="9"/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  <c r="N27" s="5">
        <f t="shared" si="9"/>
        <v>0</v>
      </c>
      <c r="O27" s="5">
        <f t="shared" si="9"/>
        <v>0</v>
      </c>
      <c r="P27" s="5">
        <f t="shared" si="9"/>
        <v>0</v>
      </c>
      <c r="Q27" s="5">
        <f t="shared" si="9"/>
        <v>0</v>
      </c>
      <c r="R27" s="5">
        <f t="shared" si="10"/>
        <v>0</v>
      </c>
      <c r="S27" s="5">
        <f t="shared" si="10"/>
        <v>0</v>
      </c>
      <c r="T27" s="5">
        <f t="shared" si="10"/>
        <v>0</v>
      </c>
      <c r="U27" s="5">
        <f t="shared" si="10"/>
        <v>0</v>
      </c>
      <c r="V27" s="5">
        <f t="shared" si="10"/>
        <v>0</v>
      </c>
      <c r="W27" s="5">
        <f t="shared" si="10"/>
        <v>0</v>
      </c>
      <c r="X27" s="5">
        <f t="shared" si="10"/>
        <v>0</v>
      </c>
      <c r="Y27" s="5">
        <f t="shared" si="10"/>
        <v>0</v>
      </c>
      <c r="Z27" s="5">
        <f t="shared" si="10"/>
        <v>0</v>
      </c>
      <c r="AA27" s="5">
        <f t="shared" si="10"/>
        <v>0</v>
      </c>
      <c r="AB27" s="5">
        <f t="shared" si="11"/>
        <v>0</v>
      </c>
      <c r="AC27" s="5">
        <f t="shared" si="11"/>
        <v>0</v>
      </c>
      <c r="AD27" s="5">
        <f t="shared" si="11"/>
        <v>0</v>
      </c>
      <c r="AE27" s="5">
        <f t="shared" si="11"/>
        <v>0</v>
      </c>
      <c r="AF27" s="5">
        <f t="shared" si="11"/>
        <v>0</v>
      </c>
      <c r="AG27" s="5">
        <f t="shared" si="11"/>
        <v>0.33333333333333331</v>
      </c>
      <c r="AH27" s="5">
        <f t="shared" si="11"/>
        <v>1</v>
      </c>
      <c r="AI27" s="5">
        <f t="shared" si="11"/>
        <v>1</v>
      </c>
      <c r="AJ27" s="5">
        <f t="shared" si="11"/>
        <v>1</v>
      </c>
      <c r="AK27" s="5">
        <f t="shared" si="11"/>
        <v>1</v>
      </c>
      <c r="AL27" s="5">
        <f t="shared" si="12"/>
        <v>1</v>
      </c>
      <c r="AM27" s="5">
        <f t="shared" si="12"/>
        <v>1</v>
      </c>
      <c r="AN27" s="5">
        <f t="shared" si="12"/>
        <v>1</v>
      </c>
      <c r="AO27" s="5">
        <f t="shared" si="12"/>
        <v>1</v>
      </c>
      <c r="AP27" s="5">
        <f t="shared" si="12"/>
        <v>1</v>
      </c>
      <c r="AQ27" s="5">
        <f t="shared" si="12"/>
        <v>1</v>
      </c>
      <c r="AR27" s="5">
        <f t="shared" si="12"/>
        <v>1</v>
      </c>
      <c r="AS27" s="5">
        <f t="shared" si="12"/>
        <v>1</v>
      </c>
      <c r="AT27" s="5">
        <f t="shared" si="12"/>
        <v>1</v>
      </c>
      <c r="AU27" s="5">
        <f t="shared" si="12"/>
        <v>1</v>
      </c>
      <c r="AV27" s="5">
        <f>ROUNDDOWN(ROUND((12*IF((DATE(AV$1,12,31))&lt;$C27,0,IF(YEAR($C27)=AV$1,(DATE(((AV$1)+1),1,1)-$C27)/365.25,IF(AV$1=YEAR($D27),($D27-(DATE(((AV$1)-1),12,31)))/365.25,IF(YEAR($D27)&lt;AV$1,0,1))))),1),0)/12</f>
        <v>1</v>
      </c>
      <c r="AW27" s="5">
        <f>ROUNDDOWN(ROUND((12*IF((DATE(AW$1,12,31))&lt;$C27,0,IF(YEAR($C27)=AW$1,(DATE(((AW$1)+1),1,1)-$C27)/365.25,IF(AW$1=YEAR($D27),($D27-(DATE(((AW$1)-1),12,31)))/365.25,IF(YEAR($D27)&lt;AW$1,0,1))))),1),0)/12</f>
        <v>1</v>
      </c>
      <c r="AX27" s="5">
        <f>ROUNDDOWN(ROUND((12*IF((DATE(AX$1,12,31))&lt;$C27,0,IF(YEAR($C27)=AX$1,(DATE(((AX$1)+1),1,1)-$C27)/365.25,IF(AX$1=YEAR($D27),($D27-(DATE(((AX$1)-1),12,31)))/365.25,IF(YEAR($D27)&lt;AX$1,0,1))))),1),0)/12</f>
        <v>1</v>
      </c>
      <c r="AY27" s="5">
        <f>ROUNDDOWN(ROUND((12*IF((DATE(AY$1,12,31))&lt;$C27,0,IF(YEAR($C27)=AY$1,(DATE(((AY$1)+1),1,1)-$C27)/365.25,IF(AY$1=YEAR($D27),($D27-(DATE(((AY$1)-1),12,31)))/365.25,IF(YEAR($D27)&lt;AY$1,0,1))))),1),0)/12</f>
        <v>1</v>
      </c>
      <c r="AZ27" s="5">
        <f>ROUNDDOWN(ROUND((12*IF((DATE(AZ$1,12,31))&lt;$C27,0,IF(YEAR($C27)=AZ$1,(DATE(((AZ$1)+1),1,1)-$C27)/365.25,IF(AZ$1=YEAR($D27),($D27-(DATE(((AZ$1)-1),12,31)))/365.25,IF(YEAR($D27)&lt;AZ$1,0,1))))),1),0)/12</f>
        <v>1</v>
      </c>
      <c r="BA27" s="5">
        <f>ROUNDDOWN(ROUND((12*IF((DATE(BA$1,12,31))&lt;$C27,0,IF(YEAR($C27)=BA$1,(DATE(((BA$1)+1),1,1)-$C27)/365.25,IF(BA$1=YEAR($D27),($D27-(DATE(((BA$1)-1),12,31)))/365.25,IF(YEAR($D27)&lt;BA$1,0,1))))),1),0)/12</f>
        <v>1</v>
      </c>
      <c r="BB27" s="5">
        <f>ROUNDDOWN(ROUND((12*IF((DATE(BB$1,12,31))&lt;$C27,0,IF(YEAR($C27)=BB$1,(DATE(((BB$1)+1),1,1)-$C27)/365.25,IF(BB$1=YEAR($D27),($D27-(DATE(((BB$1)-1),12,31)))/365.25,IF(YEAR($D27)&lt;BB$1,0,1))))),1),0)/12</f>
        <v>1</v>
      </c>
      <c r="BC27" s="5">
        <f>ROUNDDOWN(ROUND((12*IF((DATE(BC$1,12,31))&lt;$C27,0,IF(YEAR($C27)=BC$1,(DATE(((BC$1)+1),1,1)-$C27)/365.25,IF(BC$1=YEAR($D27),($D27-(DATE(((BC$1)-1),12,31)))/365.25,IF(YEAR($D27)&lt;BC$1,0,1))))),1),0)/12</f>
        <v>1</v>
      </c>
    </row>
    <row r="28" spans="1:55" x14ac:dyDescent="0.25">
      <c r="A28" s="132">
        <v>500</v>
      </c>
      <c r="B28" s="133">
        <v>755</v>
      </c>
      <c r="C28" s="134">
        <v>37725</v>
      </c>
      <c r="D28" s="161">
        <v>51349</v>
      </c>
      <c r="G28" s="5">
        <f t="shared" si="0"/>
        <v>0</v>
      </c>
      <c r="H28" s="5">
        <f t="shared" si="9"/>
        <v>0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  <c r="N28" s="5">
        <f t="shared" si="9"/>
        <v>0</v>
      </c>
      <c r="O28" s="5">
        <f t="shared" si="9"/>
        <v>0</v>
      </c>
      <c r="P28" s="5">
        <f t="shared" si="9"/>
        <v>0</v>
      </c>
      <c r="Q28" s="5">
        <f t="shared" si="9"/>
        <v>0</v>
      </c>
      <c r="R28" s="5">
        <f t="shared" si="10"/>
        <v>0</v>
      </c>
      <c r="S28" s="5">
        <f t="shared" si="10"/>
        <v>0</v>
      </c>
      <c r="T28" s="5">
        <f t="shared" si="10"/>
        <v>0</v>
      </c>
      <c r="U28" s="5">
        <f t="shared" si="10"/>
        <v>0</v>
      </c>
      <c r="V28" s="5">
        <f t="shared" si="10"/>
        <v>0</v>
      </c>
      <c r="W28" s="5">
        <f t="shared" si="10"/>
        <v>0</v>
      </c>
      <c r="X28" s="5">
        <f t="shared" si="10"/>
        <v>0</v>
      </c>
      <c r="Y28" s="5">
        <f t="shared" si="10"/>
        <v>0</v>
      </c>
      <c r="Z28" s="5">
        <f t="shared" si="10"/>
        <v>0</v>
      </c>
      <c r="AA28" s="5">
        <f t="shared" si="10"/>
        <v>0</v>
      </c>
      <c r="AB28" s="5">
        <f t="shared" si="11"/>
        <v>0</v>
      </c>
      <c r="AC28" s="5">
        <f t="shared" si="11"/>
        <v>0</v>
      </c>
      <c r="AD28" s="5">
        <f t="shared" si="11"/>
        <v>0</v>
      </c>
      <c r="AE28" s="5">
        <f t="shared" si="11"/>
        <v>0</v>
      </c>
      <c r="AF28" s="5">
        <f t="shared" si="11"/>
        <v>0</v>
      </c>
      <c r="AG28" s="5">
        <f t="shared" si="11"/>
        <v>0.66666666666666663</v>
      </c>
      <c r="AH28" s="5">
        <f t="shared" si="11"/>
        <v>1</v>
      </c>
      <c r="AI28" s="5">
        <f t="shared" si="11"/>
        <v>1</v>
      </c>
      <c r="AJ28" s="5">
        <f t="shared" si="11"/>
        <v>1</v>
      </c>
      <c r="AK28" s="5">
        <f t="shared" si="11"/>
        <v>1</v>
      </c>
      <c r="AL28" s="5">
        <f t="shared" si="12"/>
        <v>1</v>
      </c>
      <c r="AM28" s="5">
        <f t="shared" si="12"/>
        <v>1</v>
      </c>
      <c r="AN28" s="5">
        <f t="shared" si="12"/>
        <v>1</v>
      </c>
      <c r="AO28" s="5">
        <f t="shared" si="12"/>
        <v>1</v>
      </c>
      <c r="AP28" s="5">
        <f t="shared" si="12"/>
        <v>1</v>
      </c>
      <c r="AQ28" s="5">
        <f t="shared" si="12"/>
        <v>1</v>
      </c>
      <c r="AR28" s="5">
        <f t="shared" si="12"/>
        <v>1</v>
      </c>
      <c r="AS28" s="5">
        <f t="shared" si="12"/>
        <v>1</v>
      </c>
      <c r="AT28" s="5">
        <f t="shared" si="12"/>
        <v>1</v>
      </c>
      <c r="AU28" s="5">
        <f t="shared" si="12"/>
        <v>1</v>
      </c>
      <c r="AV28" s="5">
        <f>ROUNDDOWN(ROUND((12*IF((DATE(AV$1,12,31))&lt;$C28,0,IF(YEAR($C28)=AV$1,(DATE(((AV$1)+1),1,1)-$C28)/365.25,IF(AV$1=YEAR($D28),($D28-(DATE(((AV$1)-1),12,31)))/365.25,IF(YEAR($D28)&lt;AV$1,0,1))))),1),0)/12</f>
        <v>1</v>
      </c>
      <c r="AW28" s="5">
        <f>ROUNDDOWN(ROUND((12*IF((DATE(AW$1,12,31))&lt;$C28,0,IF(YEAR($C28)=AW$1,(DATE(((AW$1)+1),1,1)-$C28)/365.25,IF(AW$1=YEAR($D28),($D28-(DATE(((AW$1)-1),12,31)))/365.25,IF(YEAR($D28)&lt;AW$1,0,1))))),1),0)/12</f>
        <v>1</v>
      </c>
      <c r="AX28" s="5">
        <f>ROUNDDOWN(ROUND((12*IF((DATE(AX$1,12,31))&lt;$C28,0,IF(YEAR($C28)=AX$1,(DATE(((AX$1)+1),1,1)-$C28)/365.25,IF(AX$1=YEAR($D28),($D28-(DATE(((AX$1)-1),12,31)))/365.25,IF(YEAR($D28)&lt;AX$1,0,1))))),1),0)/12</f>
        <v>1</v>
      </c>
      <c r="AY28" s="5">
        <f>ROUNDDOWN(ROUND((12*IF((DATE(AY$1,12,31))&lt;$C28,0,IF(YEAR($C28)=AY$1,(DATE(((AY$1)+1),1,1)-$C28)/365.25,IF(AY$1=YEAR($D28),($D28-(DATE(((AY$1)-1),12,31)))/365.25,IF(YEAR($D28)&lt;AY$1,0,1))))),1),0)/12</f>
        <v>1</v>
      </c>
      <c r="AZ28" s="5">
        <f>ROUNDDOWN(ROUND((12*IF((DATE(AZ$1,12,31))&lt;$C28,0,IF(YEAR($C28)=AZ$1,(DATE(((AZ$1)+1),1,1)-$C28)/365.25,IF(AZ$1=YEAR($D28),($D28-(DATE(((AZ$1)-1),12,31)))/365.25,IF(YEAR($D28)&lt;AZ$1,0,1))))),1),0)/12</f>
        <v>1</v>
      </c>
      <c r="BA28" s="5">
        <f>ROUNDDOWN(ROUND((12*IF((DATE(BA$1,12,31))&lt;$C28,0,IF(YEAR($C28)=BA$1,(DATE(((BA$1)+1),1,1)-$C28)/365.25,IF(BA$1=YEAR($D28),($D28-(DATE(((BA$1)-1),12,31)))/365.25,IF(YEAR($D28)&lt;BA$1,0,1))))),1),0)/12</f>
        <v>1</v>
      </c>
      <c r="BB28" s="5">
        <f>ROUNDDOWN(ROUND((12*IF((DATE(BB$1,12,31))&lt;$C28,0,IF(YEAR($C28)=BB$1,(DATE(((BB$1)+1),1,1)-$C28)/365.25,IF(BB$1=YEAR($D28),($D28-(DATE(((BB$1)-1),12,31)))/365.25,IF(YEAR($D28)&lt;BB$1,0,1))))),1),0)/12</f>
        <v>1</v>
      </c>
      <c r="BC28" s="5">
        <f>ROUNDDOWN(ROUND((12*IF((DATE(BC$1,12,31))&lt;$C28,0,IF(YEAR($C28)=BC$1,(DATE(((BC$1)+1),1,1)-$C28)/365.25,IF(BC$1=YEAR($D28),($D28-(DATE(((BC$1)-1),12,31)))/365.25,IF(YEAR($D28)&lt;BC$1,0,1))))),1),0)/12</f>
        <v>1</v>
      </c>
    </row>
    <row r="29" spans="1:55" x14ac:dyDescent="0.25">
      <c r="A29" s="132">
        <v>600</v>
      </c>
      <c r="B29" s="133">
        <v>754</v>
      </c>
      <c r="C29" s="134">
        <v>37389</v>
      </c>
      <c r="D29" s="161">
        <v>52994</v>
      </c>
      <c r="G29" s="5">
        <f t="shared" si="0"/>
        <v>0</v>
      </c>
      <c r="H29" s="5">
        <f t="shared" si="9"/>
        <v>0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  <c r="N29" s="5">
        <f t="shared" si="9"/>
        <v>0</v>
      </c>
      <c r="O29" s="5">
        <f t="shared" si="9"/>
        <v>0</v>
      </c>
      <c r="P29" s="5">
        <f t="shared" si="9"/>
        <v>0</v>
      </c>
      <c r="Q29" s="5">
        <f t="shared" si="9"/>
        <v>0</v>
      </c>
      <c r="R29" s="5">
        <f t="shared" si="10"/>
        <v>0</v>
      </c>
      <c r="S29" s="5">
        <f t="shared" si="10"/>
        <v>0</v>
      </c>
      <c r="T29" s="5">
        <f t="shared" si="10"/>
        <v>0</v>
      </c>
      <c r="U29" s="5">
        <f t="shared" si="10"/>
        <v>0</v>
      </c>
      <c r="V29" s="5">
        <f t="shared" si="10"/>
        <v>0</v>
      </c>
      <c r="W29" s="5">
        <f t="shared" si="10"/>
        <v>0</v>
      </c>
      <c r="X29" s="5">
        <f t="shared" si="10"/>
        <v>0</v>
      </c>
      <c r="Y29" s="5">
        <f t="shared" si="10"/>
        <v>0</v>
      </c>
      <c r="Z29" s="5">
        <f t="shared" si="10"/>
        <v>0</v>
      </c>
      <c r="AA29" s="5">
        <f t="shared" si="10"/>
        <v>0</v>
      </c>
      <c r="AB29" s="5">
        <f t="shared" si="11"/>
        <v>0</v>
      </c>
      <c r="AC29" s="5">
        <f t="shared" si="11"/>
        <v>0</v>
      </c>
      <c r="AD29" s="5">
        <f t="shared" si="11"/>
        <v>0</v>
      </c>
      <c r="AE29" s="5">
        <f t="shared" si="11"/>
        <v>0</v>
      </c>
      <c r="AF29" s="5">
        <f t="shared" si="11"/>
        <v>0.58333333333333337</v>
      </c>
      <c r="AG29" s="5">
        <f t="shared" si="11"/>
        <v>1</v>
      </c>
      <c r="AH29" s="5">
        <f t="shared" si="11"/>
        <v>1</v>
      </c>
      <c r="AI29" s="5">
        <f t="shared" si="11"/>
        <v>1</v>
      </c>
      <c r="AJ29" s="5">
        <f t="shared" si="11"/>
        <v>1</v>
      </c>
      <c r="AK29" s="5">
        <f t="shared" si="11"/>
        <v>1</v>
      </c>
      <c r="AL29" s="5">
        <f t="shared" si="12"/>
        <v>1</v>
      </c>
      <c r="AM29" s="5">
        <f t="shared" si="12"/>
        <v>1</v>
      </c>
      <c r="AN29" s="5">
        <f t="shared" si="12"/>
        <v>1</v>
      </c>
      <c r="AO29" s="5">
        <f t="shared" si="12"/>
        <v>1</v>
      </c>
      <c r="AP29" s="5">
        <f t="shared" si="12"/>
        <v>1</v>
      </c>
      <c r="AQ29" s="5">
        <f t="shared" si="12"/>
        <v>1</v>
      </c>
      <c r="AR29" s="5">
        <f t="shared" si="12"/>
        <v>1</v>
      </c>
      <c r="AS29" s="5">
        <f t="shared" si="12"/>
        <v>1</v>
      </c>
      <c r="AT29" s="5">
        <f t="shared" si="12"/>
        <v>1</v>
      </c>
      <c r="AU29" s="5">
        <f t="shared" si="12"/>
        <v>1</v>
      </c>
      <c r="AV29" s="5">
        <f>ROUNDDOWN(ROUND((12*IF((DATE(AV$1,12,31))&lt;$C29,0,IF(YEAR($C29)=AV$1,(DATE(((AV$1)+1),1,1)-$C29)/365.25,IF(AV$1=YEAR($D29),($D29-(DATE(((AV$1)-1),12,31)))/365.25,IF(YEAR($D29)&lt;AV$1,0,1))))),1),0)/12</f>
        <v>1</v>
      </c>
      <c r="AW29" s="5">
        <f>ROUNDDOWN(ROUND((12*IF((DATE(AW$1,12,31))&lt;$C29,0,IF(YEAR($C29)=AW$1,(DATE(((AW$1)+1),1,1)-$C29)/365.25,IF(AW$1=YEAR($D29),($D29-(DATE(((AW$1)-1),12,31)))/365.25,IF(YEAR($D29)&lt;AW$1,0,1))))),1),0)/12</f>
        <v>1</v>
      </c>
      <c r="AX29" s="5">
        <f>ROUNDDOWN(ROUND((12*IF((DATE(AX$1,12,31))&lt;$C29,0,IF(YEAR($C29)=AX$1,(DATE(((AX$1)+1),1,1)-$C29)/365.25,IF(AX$1=YEAR($D29),($D29-(DATE(((AX$1)-1),12,31)))/365.25,IF(YEAR($D29)&lt;AX$1,0,1))))),1),0)/12</f>
        <v>1</v>
      </c>
      <c r="AY29" s="5">
        <f>ROUNDDOWN(ROUND((12*IF((DATE(AY$1,12,31))&lt;$C29,0,IF(YEAR($C29)=AY$1,(DATE(((AY$1)+1),1,1)-$C29)/365.25,IF(AY$1=YEAR($D29),($D29-(DATE(((AY$1)-1),12,31)))/365.25,IF(YEAR($D29)&lt;AY$1,0,1))))),1),0)/12</f>
        <v>1</v>
      </c>
      <c r="AZ29" s="5">
        <f>ROUNDDOWN(ROUND((12*IF((DATE(AZ$1,12,31))&lt;$C29,0,IF(YEAR($C29)=AZ$1,(DATE(((AZ$1)+1),1,1)-$C29)/365.25,IF(AZ$1=YEAR($D29),($D29-(DATE(((AZ$1)-1),12,31)))/365.25,IF(YEAR($D29)&lt;AZ$1,0,1))))),1),0)/12</f>
        <v>1</v>
      </c>
      <c r="BA29" s="5">
        <f>ROUNDDOWN(ROUND((12*IF((DATE(BA$1,12,31))&lt;$C29,0,IF(YEAR($C29)=BA$1,(DATE(((BA$1)+1),1,1)-$C29)/365.25,IF(BA$1=YEAR($D29),($D29-(DATE(((BA$1)-1),12,31)))/365.25,IF(YEAR($D29)&lt;BA$1,0,1))))),1),0)/12</f>
        <v>1</v>
      </c>
      <c r="BB29" s="5">
        <f>ROUNDDOWN(ROUND((12*IF((DATE(BB$1,12,31))&lt;$C29,0,IF(YEAR($C29)=BB$1,(DATE(((BB$1)+1),1,1)-$C29)/365.25,IF(BB$1=YEAR($D29),($D29-(DATE(((BB$1)-1),12,31)))/365.25,IF(YEAR($D29)&lt;BB$1,0,1))))),1),0)/12</f>
        <v>1</v>
      </c>
      <c r="BC29" s="5">
        <f>ROUNDDOWN(ROUND((12*IF((DATE(BC$1,12,31))&lt;$C29,0,IF(YEAR($C29)=BC$1,(DATE(((BC$1)+1),1,1)-$C29)/365.25,IF(BC$1=YEAR($D29),($D29-(DATE(((BC$1)-1),12,31)))/365.25,IF(YEAR($D29)&lt;BC$1,0,1))))),1),0)/12</f>
        <v>1</v>
      </c>
    </row>
    <row r="30" spans="1:55" x14ac:dyDescent="0.25">
      <c r="A30" s="132">
        <v>600</v>
      </c>
      <c r="B30" s="133">
        <v>753</v>
      </c>
      <c r="C30" s="134">
        <v>37662</v>
      </c>
      <c r="D30" s="161">
        <v>48396</v>
      </c>
      <c r="G30" s="5">
        <f t="shared" si="0"/>
        <v>0</v>
      </c>
      <c r="H30" s="5">
        <f t="shared" si="9"/>
        <v>0</v>
      </c>
      <c r="I30" s="5">
        <f t="shared" si="9"/>
        <v>0</v>
      </c>
      <c r="J30" s="5">
        <f t="shared" si="9"/>
        <v>0</v>
      </c>
      <c r="K30" s="5">
        <f t="shared" si="9"/>
        <v>0</v>
      </c>
      <c r="L30" s="5">
        <f t="shared" si="9"/>
        <v>0</v>
      </c>
      <c r="M30" s="5">
        <f t="shared" si="9"/>
        <v>0</v>
      </c>
      <c r="N30" s="5">
        <f t="shared" si="9"/>
        <v>0</v>
      </c>
      <c r="O30" s="5">
        <f t="shared" si="9"/>
        <v>0</v>
      </c>
      <c r="P30" s="5">
        <f t="shared" si="9"/>
        <v>0</v>
      </c>
      <c r="Q30" s="5">
        <f t="shared" si="9"/>
        <v>0</v>
      </c>
      <c r="R30" s="5">
        <f t="shared" si="10"/>
        <v>0</v>
      </c>
      <c r="S30" s="5">
        <f t="shared" si="10"/>
        <v>0</v>
      </c>
      <c r="T30" s="5">
        <f t="shared" si="10"/>
        <v>0</v>
      </c>
      <c r="U30" s="5">
        <f t="shared" si="10"/>
        <v>0</v>
      </c>
      <c r="V30" s="5">
        <f t="shared" si="10"/>
        <v>0</v>
      </c>
      <c r="W30" s="5">
        <f t="shared" si="10"/>
        <v>0</v>
      </c>
      <c r="X30" s="5">
        <f t="shared" si="10"/>
        <v>0</v>
      </c>
      <c r="Y30" s="5">
        <f t="shared" si="10"/>
        <v>0</v>
      </c>
      <c r="Z30" s="5">
        <f t="shared" si="10"/>
        <v>0</v>
      </c>
      <c r="AA30" s="5">
        <f t="shared" si="10"/>
        <v>0</v>
      </c>
      <c r="AB30" s="5">
        <f t="shared" si="11"/>
        <v>0</v>
      </c>
      <c r="AC30" s="5">
        <f t="shared" si="11"/>
        <v>0</v>
      </c>
      <c r="AD30" s="5">
        <f t="shared" si="11"/>
        <v>0</v>
      </c>
      <c r="AE30" s="5">
        <f t="shared" si="11"/>
        <v>0</v>
      </c>
      <c r="AF30" s="5">
        <f t="shared" si="11"/>
        <v>0</v>
      </c>
      <c r="AG30" s="5">
        <f t="shared" si="11"/>
        <v>0.83333333333333337</v>
      </c>
      <c r="AH30" s="5">
        <f t="shared" si="11"/>
        <v>1</v>
      </c>
      <c r="AI30" s="5">
        <f t="shared" si="11"/>
        <v>1</v>
      </c>
      <c r="AJ30" s="5">
        <f t="shared" si="11"/>
        <v>1</v>
      </c>
      <c r="AK30" s="5">
        <f t="shared" si="11"/>
        <v>1</v>
      </c>
      <c r="AL30" s="5">
        <f t="shared" si="12"/>
        <v>1</v>
      </c>
      <c r="AM30" s="5">
        <f t="shared" si="12"/>
        <v>1</v>
      </c>
      <c r="AN30" s="5">
        <f t="shared" si="12"/>
        <v>1</v>
      </c>
      <c r="AO30" s="5">
        <f t="shared" si="12"/>
        <v>1</v>
      </c>
      <c r="AP30" s="5">
        <f t="shared" si="12"/>
        <v>1</v>
      </c>
      <c r="AQ30" s="5">
        <f t="shared" si="12"/>
        <v>1</v>
      </c>
      <c r="AR30" s="5">
        <f t="shared" si="12"/>
        <v>1</v>
      </c>
      <c r="AS30" s="5">
        <f t="shared" si="12"/>
        <v>1</v>
      </c>
      <c r="AT30" s="5">
        <f t="shared" si="12"/>
        <v>1</v>
      </c>
      <c r="AU30" s="5">
        <f t="shared" si="12"/>
        <v>1</v>
      </c>
      <c r="AV30" s="5">
        <f>ROUNDDOWN(ROUND((12*IF((DATE(AV$1,12,31))&lt;$C30,0,IF(YEAR($C30)=AV$1,(DATE(((AV$1)+1),1,1)-$C30)/365.25,IF(AV$1=YEAR($D30),($D30-(DATE(((AV$1)-1),12,31)))/365.25,IF(YEAR($D30)&lt;AV$1,0,1))))),1),0)/12</f>
        <v>1</v>
      </c>
      <c r="AW30" s="5">
        <f>ROUNDDOWN(ROUND((12*IF((DATE(AW$1,12,31))&lt;$C30,0,IF(YEAR($C30)=AW$1,(DATE(((AW$1)+1),1,1)-$C30)/365.25,IF(AW$1=YEAR($D30),($D30-(DATE(((AW$1)-1),12,31)))/365.25,IF(YEAR($D30)&lt;AW$1,0,1))))),1),0)/12</f>
        <v>1</v>
      </c>
      <c r="AX30" s="5">
        <f>ROUNDDOWN(ROUND((12*IF((DATE(AX$1,12,31))&lt;$C30,0,IF(YEAR($C30)=AX$1,(DATE(((AX$1)+1),1,1)-$C30)/365.25,IF(AX$1=YEAR($D30),($D30-(DATE(((AX$1)-1),12,31)))/365.25,IF(YEAR($D30)&lt;AX$1,0,1))))),1),0)/12</f>
        <v>1</v>
      </c>
      <c r="AY30" s="5">
        <f>ROUNDDOWN(ROUND((12*IF((DATE(AY$1,12,31))&lt;$C30,0,IF(YEAR($C30)=AY$1,(DATE(((AY$1)+1),1,1)-$C30)/365.25,IF(AY$1=YEAR($D30),($D30-(DATE(((AY$1)-1),12,31)))/365.25,IF(YEAR($D30)&lt;AY$1,0,1))))),1),0)/12</f>
        <v>1</v>
      </c>
      <c r="AZ30" s="5">
        <f>ROUNDDOWN(ROUND((12*IF((DATE(AZ$1,12,31))&lt;$C30,0,IF(YEAR($C30)=AZ$1,(DATE(((AZ$1)+1),1,1)-$C30)/365.25,IF(AZ$1=YEAR($D30),($D30-(DATE(((AZ$1)-1),12,31)))/365.25,IF(YEAR($D30)&lt;AZ$1,0,1))))),1),0)/12</f>
        <v>1</v>
      </c>
      <c r="BA30" s="5">
        <f>ROUNDDOWN(ROUND((12*IF((DATE(BA$1,12,31))&lt;$C30,0,IF(YEAR($C30)=BA$1,(DATE(((BA$1)+1),1,1)-$C30)/365.25,IF(BA$1=YEAR($D30),($D30-(DATE(((BA$1)-1),12,31)))/365.25,IF(YEAR($D30)&lt;BA$1,0,1))))),1),0)/12</f>
        <v>1</v>
      </c>
      <c r="BB30" s="5">
        <f>ROUNDDOWN(ROUND((12*IF((DATE(BB$1,12,31))&lt;$C30,0,IF(YEAR($C30)=BB$1,(DATE(((BB$1)+1),1,1)-$C30)/365.25,IF(BB$1=YEAR($D30),($D30-(DATE(((BB$1)-1),12,31)))/365.25,IF(YEAR($D30)&lt;BB$1,0,1))))),1),0)/12</f>
        <v>1</v>
      </c>
      <c r="BC30" s="5">
        <f>ROUNDDOWN(ROUND((12*IF((DATE(BC$1,12,31))&lt;$C30,0,IF(YEAR($C30)=BC$1,(DATE(((BC$1)+1),1,1)-$C30)/365.25,IF(BC$1=YEAR($D30),($D30-(DATE(((BC$1)-1),12,31)))/365.25,IF(YEAR($D30)&lt;BC$1,0,1))))),1),0)/12</f>
        <v>1</v>
      </c>
    </row>
    <row r="31" spans="1:55" x14ac:dyDescent="0.25">
      <c r="A31" s="132">
        <v>600</v>
      </c>
      <c r="B31" s="133">
        <v>752</v>
      </c>
      <c r="C31" s="134">
        <v>37650</v>
      </c>
      <c r="D31" s="161">
        <v>53936</v>
      </c>
      <c r="G31" s="5">
        <f t="shared" si="0"/>
        <v>0</v>
      </c>
      <c r="H31" s="5">
        <f t="shared" si="9"/>
        <v>0</v>
      </c>
      <c r="I31" s="5">
        <f t="shared" si="9"/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  <c r="N31" s="5">
        <f t="shared" si="9"/>
        <v>0</v>
      </c>
      <c r="O31" s="5">
        <f t="shared" si="9"/>
        <v>0</v>
      </c>
      <c r="P31" s="5">
        <f t="shared" si="9"/>
        <v>0</v>
      </c>
      <c r="Q31" s="5">
        <f t="shared" si="9"/>
        <v>0</v>
      </c>
      <c r="R31" s="5">
        <f t="shared" si="10"/>
        <v>0</v>
      </c>
      <c r="S31" s="5">
        <f t="shared" si="10"/>
        <v>0</v>
      </c>
      <c r="T31" s="5">
        <f t="shared" si="10"/>
        <v>0</v>
      </c>
      <c r="U31" s="5">
        <f t="shared" si="10"/>
        <v>0</v>
      </c>
      <c r="V31" s="5">
        <f t="shared" si="10"/>
        <v>0</v>
      </c>
      <c r="W31" s="5">
        <f t="shared" si="10"/>
        <v>0</v>
      </c>
      <c r="X31" s="5">
        <f t="shared" si="10"/>
        <v>0</v>
      </c>
      <c r="Y31" s="5">
        <f t="shared" si="10"/>
        <v>0</v>
      </c>
      <c r="Z31" s="5">
        <f t="shared" si="10"/>
        <v>0</v>
      </c>
      <c r="AA31" s="5">
        <f t="shared" si="10"/>
        <v>0</v>
      </c>
      <c r="AB31" s="5">
        <f t="shared" si="11"/>
        <v>0</v>
      </c>
      <c r="AC31" s="5">
        <f t="shared" si="11"/>
        <v>0</v>
      </c>
      <c r="AD31" s="5">
        <f t="shared" si="11"/>
        <v>0</v>
      </c>
      <c r="AE31" s="5">
        <f t="shared" si="11"/>
        <v>0</v>
      </c>
      <c r="AF31" s="5">
        <f t="shared" si="11"/>
        <v>0</v>
      </c>
      <c r="AG31" s="5">
        <f t="shared" si="11"/>
        <v>0.91666666666666663</v>
      </c>
      <c r="AH31" s="5">
        <f t="shared" si="11"/>
        <v>1</v>
      </c>
      <c r="AI31" s="5">
        <f t="shared" si="11"/>
        <v>1</v>
      </c>
      <c r="AJ31" s="5">
        <f t="shared" si="11"/>
        <v>1</v>
      </c>
      <c r="AK31" s="5">
        <f t="shared" si="11"/>
        <v>1</v>
      </c>
      <c r="AL31" s="5">
        <f t="shared" si="12"/>
        <v>1</v>
      </c>
      <c r="AM31" s="5">
        <f t="shared" si="12"/>
        <v>1</v>
      </c>
      <c r="AN31" s="5">
        <f t="shared" si="12"/>
        <v>1</v>
      </c>
      <c r="AO31" s="5">
        <f t="shared" si="12"/>
        <v>1</v>
      </c>
      <c r="AP31" s="5">
        <f t="shared" si="12"/>
        <v>1</v>
      </c>
      <c r="AQ31" s="5">
        <f t="shared" si="12"/>
        <v>1</v>
      </c>
      <c r="AR31" s="5">
        <f t="shared" si="12"/>
        <v>1</v>
      </c>
      <c r="AS31" s="5">
        <f t="shared" si="12"/>
        <v>1</v>
      </c>
      <c r="AT31" s="5">
        <f t="shared" si="12"/>
        <v>1</v>
      </c>
      <c r="AU31" s="5">
        <f t="shared" si="12"/>
        <v>1</v>
      </c>
      <c r="AV31" s="5">
        <f>ROUNDDOWN(ROUND((12*IF((DATE(AV$1,12,31))&lt;$C31,0,IF(YEAR($C31)=AV$1,(DATE(((AV$1)+1),1,1)-$C31)/365.25,IF(AV$1=YEAR($D31),($D31-(DATE(((AV$1)-1),12,31)))/365.25,IF(YEAR($D31)&lt;AV$1,0,1))))),1),0)/12</f>
        <v>1</v>
      </c>
      <c r="AW31" s="5">
        <f>ROUNDDOWN(ROUND((12*IF((DATE(AW$1,12,31))&lt;$C31,0,IF(YEAR($C31)=AW$1,(DATE(((AW$1)+1),1,1)-$C31)/365.25,IF(AW$1=YEAR($D31),($D31-(DATE(((AW$1)-1),12,31)))/365.25,IF(YEAR($D31)&lt;AW$1,0,1))))),1),0)/12</f>
        <v>1</v>
      </c>
      <c r="AX31" s="5">
        <f>ROUNDDOWN(ROUND((12*IF((DATE(AX$1,12,31))&lt;$C31,0,IF(YEAR($C31)=AX$1,(DATE(((AX$1)+1),1,1)-$C31)/365.25,IF(AX$1=YEAR($D31),($D31-(DATE(((AX$1)-1),12,31)))/365.25,IF(YEAR($D31)&lt;AX$1,0,1))))),1),0)/12</f>
        <v>1</v>
      </c>
      <c r="AY31" s="5">
        <f>ROUNDDOWN(ROUND((12*IF((DATE(AY$1,12,31))&lt;$C31,0,IF(YEAR($C31)=AY$1,(DATE(((AY$1)+1),1,1)-$C31)/365.25,IF(AY$1=YEAR($D31),($D31-(DATE(((AY$1)-1),12,31)))/365.25,IF(YEAR($D31)&lt;AY$1,0,1))))),1),0)/12</f>
        <v>1</v>
      </c>
      <c r="AZ31" s="5">
        <f>ROUNDDOWN(ROUND((12*IF((DATE(AZ$1,12,31))&lt;$C31,0,IF(YEAR($C31)=AZ$1,(DATE(((AZ$1)+1),1,1)-$C31)/365.25,IF(AZ$1=YEAR($D31),($D31-(DATE(((AZ$1)-1),12,31)))/365.25,IF(YEAR($D31)&lt;AZ$1,0,1))))),1),0)/12</f>
        <v>1</v>
      </c>
      <c r="BA31" s="5">
        <f>ROUNDDOWN(ROUND((12*IF((DATE(BA$1,12,31))&lt;$C31,0,IF(YEAR($C31)=BA$1,(DATE(((BA$1)+1),1,1)-$C31)/365.25,IF(BA$1=YEAR($D31),($D31-(DATE(((BA$1)-1),12,31)))/365.25,IF(YEAR($D31)&lt;BA$1,0,1))))),1),0)/12</f>
        <v>1</v>
      </c>
      <c r="BB31" s="5">
        <f>ROUNDDOWN(ROUND((12*IF((DATE(BB$1,12,31))&lt;$C31,0,IF(YEAR($C31)=BB$1,(DATE(((BB$1)+1),1,1)-$C31)/365.25,IF(BB$1=YEAR($D31),($D31-(DATE(((BB$1)-1),12,31)))/365.25,IF(YEAR($D31)&lt;BB$1,0,1))))),1),0)/12</f>
        <v>1</v>
      </c>
      <c r="BC31" s="5">
        <f>ROUNDDOWN(ROUND((12*IF((DATE(BC$1,12,31))&lt;$C31,0,IF(YEAR($C31)=BC$1,(DATE(((BC$1)+1),1,1)-$C31)/365.25,IF(BC$1=YEAR($D31),($D31-(DATE(((BC$1)-1),12,31)))/365.25,IF(YEAR($D31)&lt;BC$1,0,1))))),1),0)/12</f>
        <v>1</v>
      </c>
    </row>
    <row r="32" spans="1:55" x14ac:dyDescent="0.25">
      <c r="A32" s="132">
        <v>600</v>
      </c>
      <c r="B32" s="133">
        <v>747</v>
      </c>
      <c r="C32" s="134">
        <v>37313</v>
      </c>
      <c r="D32" s="161">
        <v>48122</v>
      </c>
      <c r="G32" s="5">
        <f t="shared" si="0"/>
        <v>0</v>
      </c>
      <c r="H32" s="5">
        <f t="shared" si="9"/>
        <v>0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0</v>
      </c>
      <c r="P32" s="5">
        <f t="shared" si="9"/>
        <v>0</v>
      </c>
      <c r="Q32" s="5">
        <f t="shared" si="9"/>
        <v>0</v>
      </c>
      <c r="R32" s="5">
        <f t="shared" si="10"/>
        <v>0</v>
      </c>
      <c r="S32" s="5">
        <f t="shared" si="10"/>
        <v>0</v>
      </c>
      <c r="T32" s="5">
        <f t="shared" si="10"/>
        <v>0</v>
      </c>
      <c r="U32" s="5">
        <f t="shared" si="10"/>
        <v>0</v>
      </c>
      <c r="V32" s="5">
        <f t="shared" si="10"/>
        <v>0</v>
      </c>
      <c r="W32" s="5">
        <f t="shared" si="10"/>
        <v>0</v>
      </c>
      <c r="X32" s="5">
        <f t="shared" si="10"/>
        <v>0</v>
      </c>
      <c r="Y32" s="5">
        <f t="shared" si="10"/>
        <v>0</v>
      </c>
      <c r="Z32" s="5">
        <f t="shared" si="10"/>
        <v>0</v>
      </c>
      <c r="AA32" s="5">
        <f t="shared" si="10"/>
        <v>0</v>
      </c>
      <c r="AB32" s="5">
        <f t="shared" si="11"/>
        <v>0</v>
      </c>
      <c r="AC32" s="5">
        <f t="shared" si="11"/>
        <v>0</v>
      </c>
      <c r="AD32" s="5">
        <f t="shared" si="11"/>
        <v>0</v>
      </c>
      <c r="AE32" s="5">
        <f t="shared" si="11"/>
        <v>0</v>
      </c>
      <c r="AF32" s="5">
        <f t="shared" si="11"/>
        <v>0.83333333333333337</v>
      </c>
      <c r="AG32" s="5">
        <f t="shared" si="11"/>
        <v>1</v>
      </c>
      <c r="AH32" s="5">
        <f t="shared" si="11"/>
        <v>1</v>
      </c>
      <c r="AI32" s="5">
        <f t="shared" si="11"/>
        <v>1</v>
      </c>
      <c r="AJ32" s="5">
        <f t="shared" si="11"/>
        <v>1</v>
      </c>
      <c r="AK32" s="5">
        <f t="shared" si="11"/>
        <v>1</v>
      </c>
      <c r="AL32" s="5">
        <f t="shared" si="12"/>
        <v>1</v>
      </c>
      <c r="AM32" s="5">
        <f t="shared" si="12"/>
        <v>1</v>
      </c>
      <c r="AN32" s="5">
        <f t="shared" si="12"/>
        <v>1</v>
      </c>
      <c r="AO32" s="5">
        <f t="shared" si="12"/>
        <v>1</v>
      </c>
      <c r="AP32" s="5">
        <f t="shared" si="12"/>
        <v>1</v>
      </c>
      <c r="AQ32" s="5">
        <f t="shared" si="12"/>
        <v>1</v>
      </c>
      <c r="AR32" s="5">
        <f t="shared" si="12"/>
        <v>1</v>
      </c>
      <c r="AS32" s="5">
        <f t="shared" si="12"/>
        <v>1</v>
      </c>
      <c r="AT32" s="5">
        <f t="shared" si="12"/>
        <v>1</v>
      </c>
      <c r="AU32" s="5">
        <f t="shared" si="12"/>
        <v>1</v>
      </c>
      <c r="AV32" s="5">
        <f>ROUNDDOWN(ROUND((12*IF((DATE(AV$1,12,31))&lt;$C32,0,IF(YEAR($C32)=AV$1,(DATE(((AV$1)+1),1,1)-$C32)/365.25,IF(AV$1=YEAR($D32),($D32-(DATE(((AV$1)-1),12,31)))/365.25,IF(YEAR($D32)&lt;AV$1,0,1))))),1),0)/12</f>
        <v>1</v>
      </c>
      <c r="AW32" s="5">
        <f>ROUNDDOWN(ROUND((12*IF((DATE(AW$1,12,31))&lt;$C32,0,IF(YEAR($C32)=AW$1,(DATE(((AW$1)+1),1,1)-$C32)/365.25,IF(AW$1=YEAR($D32),($D32-(DATE(((AW$1)-1),12,31)))/365.25,IF(YEAR($D32)&lt;AW$1,0,1))))),1),0)/12</f>
        <v>1</v>
      </c>
      <c r="AX32" s="5">
        <f>ROUNDDOWN(ROUND((12*IF((DATE(AX$1,12,31))&lt;$C32,0,IF(YEAR($C32)=AX$1,(DATE(((AX$1)+1),1,1)-$C32)/365.25,IF(AX$1=YEAR($D32),($D32-(DATE(((AX$1)-1),12,31)))/365.25,IF(YEAR($D32)&lt;AX$1,0,1))))),1),0)/12</f>
        <v>1</v>
      </c>
      <c r="AY32" s="5">
        <f>ROUNDDOWN(ROUND((12*IF((DATE(AY$1,12,31))&lt;$C32,0,IF(YEAR($C32)=AY$1,(DATE(((AY$1)+1),1,1)-$C32)/365.25,IF(AY$1=YEAR($D32),($D32-(DATE(((AY$1)-1),12,31)))/365.25,IF(YEAR($D32)&lt;AY$1,0,1))))),1),0)/12</f>
        <v>1</v>
      </c>
      <c r="AZ32" s="5">
        <f>ROUNDDOWN(ROUND((12*IF((DATE(AZ$1,12,31))&lt;$C32,0,IF(YEAR($C32)=AZ$1,(DATE(((AZ$1)+1),1,1)-$C32)/365.25,IF(AZ$1=YEAR($D32),($D32-(DATE(((AZ$1)-1),12,31)))/365.25,IF(YEAR($D32)&lt;AZ$1,0,1))))),1),0)/12</f>
        <v>1</v>
      </c>
      <c r="BA32" s="5">
        <f>ROUNDDOWN(ROUND((12*IF((DATE(BA$1,12,31))&lt;$C32,0,IF(YEAR($C32)=BA$1,(DATE(((BA$1)+1),1,1)-$C32)/365.25,IF(BA$1=YEAR($D32),($D32-(DATE(((BA$1)-1),12,31)))/365.25,IF(YEAR($D32)&lt;BA$1,0,1))))),1),0)/12</f>
        <v>1</v>
      </c>
      <c r="BB32" s="5">
        <f>ROUNDDOWN(ROUND((12*IF((DATE(BB$1,12,31))&lt;$C32,0,IF(YEAR($C32)=BB$1,(DATE(((BB$1)+1),1,1)-$C32)/365.25,IF(BB$1=YEAR($D32),($D32-(DATE(((BB$1)-1),12,31)))/365.25,IF(YEAR($D32)&lt;BB$1,0,1))))),1),0)/12</f>
        <v>1</v>
      </c>
      <c r="BC32" s="5">
        <f>ROUNDDOWN(ROUND((12*IF((DATE(BC$1,12,31))&lt;$C32,0,IF(YEAR($C32)=BC$1,(DATE(((BC$1)+1),1,1)-$C32)/365.25,IF(BC$1=YEAR($D32),($D32-(DATE(((BC$1)-1),12,31)))/365.25,IF(YEAR($D32)&lt;BC$1,0,1))))),1),0)/12</f>
        <v>1</v>
      </c>
    </row>
    <row r="33" spans="1:55" x14ac:dyDescent="0.25">
      <c r="A33" s="132">
        <v>600</v>
      </c>
      <c r="B33" s="133">
        <v>746</v>
      </c>
      <c r="C33" s="134">
        <v>37305</v>
      </c>
      <c r="D33" s="161">
        <v>44197</v>
      </c>
      <c r="G33" s="5">
        <f t="shared" si="0"/>
        <v>0</v>
      </c>
      <c r="H33" s="5">
        <f t="shared" si="9"/>
        <v>0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  <c r="N33" s="5">
        <f t="shared" si="9"/>
        <v>0</v>
      </c>
      <c r="O33" s="5">
        <f t="shared" si="9"/>
        <v>0</v>
      </c>
      <c r="P33" s="5">
        <f t="shared" si="9"/>
        <v>0</v>
      </c>
      <c r="Q33" s="5">
        <f t="shared" si="9"/>
        <v>0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0</v>
      </c>
      <c r="W33" s="5">
        <f t="shared" si="10"/>
        <v>0</v>
      </c>
      <c r="X33" s="5">
        <f t="shared" si="10"/>
        <v>0</v>
      </c>
      <c r="Y33" s="5">
        <f t="shared" si="10"/>
        <v>0</v>
      </c>
      <c r="Z33" s="5">
        <f t="shared" si="10"/>
        <v>0</v>
      </c>
      <c r="AA33" s="5">
        <f t="shared" si="10"/>
        <v>0</v>
      </c>
      <c r="AB33" s="5">
        <f t="shared" si="11"/>
        <v>0</v>
      </c>
      <c r="AC33" s="5">
        <f t="shared" si="11"/>
        <v>0</v>
      </c>
      <c r="AD33" s="5">
        <f t="shared" si="11"/>
        <v>0</v>
      </c>
      <c r="AE33" s="5">
        <f t="shared" si="11"/>
        <v>0</v>
      </c>
      <c r="AF33" s="5">
        <f t="shared" si="11"/>
        <v>0.83333333333333337</v>
      </c>
      <c r="AG33" s="5">
        <f t="shared" si="11"/>
        <v>1</v>
      </c>
      <c r="AH33" s="5">
        <f t="shared" si="11"/>
        <v>1</v>
      </c>
      <c r="AI33" s="5">
        <f t="shared" si="11"/>
        <v>1</v>
      </c>
      <c r="AJ33" s="5">
        <f t="shared" si="11"/>
        <v>1</v>
      </c>
      <c r="AK33" s="5">
        <f t="shared" si="11"/>
        <v>1</v>
      </c>
      <c r="AL33" s="5">
        <f t="shared" si="12"/>
        <v>1</v>
      </c>
      <c r="AM33" s="5">
        <f t="shared" si="12"/>
        <v>1</v>
      </c>
      <c r="AN33" s="5">
        <f t="shared" si="12"/>
        <v>1</v>
      </c>
      <c r="AO33" s="5">
        <f t="shared" si="12"/>
        <v>1</v>
      </c>
      <c r="AP33" s="5">
        <f t="shared" si="12"/>
        <v>1</v>
      </c>
      <c r="AQ33" s="5">
        <f t="shared" si="12"/>
        <v>1</v>
      </c>
      <c r="AR33" s="5">
        <f t="shared" si="12"/>
        <v>1</v>
      </c>
      <c r="AS33" s="5">
        <f t="shared" si="12"/>
        <v>1</v>
      </c>
      <c r="AT33" s="5">
        <f t="shared" si="12"/>
        <v>1</v>
      </c>
      <c r="AU33" s="5">
        <f t="shared" si="12"/>
        <v>1</v>
      </c>
      <c r="AV33" s="5">
        <f>ROUNDDOWN(ROUND((12*IF((DATE(AV$1,12,31))&lt;$C33,0,IF(YEAR($C33)=AV$1,(DATE(((AV$1)+1),1,1)-$C33)/365.25,IF(AV$1=YEAR($D33),($D33-(DATE(((AV$1)-1),12,31)))/365.25,IF(YEAR($D33)&lt;AV$1,0,1))))),1),0)/12</f>
        <v>1</v>
      </c>
      <c r="AW33" s="5">
        <f>ROUNDDOWN(ROUND((12*IF((DATE(AW$1,12,31))&lt;$C33,0,IF(YEAR($C33)=AW$1,(DATE(((AW$1)+1),1,1)-$C33)/365.25,IF(AW$1=YEAR($D33),($D33-(DATE(((AW$1)-1),12,31)))/365.25,IF(YEAR($D33)&lt;AW$1,0,1))))),1),0)/12</f>
        <v>1</v>
      </c>
      <c r="AX33" s="5">
        <f>ROUNDDOWN(ROUND((12*IF((DATE(AX$1,12,31))&lt;$C33,0,IF(YEAR($C33)=AX$1,(DATE(((AX$1)+1),1,1)-$C33)/365.25,IF(AX$1=YEAR($D33),($D33-(DATE(((AX$1)-1),12,31)))/365.25,IF(YEAR($D33)&lt;AX$1,0,1))))),1),0)/12</f>
        <v>1</v>
      </c>
      <c r="AY33" s="5">
        <f>ROUNDDOWN(ROUND((12*IF((DATE(AY$1,12,31))&lt;$C33,0,IF(YEAR($C33)=AY$1,(DATE(((AY$1)+1),1,1)-$C33)/365.25,IF(AY$1=YEAR($D33),($D33-(DATE(((AY$1)-1),12,31)))/365.25,IF(YEAR($D33)&lt;AY$1,0,1))))),1),0)/12</f>
        <v>0</v>
      </c>
      <c r="AZ33" s="5">
        <f>ROUNDDOWN(ROUND((12*IF((DATE(AZ$1,12,31))&lt;$C33,0,IF(YEAR($C33)=AZ$1,(DATE(((AZ$1)+1),1,1)-$C33)/365.25,IF(AZ$1=YEAR($D33),($D33-(DATE(((AZ$1)-1),12,31)))/365.25,IF(YEAR($D33)&lt;AZ$1,0,1))))),1),0)/12</f>
        <v>0</v>
      </c>
      <c r="BA33" s="5">
        <f>ROUNDDOWN(ROUND((12*IF((DATE(BA$1,12,31))&lt;$C33,0,IF(YEAR($C33)=BA$1,(DATE(((BA$1)+1),1,1)-$C33)/365.25,IF(BA$1=YEAR($D33),($D33-(DATE(((BA$1)-1),12,31)))/365.25,IF(YEAR($D33)&lt;BA$1,0,1))))),1),0)/12</f>
        <v>0</v>
      </c>
      <c r="BB33" s="5">
        <f>ROUNDDOWN(ROUND((12*IF((DATE(BB$1,12,31))&lt;$C33,0,IF(YEAR($C33)=BB$1,(DATE(((BB$1)+1),1,1)-$C33)/365.25,IF(BB$1=YEAR($D33),($D33-(DATE(((BB$1)-1),12,31)))/365.25,IF(YEAR($D33)&lt;BB$1,0,1))))),1),0)/12</f>
        <v>0</v>
      </c>
      <c r="BC33" s="5">
        <f>ROUNDDOWN(ROUND((12*IF((DATE(BC$1,12,31))&lt;$C33,0,IF(YEAR($C33)=BC$1,(DATE(((BC$1)+1),1,1)-$C33)/365.25,IF(BC$1=YEAR($D33),($D33-(DATE(((BC$1)-1),12,31)))/365.25,IF(YEAR($D33)&lt;BC$1,0,1))))),1),0)/12</f>
        <v>0</v>
      </c>
    </row>
    <row r="34" spans="1:55" x14ac:dyDescent="0.25">
      <c r="A34" s="132">
        <v>600</v>
      </c>
      <c r="B34" s="133">
        <v>743</v>
      </c>
      <c r="C34" s="134">
        <v>37208</v>
      </c>
      <c r="D34" s="161">
        <v>52232</v>
      </c>
      <c r="G34" s="5">
        <f t="shared" ref="G34:G57" si="13">ROUNDDOWN(ROUND((12*IF((DATE(G$1,12,31))&lt;$C34,0,IF(YEAR($C34)=G$1,(DATE(((G$1)+1),1,1)-$C34)/365.25,IF(G$1=YEAR($D34),($D34-(DATE(((G$1)-1),12,31)))/365.25,IF(YEAR($D34)&lt;G$1,0,1))))),1),0)/12</f>
        <v>0</v>
      </c>
      <c r="H34" s="5">
        <f t="shared" si="9"/>
        <v>0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  <c r="N34" s="5">
        <f t="shared" si="9"/>
        <v>0</v>
      </c>
      <c r="O34" s="5">
        <f t="shared" si="9"/>
        <v>0</v>
      </c>
      <c r="P34" s="5">
        <f t="shared" si="9"/>
        <v>0</v>
      </c>
      <c r="Q34" s="5">
        <f t="shared" si="9"/>
        <v>0</v>
      </c>
      <c r="R34" s="5">
        <f t="shared" si="10"/>
        <v>0</v>
      </c>
      <c r="S34" s="5">
        <f t="shared" si="10"/>
        <v>0</v>
      </c>
      <c r="T34" s="5">
        <f t="shared" si="10"/>
        <v>0</v>
      </c>
      <c r="U34" s="5">
        <f t="shared" si="10"/>
        <v>0</v>
      </c>
      <c r="V34" s="5">
        <f t="shared" si="10"/>
        <v>0</v>
      </c>
      <c r="W34" s="5">
        <f t="shared" si="10"/>
        <v>0</v>
      </c>
      <c r="X34" s="5">
        <f t="shared" si="10"/>
        <v>0</v>
      </c>
      <c r="Y34" s="5">
        <f t="shared" si="10"/>
        <v>0</v>
      </c>
      <c r="Z34" s="5">
        <f t="shared" si="10"/>
        <v>0</v>
      </c>
      <c r="AA34" s="5">
        <f t="shared" si="10"/>
        <v>0</v>
      </c>
      <c r="AB34" s="5">
        <f t="shared" si="11"/>
        <v>0</v>
      </c>
      <c r="AC34" s="5">
        <f t="shared" si="11"/>
        <v>0</v>
      </c>
      <c r="AD34" s="5">
        <f t="shared" si="11"/>
        <v>0</v>
      </c>
      <c r="AE34" s="5">
        <f t="shared" si="11"/>
        <v>8.3333333333333329E-2</v>
      </c>
      <c r="AF34" s="5">
        <f t="shared" si="11"/>
        <v>1</v>
      </c>
      <c r="AG34" s="5">
        <f t="shared" si="11"/>
        <v>1</v>
      </c>
      <c r="AH34" s="5">
        <f t="shared" si="11"/>
        <v>1</v>
      </c>
      <c r="AI34" s="5">
        <f t="shared" si="11"/>
        <v>1</v>
      </c>
      <c r="AJ34" s="5">
        <f t="shared" si="11"/>
        <v>1</v>
      </c>
      <c r="AK34" s="5">
        <f t="shared" si="11"/>
        <v>1</v>
      </c>
      <c r="AL34" s="5">
        <f t="shared" si="12"/>
        <v>1</v>
      </c>
      <c r="AM34" s="5">
        <f t="shared" si="12"/>
        <v>1</v>
      </c>
      <c r="AN34" s="5">
        <f t="shared" si="12"/>
        <v>1</v>
      </c>
      <c r="AO34" s="5">
        <f t="shared" si="12"/>
        <v>1</v>
      </c>
      <c r="AP34" s="5">
        <f t="shared" si="12"/>
        <v>1</v>
      </c>
      <c r="AQ34" s="5">
        <f t="shared" si="12"/>
        <v>1</v>
      </c>
      <c r="AR34" s="5">
        <f t="shared" si="12"/>
        <v>1</v>
      </c>
      <c r="AS34" s="5">
        <f t="shared" si="12"/>
        <v>1</v>
      </c>
      <c r="AT34" s="5">
        <f t="shared" si="12"/>
        <v>1</v>
      </c>
      <c r="AU34" s="5">
        <f t="shared" si="12"/>
        <v>1</v>
      </c>
      <c r="AV34" s="5">
        <f>ROUNDDOWN(ROUND((12*IF((DATE(AV$1,12,31))&lt;$C34,0,IF(YEAR($C34)=AV$1,(DATE(((AV$1)+1),1,1)-$C34)/365.25,IF(AV$1=YEAR($D34),($D34-(DATE(((AV$1)-1),12,31)))/365.25,IF(YEAR($D34)&lt;AV$1,0,1))))),1),0)/12</f>
        <v>1</v>
      </c>
      <c r="AW34" s="5">
        <f>ROUNDDOWN(ROUND((12*IF((DATE(AW$1,12,31))&lt;$C34,0,IF(YEAR($C34)=AW$1,(DATE(((AW$1)+1),1,1)-$C34)/365.25,IF(AW$1=YEAR($D34),($D34-(DATE(((AW$1)-1),12,31)))/365.25,IF(YEAR($D34)&lt;AW$1,0,1))))),1),0)/12</f>
        <v>1</v>
      </c>
      <c r="AX34" s="5">
        <f>ROUNDDOWN(ROUND((12*IF((DATE(AX$1,12,31))&lt;$C34,0,IF(YEAR($C34)=AX$1,(DATE(((AX$1)+1),1,1)-$C34)/365.25,IF(AX$1=YEAR($D34),($D34-(DATE(((AX$1)-1),12,31)))/365.25,IF(YEAR($D34)&lt;AX$1,0,1))))),1),0)/12</f>
        <v>1</v>
      </c>
      <c r="AY34" s="5">
        <f>ROUNDDOWN(ROUND((12*IF((DATE(AY$1,12,31))&lt;$C34,0,IF(YEAR($C34)=AY$1,(DATE(((AY$1)+1),1,1)-$C34)/365.25,IF(AY$1=YEAR($D34),($D34-(DATE(((AY$1)-1),12,31)))/365.25,IF(YEAR($D34)&lt;AY$1,0,1))))),1),0)/12</f>
        <v>1</v>
      </c>
      <c r="AZ34" s="5">
        <f>ROUNDDOWN(ROUND((12*IF((DATE(AZ$1,12,31))&lt;$C34,0,IF(YEAR($C34)=AZ$1,(DATE(((AZ$1)+1),1,1)-$C34)/365.25,IF(AZ$1=YEAR($D34),($D34-(DATE(((AZ$1)-1),12,31)))/365.25,IF(YEAR($D34)&lt;AZ$1,0,1))))),1),0)/12</f>
        <v>1</v>
      </c>
      <c r="BA34" s="5">
        <f>ROUNDDOWN(ROUND((12*IF((DATE(BA$1,12,31))&lt;$C34,0,IF(YEAR($C34)=BA$1,(DATE(((BA$1)+1),1,1)-$C34)/365.25,IF(BA$1=YEAR($D34),($D34-(DATE(((BA$1)-1),12,31)))/365.25,IF(YEAR($D34)&lt;BA$1,0,1))))),1),0)/12</f>
        <v>1</v>
      </c>
      <c r="BB34" s="5">
        <f>ROUNDDOWN(ROUND((12*IF((DATE(BB$1,12,31))&lt;$C34,0,IF(YEAR($C34)=BB$1,(DATE(((BB$1)+1),1,1)-$C34)/365.25,IF(BB$1=YEAR($D34),($D34-(DATE(((BB$1)-1),12,31)))/365.25,IF(YEAR($D34)&lt;BB$1,0,1))))),1),0)/12</f>
        <v>1</v>
      </c>
      <c r="BC34" s="5">
        <f>ROUNDDOWN(ROUND((12*IF((DATE(BC$1,12,31))&lt;$C34,0,IF(YEAR($C34)=BC$1,(DATE(((BC$1)+1),1,1)-$C34)/365.25,IF(BC$1=YEAR($D34),($D34-(DATE(((BC$1)-1),12,31)))/365.25,IF(YEAR($D34)&lt;BC$1,0,1))))),1),0)/12</f>
        <v>1</v>
      </c>
    </row>
    <row r="35" spans="1:55" x14ac:dyDescent="0.25">
      <c r="A35" s="132">
        <v>600</v>
      </c>
      <c r="B35" s="133">
        <v>742</v>
      </c>
      <c r="C35" s="134">
        <v>37165</v>
      </c>
      <c r="D35" s="161">
        <v>47757</v>
      </c>
      <c r="G35" s="5">
        <f t="shared" si="13"/>
        <v>0</v>
      </c>
      <c r="H35" s="5">
        <f t="shared" si="9"/>
        <v>0</v>
      </c>
      <c r="I35" s="5">
        <f t="shared" si="9"/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  <c r="N35" s="5">
        <f t="shared" si="9"/>
        <v>0</v>
      </c>
      <c r="O35" s="5">
        <f t="shared" si="9"/>
        <v>0</v>
      </c>
      <c r="P35" s="5">
        <f t="shared" si="9"/>
        <v>0</v>
      </c>
      <c r="Q35" s="5">
        <f t="shared" si="9"/>
        <v>0</v>
      </c>
      <c r="R35" s="5">
        <f t="shared" si="10"/>
        <v>0</v>
      </c>
      <c r="S35" s="5">
        <f t="shared" si="10"/>
        <v>0</v>
      </c>
      <c r="T35" s="5">
        <f t="shared" si="10"/>
        <v>0</v>
      </c>
      <c r="U35" s="5">
        <f t="shared" si="10"/>
        <v>0</v>
      </c>
      <c r="V35" s="5">
        <f t="shared" si="10"/>
        <v>0</v>
      </c>
      <c r="W35" s="5">
        <f t="shared" si="10"/>
        <v>0</v>
      </c>
      <c r="X35" s="5">
        <f t="shared" si="10"/>
        <v>0</v>
      </c>
      <c r="Y35" s="5">
        <f t="shared" si="10"/>
        <v>0</v>
      </c>
      <c r="Z35" s="5">
        <f t="shared" si="10"/>
        <v>0</v>
      </c>
      <c r="AA35" s="5">
        <f t="shared" si="10"/>
        <v>0</v>
      </c>
      <c r="AB35" s="5">
        <f t="shared" si="11"/>
        <v>0</v>
      </c>
      <c r="AC35" s="5">
        <f t="shared" si="11"/>
        <v>0</v>
      </c>
      <c r="AD35" s="5">
        <f t="shared" si="11"/>
        <v>0</v>
      </c>
      <c r="AE35" s="5">
        <f t="shared" si="11"/>
        <v>0.25</v>
      </c>
      <c r="AF35" s="5">
        <f t="shared" si="11"/>
        <v>1</v>
      </c>
      <c r="AG35" s="5">
        <f t="shared" si="11"/>
        <v>1</v>
      </c>
      <c r="AH35" s="5">
        <f t="shared" si="11"/>
        <v>1</v>
      </c>
      <c r="AI35" s="5">
        <f t="shared" si="11"/>
        <v>1</v>
      </c>
      <c r="AJ35" s="5">
        <f t="shared" si="11"/>
        <v>1</v>
      </c>
      <c r="AK35" s="5">
        <f t="shared" si="11"/>
        <v>1</v>
      </c>
      <c r="AL35" s="5">
        <f t="shared" si="12"/>
        <v>1</v>
      </c>
      <c r="AM35" s="5">
        <f t="shared" si="12"/>
        <v>1</v>
      </c>
      <c r="AN35" s="5">
        <f t="shared" si="12"/>
        <v>1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1</v>
      </c>
      <c r="AT35" s="5">
        <f t="shared" si="12"/>
        <v>1</v>
      </c>
      <c r="AU35" s="5">
        <f t="shared" si="12"/>
        <v>1</v>
      </c>
      <c r="AV35" s="5">
        <f>ROUNDDOWN(ROUND((12*IF((DATE(AV$1,12,31))&lt;$C35,0,IF(YEAR($C35)=AV$1,(DATE(((AV$1)+1),1,1)-$C35)/365.25,IF(AV$1=YEAR($D35),($D35-(DATE(((AV$1)-1),12,31)))/365.25,IF(YEAR($D35)&lt;AV$1,0,1))))),1),0)/12</f>
        <v>1</v>
      </c>
      <c r="AW35" s="5">
        <f>ROUNDDOWN(ROUND((12*IF((DATE(AW$1,12,31))&lt;$C35,0,IF(YEAR($C35)=AW$1,(DATE(((AW$1)+1),1,1)-$C35)/365.25,IF(AW$1=YEAR($D35),($D35-(DATE(((AW$1)-1),12,31)))/365.25,IF(YEAR($D35)&lt;AW$1,0,1))))),1),0)/12</f>
        <v>1</v>
      </c>
      <c r="AX35" s="5">
        <f>ROUNDDOWN(ROUND((12*IF((DATE(AX$1,12,31))&lt;$C35,0,IF(YEAR($C35)=AX$1,(DATE(((AX$1)+1),1,1)-$C35)/365.25,IF(AX$1=YEAR($D35),($D35-(DATE(((AX$1)-1),12,31)))/365.25,IF(YEAR($D35)&lt;AX$1,0,1))))),1),0)/12</f>
        <v>1</v>
      </c>
      <c r="AY35" s="5">
        <f>ROUNDDOWN(ROUND((12*IF((DATE(AY$1,12,31))&lt;$C35,0,IF(YEAR($C35)=AY$1,(DATE(((AY$1)+1),1,1)-$C35)/365.25,IF(AY$1=YEAR($D35),($D35-(DATE(((AY$1)-1),12,31)))/365.25,IF(YEAR($D35)&lt;AY$1,0,1))))),1),0)/12</f>
        <v>1</v>
      </c>
      <c r="AZ35" s="5">
        <f>ROUNDDOWN(ROUND((12*IF((DATE(AZ$1,12,31))&lt;$C35,0,IF(YEAR($C35)=AZ$1,(DATE(((AZ$1)+1),1,1)-$C35)/365.25,IF(AZ$1=YEAR($D35),($D35-(DATE(((AZ$1)-1),12,31)))/365.25,IF(YEAR($D35)&lt;AZ$1,0,1))))),1),0)/12</f>
        <v>1</v>
      </c>
      <c r="BA35" s="5">
        <f>ROUNDDOWN(ROUND((12*IF((DATE(BA$1,12,31))&lt;$C35,0,IF(YEAR($C35)=BA$1,(DATE(((BA$1)+1),1,1)-$C35)/365.25,IF(BA$1=YEAR($D35),($D35-(DATE(((BA$1)-1),12,31)))/365.25,IF(YEAR($D35)&lt;BA$1,0,1))))),1),0)/12</f>
        <v>1</v>
      </c>
      <c r="BB35" s="5">
        <f>ROUNDDOWN(ROUND((12*IF((DATE(BB$1,12,31))&lt;$C35,0,IF(YEAR($C35)=BB$1,(DATE(((BB$1)+1),1,1)-$C35)/365.25,IF(BB$1=YEAR($D35),($D35-(DATE(((BB$1)-1),12,31)))/365.25,IF(YEAR($D35)&lt;BB$1,0,1))))),1),0)/12</f>
        <v>1</v>
      </c>
      <c r="BC35" s="5">
        <f>ROUNDDOWN(ROUND((12*IF((DATE(BC$1,12,31))&lt;$C35,0,IF(YEAR($C35)=BC$1,(DATE(((BC$1)+1),1,1)-$C35)/365.25,IF(BC$1=YEAR($D35),($D35-(DATE(((BC$1)-1),12,31)))/365.25,IF(YEAR($D35)&lt;BC$1,0,1))))),1),0)/12</f>
        <v>1</v>
      </c>
    </row>
    <row r="36" spans="1:55" x14ac:dyDescent="0.25">
      <c r="A36" s="132">
        <v>600</v>
      </c>
      <c r="B36" s="133">
        <v>740</v>
      </c>
      <c r="C36" s="134">
        <v>37144</v>
      </c>
      <c r="D36" s="161">
        <v>51167</v>
      </c>
      <c r="G36" s="5">
        <f t="shared" si="13"/>
        <v>0</v>
      </c>
      <c r="H36" s="5">
        <f t="shared" si="9"/>
        <v>0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  <c r="N36" s="5">
        <f t="shared" si="9"/>
        <v>0</v>
      </c>
      <c r="O36" s="5">
        <f t="shared" si="9"/>
        <v>0</v>
      </c>
      <c r="P36" s="5">
        <f t="shared" si="9"/>
        <v>0</v>
      </c>
      <c r="Q36" s="5">
        <f t="shared" si="9"/>
        <v>0</v>
      </c>
      <c r="R36" s="5">
        <f t="shared" si="10"/>
        <v>0</v>
      </c>
      <c r="S36" s="5">
        <f t="shared" si="10"/>
        <v>0</v>
      </c>
      <c r="T36" s="5">
        <f t="shared" si="10"/>
        <v>0</v>
      </c>
      <c r="U36" s="5">
        <f t="shared" si="10"/>
        <v>0</v>
      </c>
      <c r="V36" s="5">
        <f t="shared" si="10"/>
        <v>0</v>
      </c>
      <c r="W36" s="5">
        <f t="shared" si="10"/>
        <v>0</v>
      </c>
      <c r="X36" s="5">
        <f t="shared" si="10"/>
        <v>0</v>
      </c>
      <c r="Y36" s="5">
        <f t="shared" si="10"/>
        <v>0</v>
      </c>
      <c r="Z36" s="5">
        <f t="shared" si="10"/>
        <v>0</v>
      </c>
      <c r="AA36" s="5">
        <f t="shared" si="10"/>
        <v>0</v>
      </c>
      <c r="AB36" s="5">
        <f t="shared" si="11"/>
        <v>0</v>
      </c>
      <c r="AC36" s="5">
        <f t="shared" si="11"/>
        <v>0</v>
      </c>
      <c r="AD36" s="5">
        <f t="shared" si="11"/>
        <v>0</v>
      </c>
      <c r="AE36" s="5">
        <f t="shared" si="11"/>
        <v>0.25</v>
      </c>
      <c r="AF36" s="5">
        <f t="shared" si="11"/>
        <v>1</v>
      </c>
      <c r="AG36" s="5">
        <f t="shared" si="11"/>
        <v>1</v>
      </c>
      <c r="AH36" s="5">
        <f t="shared" si="11"/>
        <v>1</v>
      </c>
      <c r="AI36" s="5">
        <f t="shared" si="11"/>
        <v>1</v>
      </c>
      <c r="AJ36" s="5">
        <f t="shared" si="11"/>
        <v>1</v>
      </c>
      <c r="AK36" s="5">
        <f t="shared" si="11"/>
        <v>1</v>
      </c>
      <c r="AL36" s="5">
        <f t="shared" si="12"/>
        <v>1</v>
      </c>
      <c r="AM36" s="5">
        <f t="shared" si="12"/>
        <v>1</v>
      </c>
      <c r="AN36" s="5">
        <f t="shared" si="12"/>
        <v>1</v>
      </c>
      <c r="AO36" s="5">
        <f t="shared" si="12"/>
        <v>1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1</v>
      </c>
      <c r="AT36" s="5">
        <f t="shared" si="12"/>
        <v>1</v>
      </c>
      <c r="AU36" s="5">
        <f t="shared" si="12"/>
        <v>1</v>
      </c>
      <c r="AV36" s="5">
        <f>ROUNDDOWN(ROUND((12*IF((DATE(AV$1,12,31))&lt;$C36,0,IF(YEAR($C36)=AV$1,(DATE(((AV$1)+1),1,1)-$C36)/365.25,IF(AV$1=YEAR($D36),($D36-(DATE(((AV$1)-1),12,31)))/365.25,IF(YEAR($D36)&lt;AV$1,0,1))))),1),0)/12</f>
        <v>1</v>
      </c>
      <c r="AW36" s="5">
        <f>ROUNDDOWN(ROUND((12*IF((DATE(AW$1,12,31))&lt;$C36,0,IF(YEAR($C36)=AW$1,(DATE(((AW$1)+1),1,1)-$C36)/365.25,IF(AW$1=YEAR($D36),($D36-(DATE(((AW$1)-1),12,31)))/365.25,IF(YEAR($D36)&lt;AW$1,0,1))))),1),0)/12</f>
        <v>1</v>
      </c>
      <c r="AX36" s="5">
        <f>ROUNDDOWN(ROUND((12*IF((DATE(AX$1,12,31))&lt;$C36,0,IF(YEAR($C36)=AX$1,(DATE(((AX$1)+1),1,1)-$C36)/365.25,IF(AX$1=YEAR($D36),($D36-(DATE(((AX$1)-1),12,31)))/365.25,IF(YEAR($D36)&lt;AX$1,0,1))))),1),0)/12</f>
        <v>1</v>
      </c>
      <c r="AY36" s="5">
        <f>ROUNDDOWN(ROUND((12*IF((DATE(AY$1,12,31))&lt;$C36,0,IF(YEAR($C36)=AY$1,(DATE(((AY$1)+1),1,1)-$C36)/365.25,IF(AY$1=YEAR($D36),($D36-(DATE(((AY$1)-1),12,31)))/365.25,IF(YEAR($D36)&lt;AY$1,0,1))))),1),0)/12</f>
        <v>1</v>
      </c>
      <c r="AZ36" s="5">
        <f>ROUNDDOWN(ROUND((12*IF((DATE(AZ$1,12,31))&lt;$C36,0,IF(YEAR($C36)=AZ$1,(DATE(((AZ$1)+1),1,1)-$C36)/365.25,IF(AZ$1=YEAR($D36),($D36-(DATE(((AZ$1)-1),12,31)))/365.25,IF(YEAR($D36)&lt;AZ$1,0,1))))),1),0)/12</f>
        <v>1</v>
      </c>
      <c r="BA36" s="5">
        <f>ROUNDDOWN(ROUND((12*IF((DATE(BA$1,12,31))&lt;$C36,0,IF(YEAR($C36)=BA$1,(DATE(((BA$1)+1),1,1)-$C36)/365.25,IF(BA$1=YEAR($D36),($D36-(DATE(((BA$1)-1),12,31)))/365.25,IF(YEAR($D36)&lt;BA$1,0,1))))),1),0)/12</f>
        <v>1</v>
      </c>
      <c r="BB36" s="5">
        <f>ROUNDDOWN(ROUND((12*IF((DATE(BB$1,12,31))&lt;$C36,0,IF(YEAR($C36)=BB$1,(DATE(((BB$1)+1),1,1)-$C36)/365.25,IF(BB$1=YEAR($D36),($D36-(DATE(((BB$1)-1),12,31)))/365.25,IF(YEAR($D36)&lt;BB$1,0,1))))),1),0)/12</f>
        <v>1</v>
      </c>
      <c r="BC36" s="5">
        <f>ROUNDDOWN(ROUND((12*IF((DATE(BC$1,12,31))&lt;$C36,0,IF(YEAR($C36)=BC$1,(DATE(((BC$1)+1),1,1)-$C36)/365.25,IF(BC$1=YEAR($D36),($D36-(DATE(((BC$1)-1),12,31)))/365.25,IF(YEAR($D36)&lt;BC$1,0,1))))),1),0)/12</f>
        <v>1</v>
      </c>
    </row>
    <row r="37" spans="1:55" x14ac:dyDescent="0.25">
      <c r="A37" s="132">
        <v>600</v>
      </c>
      <c r="B37" s="133">
        <v>734</v>
      </c>
      <c r="C37" s="134">
        <v>36937</v>
      </c>
      <c r="D37" s="161">
        <v>44531</v>
      </c>
      <c r="G37" s="5">
        <f t="shared" si="13"/>
        <v>0</v>
      </c>
      <c r="H37" s="5">
        <f t="shared" si="9"/>
        <v>0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  <c r="N37" s="5">
        <f t="shared" si="9"/>
        <v>0</v>
      </c>
      <c r="O37" s="5">
        <f t="shared" si="9"/>
        <v>0</v>
      </c>
      <c r="P37" s="5">
        <f t="shared" si="9"/>
        <v>0</v>
      </c>
      <c r="Q37" s="5">
        <f t="shared" si="9"/>
        <v>0</v>
      </c>
      <c r="R37" s="5">
        <f t="shared" si="10"/>
        <v>0</v>
      </c>
      <c r="S37" s="5">
        <f t="shared" si="10"/>
        <v>0</v>
      </c>
      <c r="T37" s="5">
        <f t="shared" si="10"/>
        <v>0</v>
      </c>
      <c r="U37" s="5">
        <f t="shared" si="10"/>
        <v>0</v>
      </c>
      <c r="V37" s="5">
        <f t="shared" si="10"/>
        <v>0</v>
      </c>
      <c r="W37" s="5">
        <f t="shared" si="10"/>
        <v>0</v>
      </c>
      <c r="X37" s="5">
        <f t="shared" si="10"/>
        <v>0</v>
      </c>
      <c r="Y37" s="5">
        <f t="shared" si="10"/>
        <v>0</v>
      </c>
      <c r="Z37" s="5">
        <f t="shared" si="10"/>
        <v>0</v>
      </c>
      <c r="AA37" s="5">
        <f t="shared" si="10"/>
        <v>0</v>
      </c>
      <c r="AB37" s="5">
        <f t="shared" si="11"/>
        <v>0</v>
      </c>
      <c r="AC37" s="5">
        <f t="shared" si="11"/>
        <v>0</v>
      </c>
      <c r="AD37" s="5">
        <f t="shared" si="11"/>
        <v>0</v>
      </c>
      <c r="AE37" s="5">
        <f t="shared" si="11"/>
        <v>0.83333333333333337</v>
      </c>
      <c r="AF37" s="5">
        <f t="shared" si="11"/>
        <v>1</v>
      </c>
      <c r="AG37" s="5">
        <f t="shared" si="11"/>
        <v>1</v>
      </c>
      <c r="AH37" s="5">
        <f t="shared" si="11"/>
        <v>1</v>
      </c>
      <c r="AI37" s="5">
        <f t="shared" si="11"/>
        <v>1</v>
      </c>
      <c r="AJ37" s="5">
        <f t="shared" si="11"/>
        <v>1</v>
      </c>
      <c r="AK37" s="5">
        <f t="shared" si="11"/>
        <v>1</v>
      </c>
      <c r="AL37" s="5">
        <f t="shared" si="12"/>
        <v>1</v>
      </c>
      <c r="AM37" s="5">
        <f t="shared" si="12"/>
        <v>1</v>
      </c>
      <c r="AN37" s="5">
        <f t="shared" si="12"/>
        <v>1</v>
      </c>
      <c r="AO37" s="5">
        <f t="shared" si="12"/>
        <v>1</v>
      </c>
      <c r="AP37" s="5">
        <f t="shared" si="12"/>
        <v>1</v>
      </c>
      <c r="AQ37" s="5">
        <f t="shared" si="12"/>
        <v>1</v>
      </c>
      <c r="AR37" s="5">
        <f t="shared" si="12"/>
        <v>1</v>
      </c>
      <c r="AS37" s="5">
        <f t="shared" si="12"/>
        <v>1</v>
      </c>
      <c r="AT37" s="5">
        <f t="shared" si="12"/>
        <v>1</v>
      </c>
      <c r="AU37" s="5">
        <f t="shared" si="12"/>
        <v>1</v>
      </c>
      <c r="AV37" s="5">
        <f>ROUNDDOWN(ROUND((12*IF((DATE(AV$1,12,31))&lt;$C37,0,IF(YEAR($C37)=AV$1,(DATE(((AV$1)+1),1,1)-$C37)/365.25,IF(AV$1=YEAR($D37),($D37-(DATE(((AV$1)-1),12,31)))/365.25,IF(YEAR($D37)&lt;AV$1,0,1))))),1),0)/12</f>
        <v>1</v>
      </c>
      <c r="AW37" s="5">
        <f>ROUNDDOWN(ROUND((12*IF((DATE(AW$1,12,31))&lt;$C37,0,IF(YEAR($C37)=AW$1,(DATE(((AW$1)+1),1,1)-$C37)/365.25,IF(AW$1=YEAR($D37),($D37-(DATE(((AW$1)-1),12,31)))/365.25,IF(YEAR($D37)&lt;AW$1,0,1))))),1),0)/12</f>
        <v>1</v>
      </c>
      <c r="AX37" s="5">
        <f>ROUNDDOWN(ROUND((12*IF((DATE(AX$1,12,31))&lt;$C37,0,IF(YEAR($C37)=AX$1,(DATE(((AX$1)+1),1,1)-$C37)/365.25,IF(AX$1=YEAR($D37),($D37-(DATE(((AX$1)-1),12,31)))/365.25,IF(YEAR($D37)&lt;AX$1,0,1))))),1),0)/12</f>
        <v>1</v>
      </c>
      <c r="AY37" s="5">
        <f>ROUNDDOWN(ROUND((12*IF((DATE(AY$1,12,31))&lt;$C37,0,IF(YEAR($C37)=AY$1,(DATE(((AY$1)+1),1,1)-$C37)/365.25,IF(AY$1=YEAR($D37),($D37-(DATE(((AY$1)-1),12,31)))/365.25,IF(YEAR($D37)&lt;AY$1,0,1))))),1),0)/12</f>
        <v>0.91666666666666663</v>
      </c>
      <c r="AZ37" s="5">
        <f>ROUNDDOWN(ROUND((12*IF((DATE(AZ$1,12,31))&lt;$C37,0,IF(YEAR($C37)=AZ$1,(DATE(((AZ$1)+1),1,1)-$C37)/365.25,IF(AZ$1=YEAR($D37),($D37-(DATE(((AZ$1)-1),12,31)))/365.25,IF(YEAR($D37)&lt;AZ$1,0,1))))),1),0)/12</f>
        <v>0</v>
      </c>
      <c r="BA37" s="5">
        <f>ROUNDDOWN(ROUND((12*IF((DATE(BA$1,12,31))&lt;$C37,0,IF(YEAR($C37)=BA$1,(DATE(((BA$1)+1),1,1)-$C37)/365.25,IF(BA$1=YEAR($D37),($D37-(DATE(((BA$1)-1),12,31)))/365.25,IF(YEAR($D37)&lt;BA$1,0,1))))),1),0)/12</f>
        <v>0</v>
      </c>
      <c r="BB37" s="5">
        <f>ROUNDDOWN(ROUND((12*IF((DATE(BB$1,12,31))&lt;$C37,0,IF(YEAR($C37)=BB$1,(DATE(((BB$1)+1),1,1)-$C37)/365.25,IF(BB$1=YEAR($D37),($D37-(DATE(((BB$1)-1),12,31)))/365.25,IF(YEAR($D37)&lt;BB$1,0,1))))),1),0)/12</f>
        <v>0</v>
      </c>
      <c r="BC37" s="5">
        <f>ROUNDDOWN(ROUND((12*IF((DATE(BC$1,12,31))&lt;$C37,0,IF(YEAR($C37)=BC$1,(DATE(((BC$1)+1),1,1)-$C37)/365.25,IF(BC$1=YEAR($D37),($D37-(DATE(((BC$1)-1),12,31)))/365.25,IF(YEAR($D37)&lt;BC$1,0,1))))),1),0)/12</f>
        <v>0</v>
      </c>
    </row>
    <row r="38" spans="1:55" x14ac:dyDescent="0.25">
      <c r="A38" s="132">
        <v>600</v>
      </c>
      <c r="B38" s="133">
        <v>732</v>
      </c>
      <c r="C38" s="134">
        <v>36794</v>
      </c>
      <c r="D38" s="161">
        <v>51622</v>
      </c>
      <c r="G38" s="5">
        <f t="shared" si="13"/>
        <v>0</v>
      </c>
      <c r="H38" s="5">
        <f t="shared" si="9"/>
        <v>0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  <c r="N38" s="5">
        <f t="shared" si="9"/>
        <v>0</v>
      </c>
      <c r="O38" s="5">
        <f t="shared" si="9"/>
        <v>0</v>
      </c>
      <c r="P38" s="5">
        <f t="shared" si="9"/>
        <v>0</v>
      </c>
      <c r="Q38" s="5">
        <f t="shared" si="9"/>
        <v>0</v>
      </c>
      <c r="R38" s="5">
        <f t="shared" si="10"/>
        <v>0</v>
      </c>
      <c r="S38" s="5">
        <f t="shared" si="10"/>
        <v>0</v>
      </c>
      <c r="T38" s="5">
        <f t="shared" si="10"/>
        <v>0</v>
      </c>
      <c r="U38" s="5">
        <f t="shared" si="10"/>
        <v>0</v>
      </c>
      <c r="V38" s="5">
        <f t="shared" si="10"/>
        <v>0</v>
      </c>
      <c r="W38" s="5">
        <f t="shared" si="10"/>
        <v>0</v>
      </c>
      <c r="X38" s="5">
        <f t="shared" si="10"/>
        <v>0</v>
      </c>
      <c r="Y38" s="5">
        <f t="shared" si="10"/>
        <v>0</v>
      </c>
      <c r="Z38" s="5">
        <f t="shared" si="10"/>
        <v>0</v>
      </c>
      <c r="AA38" s="5">
        <f t="shared" si="10"/>
        <v>0</v>
      </c>
      <c r="AB38" s="5">
        <f t="shared" si="11"/>
        <v>0</v>
      </c>
      <c r="AC38" s="5">
        <f t="shared" si="11"/>
        <v>0</v>
      </c>
      <c r="AD38" s="5">
        <f t="shared" si="11"/>
        <v>0.25</v>
      </c>
      <c r="AE38" s="5">
        <f t="shared" si="11"/>
        <v>1</v>
      </c>
      <c r="AF38" s="5">
        <f t="shared" si="11"/>
        <v>1</v>
      </c>
      <c r="AG38" s="5">
        <f t="shared" si="11"/>
        <v>1</v>
      </c>
      <c r="AH38" s="5">
        <f t="shared" si="11"/>
        <v>1</v>
      </c>
      <c r="AI38" s="5">
        <f t="shared" si="11"/>
        <v>1</v>
      </c>
      <c r="AJ38" s="5">
        <f t="shared" si="11"/>
        <v>1</v>
      </c>
      <c r="AK38" s="5">
        <f t="shared" si="11"/>
        <v>1</v>
      </c>
      <c r="AL38" s="5">
        <f t="shared" si="12"/>
        <v>1</v>
      </c>
      <c r="AM38" s="5">
        <f t="shared" si="12"/>
        <v>1</v>
      </c>
      <c r="AN38" s="5">
        <f t="shared" si="12"/>
        <v>1</v>
      </c>
      <c r="AO38" s="5">
        <f t="shared" si="12"/>
        <v>1</v>
      </c>
      <c r="AP38" s="5">
        <f t="shared" si="12"/>
        <v>1</v>
      </c>
      <c r="AQ38" s="5">
        <f t="shared" si="12"/>
        <v>1</v>
      </c>
      <c r="AR38" s="5">
        <f t="shared" si="12"/>
        <v>1</v>
      </c>
      <c r="AS38" s="5">
        <f t="shared" si="12"/>
        <v>1</v>
      </c>
      <c r="AT38" s="5">
        <f t="shared" si="12"/>
        <v>1</v>
      </c>
      <c r="AU38" s="5">
        <f t="shared" si="12"/>
        <v>1</v>
      </c>
      <c r="AV38" s="5">
        <f>ROUNDDOWN(ROUND((12*IF((DATE(AV$1,12,31))&lt;$C38,0,IF(YEAR($C38)=AV$1,(DATE(((AV$1)+1),1,1)-$C38)/365.25,IF(AV$1=YEAR($D38),($D38-(DATE(((AV$1)-1),12,31)))/365.25,IF(YEAR($D38)&lt;AV$1,0,1))))),1),0)/12</f>
        <v>1</v>
      </c>
      <c r="AW38" s="5">
        <f>ROUNDDOWN(ROUND((12*IF((DATE(AW$1,12,31))&lt;$C38,0,IF(YEAR($C38)=AW$1,(DATE(((AW$1)+1),1,1)-$C38)/365.25,IF(AW$1=YEAR($D38),($D38-(DATE(((AW$1)-1),12,31)))/365.25,IF(YEAR($D38)&lt;AW$1,0,1))))),1),0)/12</f>
        <v>1</v>
      </c>
      <c r="AX38" s="5">
        <f>ROUNDDOWN(ROUND((12*IF((DATE(AX$1,12,31))&lt;$C38,0,IF(YEAR($C38)=AX$1,(DATE(((AX$1)+1),1,1)-$C38)/365.25,IF(AX$1=YEAR($D38),($D38-(DATE(((AX$1)-1),12,31)))/365.25,IF(YEAR($D38)&lt;AX$1,0,1))))),1),0)/12</f>
        <v>1</v>
      </c>
      <c r="AY38" s="5">
        <f>ROUNDDOWN(ROUND((12*IF((DATE(AY$1,12,31))&lt;$C38,0,IF(YEAR($C38)=AY$1,(DATE(((AY$1)+1),1,1)-$C38)/365.25,IF(AY$1=YEAR($D38),($D38-(DATE(((AY$1)-1),12,31)))/365.25,IF(YEAR($D38)&lt;AY$1,0,1))))),1),0)/12</f>
        <v>1</v>
      </c>
      <c r="AZ38" s="5">
        <f>ROUNDDOWN(ROUND((12*IF((DATE(AZ$1,12,31))&lt;$C38,0,IF(YEAR($C38)=AZ$1,(DATE(((AZ$1)+1),1,1)-$C38)/365.25,IF(AZ$1=YEAR($D38),($D38-(DATE(((AZ$1)-1),12,31)))/365.25,IF(YEAR($D38)&lt;AZ$1,0,1))))),1),0)/12</f>
        <v>1</v>
      </c>
      <c r="BA38" s="5">
        <f>ROUNDDOWN(ROUND((12*IF((DATE(BA$1,12,31))&lt;$C38,0,IF(YEAR($C38)=BA$1,(DATE(((BA$1)+1),1,1)-$C38)/365.25,IF(BA$1=YEAR($D38),($D38-(DATE(((BA$1)-1),12,31)))/365.25,IF(YEAR($D38)&lt;BA$1,0,1))))),1),0)/12</f>
        <v>1</v>
      </c>
      <c r="BB38" s="5">
        <f>ROUNDDOWN(ROUND((12*IF((DATE(BB$1,12,31))&lt;$C38,0,IF(YEAR($C38)=BB$1,(DATE(((BB$1)+1),1,1)-$C38)/365.25,IF(BB$1=YEAR($D38),($D38-(DATE(((BB$1)-1),12,31)))/365.25,IF(YEAR($D38)&lt;BB$1,0,1))))),1),0)/12</f>
        <v>1</v>
      </c>
      <c r="BC38" s="5">
        <f>ROUNDDOWN(ROUND((12*IF((DATE(BC$1,12,31))&lt;$C38,0,IF(YEAR($C38)=BC$1,(DATE(((BC$1)+1),1,1)-$C38)/365.25,IF(BC$1=YEAR($D38),($D38-(DATE(((BC$1)-1),12,31)))/365.25,IF(YEAR($D38)&lt;BC$1,0,1))))),1),0)/12</f>
        <v>1</v>
      </c>
    </row>
    <row r="39" spans="1:55" x14ac:dyDescent="0.25">
      <c r="A39" s="132">
        <v>600</v>
      </c>
      <c r="B39" s="133">
        <v>730</v>
      </c>
      <c r="C39" s="134">
        <v>36712</v>
      </c>
      <c r="D39" s="161">
        <v>49126</v>
      </c>
      <c r="G39" s="5">
        <f t="shared" si="13"/>
        <v>0</v>
      </c>
      <c r="H39" s="5">
        <f t="shared" si="9"/>
        <v>0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  <c r="N39" s="5">
        <f t="shared" si="9"/>
        <v>0</v>
      </c>
      <c r="O39" s="5">
        <f t="shared" si="9"/>
        <v>0</v>
      </c>
      <c r="P39" s="5">
        <f t="shared" si="9"/>
        <v>0</v>
      </c>
      <c r="Q39" s="5">
        <f t="shared" si="9"/>
        <v>0</v>
      </c>
      <c r="R39" s="5">
        <f t="shared" si="10"/>
        <v>0</v>
      </c>
      <c r="S39" s="5">
        <f t="shared" si="10"/>
        <v>0</v>
      </c>
      <c r="T39" s="5">
        <f t="shared" si="10"/>
        <v>0</v>
      </c>
      <c r="U39" s="5">
        <f t="shared" si="10"/>
        <v>0</v>
      </c>
      <c r="V39" s="5">
        <f t="shared" si="10"/>
        <v>0</v>
      </c>
      <c r="W39" s="5">
        <f t="shared" si="10"/>
        <v>0</v>
      </c>
      <c r="X39" s="5">
        <f t="shared" si="10"/>
        <v>0</v>
      </c>
      <c r="Y39" s="5">
        <f t="shared" si="10"/>
        <v>0</v>
      </c>
      <c r="Z39" s="5">
        <f t="shared" si="10"/>
        <v>0</v>
      </c>
      <c r="AA39" s="5">
        <f t="shared" si="10"/>
        <v>0</v>
      </c>
      <c r="AB39" s="5">
        <f t="shared" si="11"/>
        <v>0</v>
      </c>
      <c r="AC39" s="5">
        <f t="shared" si="11"/>
        <v>0</v>
      </c>
      <c r="AD39" s="5">
        <f t="shared" si="11"/>
        <v>0.41666666666666669</v>
      </c>
      <c r="AE39" s="5">
        <f t="shared" si="11"/>
        <v>1</v>
      </c>
      <c r="AF39" s="5">
        <f t="shared" si="11"/>
        <v>1</v>
      </c>
      <c r="AG39" s="5">
        <f t="shared" si="11"/>
        <v>1</v>
      </c>
      <c r="AH39" s="5">
        <f t="shared" si="11"/>
        <v>1</v>
      </c>
      <c r="AI39" s="5">
        <f t="shared" si="11"/>
        <v>1</v>
      </c>
      <c r="AJ39" s="5">
        <f t="shared" si="11"/>
        <v>1</v>
      </c>
      <c r="AK39" s="5">
        <f t="shared" si="11"/>
        <v>1</v>
      </c>
      <c r="AL39" s="5">
        <f t="shared" si="12"/>
        <v>1</v>
      </c>
      <c r="AM39" s="5">
        <f t="shared" si="12"/>
        <v>1</v>
      </c>
      <c r="AN39" s="5">
        <f t="shared" si="12"/>
        <v>1</v>
      </c>
      <c r="AO39" s="5">
        <f t="shared" si="12"/>
        <v>1</v>
      </c>
      <c r="AP39" s="5">
        <f t="shared" si="12"/>
        <v>1</v>
      </c>
      <c r="AQ39" s="5">
        <f t="shared" si="12"/>
        <v>1</v>
      </c>
      <c r="AR39" s="5">
        <f t="shared" si="12"/>
        <v>1</v>
      </c>
      <c r="AS39" s="5">
        <f t="shared" si="12"/>
        <v>1</v>
      </c>
      <c r="AT39" s="5">
        <f t="shared" si="12"/>
        <v>1</v>
      </c>
      <c r="AU39" s="5">
        <f t="shared" si="12"/>
        <v>1</v>
      </c>
      <c r="AV39" s="5">
        <f>ROUNDDOWN(ROUND((12*IF((DATE(AV$1,12,31))&lt;$C39,0,IF(YEAR($C39)=AV$1,(DATE(((AV$1)+1),1,1)-$C39)/365.25,IF(AV$1=YEAR($D39),($D39-(DATE(((AV$1)-1),12,31)))/365.25,IF(YEAR($D39)&lt;AV$1,0,1))))),1),0)/12</f>
        <v>1</v>
      </c>
      <c r="AW39" s="5">
        <f>ROUNDDOWN(ROUND((12*IF((DATE(AW$1,12,31))&lt;$C39,0,IF(YEAR($C39)=AW$1,(DATE(((AW$1)+1),1,1)-$C39)/365.25,IF(AW$1=YEAR($D39),($D39-(DATE(((AW$1)-1),12,31)))/365.25,IF(YEAR($D39)&lt;AW$1,0,1))))),1),0)/12</f>
        <v>1</v>
      </c>
      <c r="AX39" s="5">
        <f>ROUNDDOWN(ROUND((12*IF((DATE(AX$1,12,31))&lt;$C39,0,IF(YEAR($C39)=AX$1,(DATE(((AX$1)+1),1,1)-$C39)/365.25,IF(AX$1=YEAR($D39),($D39-(DATE(((AX$1)-1),12,31)))/365.25,IF(YEAR($D39)&lt;AX$1,0,1))))),1),0)/12</f>
        <v>1</v>
      </c>
      <c r="AY39" s="5">
        <f>ROUNDDOWN(ROUND((12*IF((DATE(AY$1,12,31))&lt;$C39,0,IF(YEAR($C39)=AY$1,(DATE(((AY$1)+1),1,1)-$C39)/365.25,IF(AY$1=YEAR($D39),($D39-(DATE(((AY$1)-1),12,31)))/365.25,IF(YEAR($D39)&lt;AY$1,0,1))))),1),0)/12</f>
        <v>1</v>
      </c>
      <c r="AZ39" s="5">
        <f>ROUNDDOWN(ROUND((12*IF((DATE(AZ$1,12,31))&lt;$C39,0,IF(YEAR($C39)=AZ$1,(DATE(((AZ$1)+1),1,1)-$C39)/365.25,IF(AZ$1=YEAR($D39),($D39-(DATE(((AZ$1)-1),12,31)))/365.25,IF(YEAR($D39)&lt;AZ$1,0,1))))),1),0)/12</f>
        <v>1</v>
      </c>
      <c r="BA39" s="5">
        <f>ROUNDDOWN(ROUND((12*IF((DATE(BA$1,12,31))&lt;$C39,0,IF(YEAR($C39)=BA$1,(DATE(((BA$1)+1),1,1)-$C39)/365.25,IF(BA$1=YEAR($D39),($D39-(DATE(((BA$1)-1),12,31)))/365.25,IF(YEAR($D39)&lt;BA$1,0,1))))),1),0)/12</f>
        <v>1</v>
      </c>
      <c r="BB39" s="5">
        <f>ROUNDDOWN(ROUND((12*IF((DATE(BB$1,12,31))&lt;$C39,0,IF(YEAR($C39)=BB$1,(DATE(((BB$1)+1),1,1)-$C39)/365.25,IF(BB$1=YEAR($D39),($D39-(DATE(((BB$1)-1),12,31)))/365.25,IF(YEAR($D39)&lt;BB$1,0,1))))),1),0)/12</f>
        <v>1</v>
      </c>
      <c r="BC39" s="5">
        <f>ROUNDDOWN(ROUND((12*IF((DATE(BC$1,12,31))&lt;$C39,0,IF(YEAR($C39)=BC$1,(DATE(((BC$1)+1),1,1)-$C39)/365.25,IF(BC$1=YEAR($D39),($D39-(DATE(((BC$1)-1),12,31)))/365.25,IF(YEAR($D39)&lt;BC$1,0,1))))),1),0)/12</f>
        <v>1</v>
      </c>
    </row>
    <row r="40" spans="1:55" x14ac:dyDescent="0.25">
      <c r="A40" s="132">
        <v>600</v>
      </c>
      <c r="B40" s="133">
        <v>729</v>
      </c>
      <c r="C40" s="134">
        <v>36675</v>
      </c>
      <c r="D40" s="161">
        <v>52201</v>
      </c>
      <c r="G40" s="5">
        <f t="shared" si="13"/>
        <v>0</v>
      </c>
      <c r="H40" s="5">
        <f t="shared" ref="H40:Q49" si="14">ROUNDDOWN(ROUND((12*IF((DATE(H$1,12,31))&lt;$C40,0,IF(YEAR($C40)=H$1,(DATE(((H$1)+1),1,1)-$C40)/365.25,IF(H$1=YEAR($D40),($D40-(DATE(((H$1)-1),12,31)))/365.25,IF(YEAR($D40)&lt;H$1,0,1))))),1),0)/12</f>
        <v>0</v>
      </c>
      <c r="I40" s="5">
        <f t="shared" si="14"/>
        <v>0</v>
      </c>
      <c r="J40" s="5">
        <f t="shared" si="14"/>
        <v>0</v>
      </c>
      <c r="K40" s="5">
        <f t="shared" si="14"/>
        <v>0</v>
      </c>
      <c r="L40" s="5">
        <f t="shared" si="14"/>
        <v>0</v>
      </c>
      <c r="M40" s="5">
        <f t="shared" si="14"/>
        <v>0</v>
      </c>
      <c r="N40" s="5">
        <f t="shared" si="14"/>
        <v>0</v>
      </c>
      <c r="O40" s="5">
        <f t="shared" si="14"/>
        <v>0</v>
      </c>
      <c r="P40" s="5">
        <f t="shared" si="14"/>
        <v>0</v>
      </c>
      <c r="Q40" s="5">
        <f t="shared" si="14"/>
        <v>0</v>
      </c>
      <c r="R40" s="5">
        <f t="shared" ref="R40:AA49" si="15">ROUNDDOWN(ROUND((12*IF((DATE(R$1,12,31))&lt;$C40,0,IF(YEAR($C40)=R$1,(DATE(((R$1)+1),1,1)-$C40)/365.25,IF(R$1=YEAR($D40),($D40-(DATE(((R$1)-1),12,31)))/365.25,IF(YEAR($D40)&lt;R$1,0,1))))),1),0)/12</f>
        <v>0</v>
      </c>
      <c r="S40" s="5">
        <f t="shared" si="15"/>
        <v>0</v>
      </c>
      <c r="T40" s="5">
        <f t="shared" si="15"/>
        <v>0</v>
      </c>
      <c r="U40" s="5">
        <f t="shared" si="15"/>
        <v>0</v>
      </c>
      <c r="V40" s="5">
        <f t="shared" si="15"/>
        <v>0</v>
      </c>
      <c r="W40" s="5">
        <f t="shared" si="15"/>
        <v>0</v>
      </c>
      <c r="X40" s="5">
        <f t="shared" si="15"/>
        <v>0</v>
      </c>
      <c r="Y40" s="5">
        <f t="shared" si="15"/>
        <v>0</v>
      </c>
      <c r="Z40" s="5">
        <f t="shared" si="15"/>
        <v>0</v>
      </c>
      <c r="AA40" s="5">
        <f t="shared" si="15"/>
        <v>0</v>
      </c>
      <c r="AB40" s="5">
        <f t="shared" ref="AB40:AK49" si="16">ROUNDDOWN(ROUND((12*IF((DATE(AB$1,12,31))&lt;$C40,0,IF(YEAR($C40)=AB$1,(DATE(((AB$1)+1),1,1)-$C40)/365.25,IF(AB$1=YEAR($D40),($D40-(DATE(((AB$1)-1),12,31)))/365.25,IF(YEAR($D40)&lt;AB$1,0,1))))),1),0)/12</f>
        <v>0</v>
      </c>
      <c r="AC40" s="5">
        <f t="shared" si="16"/>
        <v>0</v>
      </c>
      <c r="AD40" s="5">
        <f t="shared" si="16"/>
        <v>0.58333333333333337</v>
      </c>
      <c r="AE40" s="5">
        <f t="shared" si="16"/>
        <v>1</v>
      </c>
      <c r="AF40" s="5">
        <f t="shared" si="16"/>
        <v>1</v>
      </c>
      <c r="AG40" s="5">
        <f t="shared" si="16"/>
        <v>1</v>
      </c>
      <c r="AH40" s="5">
        <f t="shared" si="16"/>
        <v>1</v>
      </c>
      <c r="AI40" s="5">
        <f t="shared" si="16"/>
        <v>1</v>
      </c>
      <c r="AJ40" s="5">
        <f t="shared" si="16"/>
        <v>1</v>
      </c>
      <c r="AK40" s="5">
        <f t="shared" si="16"/>
        <v>1</v>
      </c>
      <c r="AL40" s="5">
        <f t="shared" ref="AL40:AU49" si="17">ROUNDDOWN(ROUND((12*IF((DATE(AL$1,12,31))&lt;$C40,0,IF(YEAR($C40)=AL$1,(DATE(((AL$1)+1),1,1)-$C40)/365.25,IF(AL$1=YEAR($D40),($D40-(DATE(((AL$1)-1),12,31)))/365.25,IF(YEAR($D40)&lt;AL$1,0,1))))),1),0)/12</f>
        <v>1</v>
      </c>
      <c r="AM40" s="5">
        <f t="shared" si="17"/>
        <v>1</v>
      </c>
      <c r="AN40" s="5">
        <f t="shared" si="17"/>
        <v>1</v>
      </c>
      <c r="AO40" s="5">
        <f t="shared" si="17"/>
        <v>1</v>
      </c>
      <c r="AP40" s="5">
        <f t="shared" si="17"/>
        <v>1</v>
      </c>
      <c r="AQ40" s="5">
        <f t="shared" si="17"/>
        <v>1</v>
      </c>
      <c r="AR40" s="5">
        <f t="shared" si="17"/>
        <v>1</v>
      </c>
      <c r="AS40" s="5">
        <f t="shared" si="17"/>
        <v>1</v>
      </c>
      <c r="AT40" s="5">
        <f t="shared" si="17"/>
        <v>1</v>
      </c>
      <c r="AU40" s="5">
        <f t="shared" si="17"/>
        <v>1</v>
      </c>
      <c r="AV40" s="5">
        <f>ROUNDDOWN(ROUND((12*IF((DATE(AV$1,12,31))&lt;$C40,0,IF(YEAR($C40)=AV$1,(DATE(((AV$1)+1),1,1)-$C40)/365.25,IF(AV$1=YEAR($D40),($D40-(DATE(((AV$1)-1),12,31)))/365.25,IF(YEAR($D40)&lt;AV$1,0,1))))),1),0)/12</f>
        <v>1</v>
      </c>
      <c r="AW40" s="5">
        <f>ROUNDDOWN(ROUND((12*IF((DATE(AW$1,12,31))&lt;$C40,0,IF(YEAR($C40)=AW$1,(DATE(((AW$1)+1),1,1)-$C40)/365.25,IF(AW$1=YEAR($D40),($D40-(DATE(((AW$1)-1),12,31)))/365.25,IF(YEAR($D40)&lt;AW$1,0,1))))),1),0)/12</f>
        <v>1</v>
      </c>
      <c r="AX40" s="5">
        <f>ROUNDDOWN(ROUND((12*IF((DATE(AX$1,12,31))&lt;$C40,0,IF(YEAR($C40)=AX$1,(DATE(((AX$1)+1),1,1)-$C40)/365.25,IF(AX$1=YEAR($D40),($D40-(DATE(((AX$1)-1),12,31)))/365.25,IF(YEAR($D40)&lt;AX$1,0,1))))),1),0)/12</f>
        <v>1</v>
      </c>
      <c r="AY40" s="5">
        <f>ROUNDDOWN(ROUND((12*IF((DATE(AY$1,12,31))&lt;$C40,0,IF(YEAR($C40)=AY$1,(DATE(((AY$1)+1),1,1)-$C40)/365.25,IF(AY$1=YEAR($D40),($D40-(DATE(((AY$1)-1),12,31)))/365.25,IF(YEAR($D40)&lt;AY$1,0,1))))),1),0)/12</f>
        <v>1</v>
      </c>
      <c r="AZ40" s="5">
        <f>ROUNDDOWN(ROUND((12*IF((DATE(AZ$1,12,31))&lt;$C40,0,IF(YEAR($C40)=AZ$1,(DATE(((AZ$1)+1),1,1)-$C40)/365.25,IF(AZ$1=YEAR($D40),($D40-(DATE(((AZ$1)-1),12,31)))/365.25,IF(YEAR($D40)&lt;AZ$1,0,1))))),1),0)/12</f>
        <v>1</v>
      </c>
      <c r="BA40" s="5">
        <f>ROUNDDOWN(ROUND((12*IF((DATE(BA$1,12,31))&lt;$C40,0,IF(YEAR($C40)=BA$1,(DATE(((BA$1)+1),1,1)-$C40)/365.25,IF(BA$1=YEAR($D40),($D40-(DATE(((BA$1)-1),12,31)))/365.25,IF(YEAR($D40)&lt;BA$1,0,1))))),1),0)/12</f>
        <v>1</v>
      </c>
      <c r="BB40" s="5">
        <f>ROUNDDOWN(ROUND((12*IF((DATE(BB$1,12,31))&lt;$C40,0,IF(YEAR($C40)=BB$1,(DATE(((BB$1)+1),1,1)-$C40)/365.25,IF(BB$1=YEAR($D40),($D40-(DATE(((BB$1)-1),12,31)))/365.25,IF(YEAR($D40)&lt;BB$1,0,1))))),1),0)/12</f>
        <v>1</v>
      </c>
      <c r="BC40" s="5">
        <f>ROUNDDOWN(ROUND((12*IF((DATE(BC$1,12,31))&lt;$C40,0,IF(YEAR($C40)=BC$1,(DATE(((BC$1)+1),1,1)-$C40)/365.25,IF(BC$1=YEAR($D40),($D40-(DATE(((BC$1)-1),12,31)))/365.25,IF(YEAR($D40)&lt;BC$1,0,1))))),1),0)/12</f>
        <v>1</v>
      </c>
    </row>
    <row r="41" spans="1:55" x14ac:dyDescent="0.25">
      <c r="A41" s="132">
        <v>600</v>
      </c>
      <c r="B41" s="133">
        <v>726</v>
      </c>
      <c r="C41" s="134">
        <v>36612</v>
      </c>
      <c r="D41" s="161">
        <v>43952</v>
      </c>
      <c r="G41" s="5">
        <f t="shared" si="13"/>
        <v>0</v>
      </c>
      <c r="H41" s="5">
        <f t="shared" si="14"/>
        <v>0</v>
      </c>
      <c r="I41" s="5">
        <f t="shared" si="14"/>
        <v>0</v>
      </c>
      <c r="J41" s="5">
        <f t="shared" si="14"/>
        <v>0</v>
      </c>
      <c r="K41" s="5">
        <f t="shared" si="14"/>
        <v>0</v>
      </c>
      <c r="L41" s="5">
        <f t="shared" si="14"/>
        <v>0</v>
      </c>
      <c r="M41" s="5">
        <f t="shared" si="14"/>
        <v>0</v>
      </c>
      <c r="N41" s="5">
        <f t="shared" si="14"/>
        <v>0</v>
      </c>
      <c r="O41" s="5">
        <f t="shared" si="14"/>
        <v>0</v>
      </c>
      <c r="P41" s="5">
        <f t="shared" si="14"/>
        <v>0</v>
      </c>
      <c r="Q41" s="5">
        <f t="shared" si="14"/>
        <v>0</v>
      </c>
      <c r="R41" s="5">
        <f t="shared" si="15"/>
        <v>0</v>
      </c>
      <c r="S41" s="5">
        <f t="shared" si="15"/>
        <v>0</v>
      </c>
      <c r="T41" s="5">
        <f t="shared" si="15"/>
        <v>0</v>
      </c>
      <c r="U41" s="5">
        <f t="shared" si="15"/>
        <v>0</v>
      </c>
      <c r="V41" s="5">
        <f t="shared" si="15"/>
        <v>0</v>
      </c>
      <c r="W41" s="5">
        <f t="shared" si="15"/>
        <v>0</v>
      </c>
      <c r="X41" s="5">
        <f t="shared" si="15"/>
        <v>0</v>
      </c>
      <c r="Y41" s="5">
        <f t="shared" si="15"/>
        <v>0</v>
      </c>
      <c r="Z41" s="5">
        <f t="shared" si="15"/>
        <v>0</v>
      </c>
      <c r="AA41" s="5">
        <f t="shared" si="15"/>
        <v>0</v>
      </c>
      <c r="AB41" s="5">
        <f t="shared" si="16"/>
        <v>0</v>
      </c>
      <c r="AC41" s="5">
        <f t="shared" si="16"/>
        <v>0</v>
      </c>
      <c r="AD41" s="5">
        <f t="shared" si="16"/>
        <v>0.75</v>
      </c>
      <c r="AE41" s="5">
        <f t="shared" si="16"/>
        <v>1</v>
      </c>
      <c r="AF41" s="5">
        <f t="shared" si="16"/>
        <v>1</v>
      </c>
      <c r="AG41" s="5">
        <f t="shared" si="16"/>
        <v>1</v>
      </c>
      <c r="AH41" s="5">
        <f t="shared" si="16"/>
        <v>1</v>
      </c>
      <c r="AI41" s="5">
        <f t="shared" si="16"/>
        <v>1</v>
      </c>
      <c r="AJ41" s="5">
        <f t="shared" si="16"/>
        <v>1</v>
      </c>
      <c r="AK41" s="5">
        <f t="shared" si="16"/>
        <v>1</v>
      </c>
      <c r="AL41" s="5">
        <f t="shared" si="17"/>
        <v>1</v>
      </c>
      <c r="AM41" s="5">
        <f t="shared" si="17"/>
        <v>1</v>
      </c>
      <c r="AN41" s="5">
        <f t="shared" si="17"/>
        <v>1</v>
      </c>
      <c r="AO41" s="5">
        <f t="shared" si="17"/>
        <v>1</v>
      </c>
      <c r="AP41" s="5">
        <f t="shared" si="17"/>
        <v>1</v>
      </c>
      <c r="AQ41" s="5">
        <f t="shared" si="17"/>
        <v>1</v>
      </c>
      <c r="AR41" s="5">
        <f t="shared" si="17"/>
        <v>1</v>
      </c>
      <c r="AS41" s="5">
        <f t="shared" si="17"/>
        <v>1</v>
      </c>
      <c r="AT41" s="5">
        <f t="shared" si="17"/>
        <v>1</v>
      </c>
      <c r="AU41" s="5">
        <f t="shared" si="17"/>
        <v>1</v>
      </c>
      <c r="AV41" s="5">
        <f>ROUNDDOWN(ROUND((12*IF((DATE(AV$1,12,31))&lt;$C41,0,IF(YEAR($C41)=AV$1,(DATE(((AV$1)+1),1,1)-$C41)/365.25,IF(AV$1=YEAR($D41),($D41-(DATE(((AV$1)-1),12,31)))/365.25,IF(YEAR($D41)&lt;AV$1,0,1))))),1),0)/12</f>
        <v>1</v>
      </c>
      <c r="AW41" s="5">
        <f>ROUNDDOWN(ROUND((12*IF((DATE(AW$1,12,31))&lt;$C41,0,IF(YEAR($C41)=AW$1,(DATE(((AW$1)+1),1,1)-$C41)/365.25,IF(AW$1=YEAR($D41),($D41-(DATE(((AW$1)-1),12,31)))/365.25,IF(YEAR($D41)&lt;AW$1,0,1))))),1),0)/12</f>
        <v>1</v>
      </c>
      <c r="AX41" s="5">
        <f>ROUNDDOWN(ROUND((12*IF((DATE(AX$1,12,31))&lt;$C41,0,IF(YEAR($C41)=AX$1,(DATE(((AX$1)+1),1,1)-$C41)/365.25,IF(AX$1=YEAR($D41),($D41-(DATE(((AX$1)-1),12,31)))/365.25,IF(YEAR($D41)&lt;AX$1,0,1))))),1),0)/12</f>
        <v>0.33333333333333331</v>
      </c>
      <c r="AY41" s="5">
        <f>ROUNDDOWN(ROUND((12*IF((DATE(AY$1,12,31))&lt;$C41,0,IF(YEAR($C41)=AY$1,(DATE(((AY$1)+1),1,1)-$C41)/365.25,IF(AY$1=YEAR($D41),($D41-(DATE(((AY$1)-1),12,31)))/365.25,IF(YEAR($D41)&lt;AY$1,0,1))))),1),0)/12</f>
        <v>0</v>
      </c>
      <c r="AZ41" s="5">
        <f>ROUNDDOWN(ROUND((12*IF((DATE(AZ$1,12,31))&lt;$C41,0,IF(YEAR($C41)=AZ$1,(DATE(((AZ$1)+1),1,1)-$C41)/365.25,IF(AZ$1=YEAR($D41),($D41-(DATE(((AZ$1)-1),12,31)))/365.25,IF(YEAR($D41)&lt;AZ$1,0,1))))),1),0)/12</f>
        <v>0</v>
      </c>
      <c r="BA41" s="5">
        <f>ROUNDDOWN(ROUND((12*IF((DATE(BA$1,12,31))&lt;$C41,0,IF(YEAR($C41)=BA$1,(DATE(((BA$1)+1),1,1)-$C41)/365.25,IF(BA$1=YEAR($D41),($D41-(DATE(((BA$1)-1),12,31)))/365.25,IF(YEAR($D41)&lt;BA$1,0,1))))),1),0)/12</f>
        <v>0</v>
      </c>
      <c r="BB41" s="5">
        <f>ROUNDDOWN(ROUND((12*IF((DATE(BB$1,12,31))&lt;$C41,0,IF(YEAR($C41)=BB$1,(DATE(((BB$1)+1),1,1)-$C41)/365.25,IF(BB$1=YEAR($D41),($D41-(DATE(((BB$1)-1),12,31)))/365.25,IF(YEAR($D41)&lt;BB$1,0,1))))),1),0)/12</f>
        <v>0</v>
      </c>
      <c r="BC41" s="5">
        <f>ROUNDDOWN(ROUND((12*IF((DATE(BC$1,12,31))&lt;$C41,0,IF(YEAR($C41)=BC$1,(DATE(((BC$1)+1),1,1)-$C41)/365.25,IF(BC$1=YEAR($D41),($D41-(DATE(((BC$1)-1),12,31)))/365.25,IF(YEAR($D41)&lt;BC$1,0,1))))),1),0)/12</f>
        <v>0</v>
      </c>
    </row>
    <row r="42" spans="1:55" x14ac:dyDescent="0.25">
      <c r="A42" s="132">
        <v>600</v>
      </c>
      <c r="B42" s="133">
        <v>721</v>
      </c>
      <c r="C42" s="134">
        <v>36262</v>
      </c>
      <c r="D42" s="161">
        <v>45689</v>
      </c>
      <c r="G42" s="5">
        <f t="shared" si="13"/>
        <v>0</v>
      </c>
      <c r="H42" s="5">
        <f t="shared" si="14"/>
        <v>0</v>
      </c>
      <c r="I42" s="5">
        <f t="shared" si="14"/>
        <v>0</v>
      </c>
      <c r="J42" s="5">
        <f t="shared" si="14"/>
        <v>0</v>
      </c>
      <c r="K42" s="5">
        <f t="shared" si="14"/>
        <v>0</v>
      </c>
      <c r="L42" s="5">
        <f t="shared" si="14"/>
        <v>0</v>
      </c>
      <c r="M42" s="5">
        <f t="shared" si="14"/>
        <v>0</v>
      </c>
      <c r="N42" s="5">
        <f t="shared" si="14"/>
        <v>0</v>
      </c>
      <c r="O42" s="5">
        <f t="shared" si="14"/>
        <v>0</v>
      </c>
      <c r="P42" s="5">
        <f t="shared" si="14"/>
        <v>0</v>
      </c>
      <c r="Q42" s="5">
        <f t="shared" si="14"/>
        <v>0</v>
      </c>
      <c r="R42" s="5">
        <f t="shared" si="15"/>
        <v>0</v>
      </c>
      <c r="S42" s="5">
        <f t="shared" si="15"/>
        <v>0</v>
      </c>
      <c r="T42" s="5">
        <f t="shared" si="15"/>
        <v>0</v>
      </c>
      <c r="U42" s="5">
        <f t="shared" si="15"/>
        <v>0</v>
      </c>
      <c r="V42" s="5">
        <f t="shared" si="15"/>
        <v>0</v>
      </c>
      <c r="W42" s="5">
        <f t="shared" si="15"/>
        <v>0</v>
      </c>
      <c r="X42" s="5">
        <f t="shared" si="15"/>
        <v>0</v>
      </c>
      <c r="Y42" s="5">
        <f t="shared" si="15"/>
        <v>0</v>
      </c>
      <c r="Z42" s="5">
        <f t="shared" si="15"/>
        <v>0</v>
      </c>
      <c r="AA42" s="5">
        <f t="shared" si="15"/>
        <v>0</v>
      </c>
      <c r="AB42" s="5">
        <f t="shared" si="16"/>
        <v>0</v>
      </c>
      <c r="AC42" s="5">
        <f t="shared" si="16"/>
        <v>0.66666666666666663</v>
      </c>
      <c r="AD42" s="5">
        <f t="shared" si="16"/>
        <v>1</v>
      </c>
      <c r="AE42" s="5">
        <f t="shared" si="16"/>
        <v>1</v>
      </c>
      <c r="AF42" s="5">
        <f t="shared" si="16"/>
        <v>1</v>
      </c>
      <c r="AG42" s="5">
        <f t="shared" si="16"/>
        <v>1</v>
      </c>
      <c r="AH42" s="5">
        <f t="shared" si="16"/>
        <v>1</v>
      </c>
      <c r="AI42" s="5">
        <f t="shared" si="16"/>
        <v>1</v>
      </c>
      <c r="AJ42" s="5">
        <f t="shared" si="16"/>
        <v>1</v>
      </c>
      <c r="AK42" s="5">
        <f t="shared" si="16"/>
        <v>1</v>
      </c>
      <c r="AL42" s="5">
        <f t="shared" si="17"/>
        <v>1</v>
      </c>
      <c r="AM42" s="5">
        <f t="shared" si="17"/>
        <v>1</v>
      </c>
      <c r="AN42" s="5">
        <f t="shared" si="17"/>
        <v>1</v>
      </c>
      <c r="AO42" s="5">
        <f t="shared" si="17"/>
        <v>1</v>
      </c>
      <c r="AP42" s="5">
        <f t="shared" si="17"/>
        <v>1</v>
      </c>
      <c r="AQ42" s="5">
        <f t="shared" si="17"/>
        <v>1</v>
      </c>
      <c r="AR42" s="5">
        <f t="shared" si="17"/>
        <v>1</v>
      </c>
      <c r="AS42" s="5">
        <f t="shared" si="17"/>
        <v>1</v>
      </c>
      <c r="AT42" s="5">
        <f t="shared" si="17"/>
        <v>1</v>
      </c>
      <c r="AU42" s="5">
        <f t="shared" si="17"/>
        <v>1</v>
      </c>
      <c r="AV42" s="5">
        <f>ROUNDDOWN(ROUND((12*IF((DATE(AV$1,12,31))&lt;$C42,0,IF(YEAR($C42)=AV$1,(DATE(((AV$1)+1),1,1)-$C42)/365.25,IF(AV$1=YEAR($D42),($D42-(DATE(((AV$1)-1),12,31)))/365.25,IF(YEAR($D42)&lt;AV$1,0,1))))),1),0)/12</f>
        <v>1</v>
      </c>
      <c r="AW42" s="5">
        <f>ROUNDDOWN(ROUND((12*IF((DATE(AW$1,12,31))&lt;$C42,0,IF(YEAR($C42)=AW$1,(DATE(((AW$1)+1),1,1)-$C42)/365.25,IF(AW$1=YEAR($D42),($D42-(DATE(((AW$1)-1),12,31)))/365.25,IF(YEAR($D42)&lt;AW$1,0,1))))),1),0)/12</f>
        <v>1</v>
      </c>
      <c r="AX42" s="5">
        <f>ROUNDDOWN(ROUND((12*IF((DATE(AX$1,12,31))&lt;$C42,0,IF(YEAR($C42)=AX$1,(DATE(((AX$1)+1),1,1)-$C42)/365.25,IF(AX$1=YEAR($D42),($D42-(DATE(((AX$1)-1),12,31)))/365.25,IF(YEAR($D42)&lt;AX$1,0,1))))),1),0)/12</f>
        <v>1</v>
      </c>
      <c r="AY42" s="5">
        <f>ROUNDDOWN(ROUND((12*IF((DATE(AY$1,12,31))&lt;$C42,0,IF(YEAR($C42)=AY$1,(DATE(((AY$1)+1),1,1)-$C42)/365.25,IF(AY$1=YEAR($D42),($D42-(DATE(((AY$1)-1),12,31)))/365.25,IF(YEAR($D42)&lt;AY$1,0,1))))),1),0)/12</f>
        <v>1</v>
      </c>
      <c r="AZ42" s="5">
        <f>ROUNDDOWN(ROUND((12*IF((DATE(AZ$1,12,31))&lt;$C42,0,IF(YEAR($C42)=AZ$1,(DATE(((AZ$1)+1),1,1)-$C42)/365.25,IF(AZ$1=YEAR($D42),($D42-(DATE(((AZ$1)-1),12,31)))/365.25,IF(YEAR($D42)&lt;AZ$1,0,1))))),1),0)/12</f>
        <v>1</v>
      </c>
      <c r="BA42" s="5">
        <f>ROUNDDOWN(ROUND((12*IF((DATE(BA$1,12,31))&lt;$C42,0,IF(YEAR($C42)=BA$1,(DATE(((BA$1)+1),1,1)-$C42)/365.25,IF(BA$1=YEAR($D42),($D42-(DATE(((BA$1)-1),12,31)))/365.25,IF(YEAR($D42)&lt;BA$1,0,1))))),1),0)/12</f>
        <v>1</v>
      </c>
      <c r="BB42" s="5">
        <f>ROUNDDOWN(ROUND((12*IF((DATE(BB$1,12,31))&lt;$C42,0,IF(YEAR($C42)=BB$1,(DATE(((BB$1)+1),1,1)-$C42)/365.25,IF(BB$1=YEAR($D42),($D42-(DATE(((BB$1)-1),12,31)))/365.25,IF(YEAR($D42)&lt;BB$1,0,1))))),1),0)/12</f>
        <v>1</v>
      </c>
      <c r="BC42" s="5">
        <f>ROUNDDOWN(ROUND((12*IF((DATE(BC$1,12,31))&lt;$C42,0,IF(YEAR($C42)=BC$1,(DATE(((BC$1)+1),1,1)-$C42)/365.25,IF(BC$1=YEAR($D42),($D42-(DATE(((BC$1)-1),12,31)))/365.25,IF(YEAR($D42)&lt;BC$1,0,1))))),1),0)/12</f>
        <v>8.3333333333333329E-2</v>
      </c>
    </row>
    <row r="43" spans="1:55" x14ac:dyDescent="0.25">
      <c r="A43" s="132">
        <v>600</v>
      </c>
      <c r="B43" s="133">
        <v>718</v>
      </c>
      <c r="C43" s="134">
        <v>36787</v>
      </c>
      <c r="D43" s="161">
        <v>46905</v>
      </c>
      <c r="G43" s="5">
        <f t="shared" si="13"/>
        <v>0</v>
      </c>
      <c r="H43" s="5">
        <f t="shared" si="14"/>
        <v>0</v>
      </c>
      <c r="I43" s="5">
        <f t="shared" si="14"/>
        <v>0</v>
      </c>
      <c r="J43" s="5">
        <f t="shared" si="14"/>
        <v>0</v>
      </c>
      <c r="K43" s="5">
        <f t="shared" si="14"/>
        <v>0</v>
      </c>
      <c r="L43" s="5">
        <f t="shared" si="14"/>
        <v>0</v>
      </c>
      <c r="M43" s="5">
        <f t="shared" si="14"/>
        <v>0</v>
      </c>
      <c r="N43" s="5">
        <f t="shared" si="14"/>
        <v>0</v>
      </c>
      <c r="O43" s="5">
        <f t="shared" si="14"/>
        <v>0</v>
      </c>
      <c r="P43" s="5">
        <f t="shared" si="14"/>
        <v>0</v>
      </c>
      <c r="Q43" s="5">
        <f t="shared" si="14"/>
        <v>0</v>
      </c>
      <c r="R43" s="5">
        <f t="shared" si="15"/>
        <v>0</v>
      </c>
      <c r="S43" s="5">
        <f t="shared" si="15"/>
        <v>0</v>
      </c>
      <c r="T43" s="5">
        <f t="shared" si="15"/>
        <v>0</v>
      </c>
      <c r="U43" s="5">
        <f t="shared" si="15"/>
        <v>0</v>
      </c>
      <c r="V43" s="5">
        <f t="shared" si="15"/>
        <v>0</v>
      </c>
      <c r="W43" s="5">
        <f t="shared" si="15"/>
        <v>0</v>
      </c>
      <c r="X43" s="5">
        <f t="shared" si="15"/>
        <v>0</v>
      </c>
      <c r="Y43" s="5">
        <f t="shared" si="15"/>
        <v>0</v>
      </c>
      <c r="Z43" s="5">
        <f t="shared" si="15"/>
        <v>0</v>
      </c>
      <c r="AA43" s="5">
        <f t="shared" si="15"/>
        <v>0</v>
      </c>
      <c r="AB43" s="5">
        <f t="shared" si="16"/>
        <v>0</v>
      </c>
      <c r="AC43" s="5">
        <f t="shared" si="16"/>
        <v>0</v>
      </c>
      <c r="AD43" s="5">
        <f t="shared" si="16"/>
        <v>0.25</v>
      </c>
      <c r="AE43" s="5">
        <f t="shared" si="16"/>
        <v>1</v>
      </c>
      <c r="AF43" s="5">
        <f t="shared" si="16"/>
        <v>1</v>
      </c>
      <c r="AG43" s="5">
        <f t="shared" si="16"/>
        <v>1</v>
      </c>
      <c r="AH43" s="5">
        <f t="shared" si="16"/>
        <v>1</v>
      </c>
      <c r="AI43" s="5">
        <f t="shared" si="16"/>
        <v>1</v>
      </c>
      <c r="AJ43" s="5">
        <f t="shared" si="16"/>
        <v>1</v>
      </c>
      <c r="AK43" s="5">
        <f t="shared" si="16"/>
        <v>1</v>
      </c>
      <c r="AL43" s="5">
        <f t="shared" si="17"/>
        <v>1</v>
      </c>
      <c r="AM43" s="5">
        <f t="shared" si="17"/>
        <v>1</v>
      </c>
      <c r="AN43" s="5">
        <f t="shared" si="17"/>
        <v>1</v>
      </c>
      <c r="AO43" s="5">
        <f t="shared" si="17"/>
        <v>1</v>
      </c>
      <c r="AP43" s="5">
        <f t="shared" si="17"/>
        <v>1</v>
      </c>
      <c r="AQ43" s="5">
        <f t="shared" si="17"/>
        <v>1</v>
      </c>
      <c r="AR43" s="5">
        <f t="shared" si="17"/>
        <v>1</v>
      </c>
      <c r="AS43" s="5">
        <f t="shared" si="17"/>
        <v>1</v>
      </c>
      <c r="AT43" s="5">
        <f t="shared" si="17"/>
        <v>1</v>
      </c>
      <c r="AU43" s="5">
        <f t="shared" si="17"/>
        <v>1</v>
      </c>
      <c r="AV43" s="5">
        <f>ROUNDDOWN(ROUND((12*IF((DATE(AV$1,12,31))&lt;$C43,0,IF(YEAR($C43)=AV$1,(DATE(((AV$1)+1),1,1)-$C43)/365.25,IF(AV$1=YEAR($D43),($D43-(DATE(((AV$1)-1),12,31)))/365.25,IF(YEAR($D43)&lt;AV$1,0,1))))),1),0)/12</f>
        <v>1</v>
      </c>
      <c r="AW43" s="5">
        <f>ROUNDDOWN(ROUND((12*IF((DATE(AW$1,12,31))&lt;$C43,0,IF(YEAR($C43)=AW$1,(DATE(((AW$1)+1),1,1)-$C43)/365.25,IF(AW$1=YEAR($D43),($D43-(DATE(((AW$1)-1),12,31)))/365.25,IF(YEAR($D43)&lt;AW$1,0,1))))),1),0)/12</f>
        <v>1</v>
      </c>
      <c r="AX43" s="5">
        <f>ROUNDDOWN(ROUND((12*IF((DATE(AX$1,12,31))&lt;$C43,0,IF(YEAR($C43)=AX$1,(DATE(((AX$1)+1),1,1)-$C43)/365.25,IF(AX$1=YEAR($D43),($D43-(DATE(((AX$1)-1),12,31)))/365.25,IF(YEAR($D43)&lt;AX$1,0,1))))),1),0)/12</f>
        <v>1</v>
      </c>
      <c r="AY43" s="5">
        <f>ROUNDDOWN(ROUND((12*IF((DATE(AY$1,12,31))&lt;$C43,0,IF(YEAR($C43)=AY$1,(DATE(((AY$1)+1),1,1)-$C43)/365.25,IF(AY$1=YEAR($D43),($D43-(DATE(((AY$1)-1),12,31)))/365.25,IF(YEAR($D43)&lt;AY$1,0,1))))),1),0)/12</f>
        <v>1</v>
      </c>
      <c r="AZ43" s="5">
        <f>ROUNDDOWN(ROUND((12*IF((DATE(AZ$1,12,31))&lt;$C43,0,IF(YEAR($C43)=AZ$1,(DATE(((AZ$1)+1),1,1)-$C43)/365.25,IF(AZ$1=YEAR($D43),($D43-(DATE(((AZ$1)-1),12,31)))/365.25,IF(YEAR($D43)&lt;AZ$1,0,1))))),1),0)/12</f>
        <v>1</v>
      </c>
      <c r="BA43" s="5">
        <f>ROUNDDOWN(ROUND((12*IF((DATE(BA$1,12,31))&lt;$C43,0,IF(YEAR($C43)=BA$1,(DATE(((BA$1)+1),1,1)-$C43)/365.25,IF(BA$1=YEAR($D43),($D43-(DATE(((BA$1)-1),12,31)))/365.25,IF(YEAR($D43)&lt;BA$1,0,1))))),1),0)/12</f>
        <v>1</v>
      </c>
      <c r="BB43" s="5">
        <f>ROUNDDOWN(ROUND((12*IF((DATE(BB$1,12,31))&lt;$C43,0,IF(YEAR($C43)=BB$1,(DATE(((BB$1)+1),1,1)-$C43)/365.25,IF(BB$1=YEAR($D43),($D43-(DATE(((BB$1)-1),12,31)))/365.25,IF(YEAR($D43)&lt;BB$1,0,1))))),1),0)/12</f>
        <v>1</v>
      </c>
      <c r="BC43" s="5">
        <f>ROUNDDOWN(ROUND((12*IF((DATE(BC$1,12,31))&lt;$C43,0,IF(YEAR($C43)=BC$1,(DATE(((BC$1)+1),1,1)-$C43)/365.25,IF(BC$1=YEAR($D43),($D43-(DATE(((BC$1)-1),12,31)))/365.25,IF(YEAR($D43)&lt;BC$1,0,1))))),1),0)/12</f>
        <v>1</v>
      </c>
    </row>
    <row r="44" spans="1:55" x14ac:dyDescent="0.25">
      <c r="A44" s="132">
        <v>600</v>
      </c>
      <c r="B44" s="133">
        <v>714</v>
      </c>
      <c r="C44" s="134">
        <v>36556</v>
      </c>
      <c r="D44" s="161">
        <v>47515</v>
      </c>
      <c r="G44" s="5">
        <f t="shared" si="13"/>
        <v>0</v>
      </c>
      <c r="H44" s="5">
        <f t="shared" si="14"/>
        <v>0</v>
      </c>
      <c r="I44" s="5">
        <f t="shared" si="14"/>
        <v>0</v>
      </c>
      <c r="J44" s="5">
        <f t="shared" si="14"/>
        <v>0</v>
      </c>
      <c r="K44" s="5">
        <f t="shared" si="14"/>
        <v>0</v>
      </c>
      <c r="L44" s="5">
        <f t="shared" si="14"/>
        <v>0</v>
      </c>
      <c r="M44" s="5">
        <f t="shared" si="14"/>
        <v>0</v>
      </c>
      <c r="N44" s="5">
        <f t="shared" si="14"/>
        <v>0</v>
      </c>
      <c r="O44" s="5">
        <f t="shared" si="14"/>
        <v>0</v>
      </c>
      <c r="P44" s="5">
        <f t="shared" si="14"/>
        <v>0</v>
      </c>
      <c r="Q44" s="5">
        <f t="shared" si="14"/>
        <v>0</v>
      </c>
      <c r="R44" s="5">
        <f t="shared" si="15"/>
        <v>0</v>
      </c>
      <c r="S44" s="5">
        <f t="shared" si="15"/>
        <v>0</v>
      </c>
      <c r="T44" s="5">
        <f t="shared" si="15"/>
        <v>0</v>
      </c>
      <c r="U44" s="5">
        <f t="shared" si="15"/>
        <v>0</v>
      </c>
      <c r="V44" s="5">
        <f t="shared" si="15"/>
        <v>0</v>
      </c>
      <c r="W44" s="5">
        <f t="shared" si="15"/>
        <v>0</v>
      </c>
      <c r="X44" s="5">
        <f t="shared" si="15"/>
        <v>0</v>
      </c>
      <c r="Y44" s="5">
        <f t="shared" si="15"/>
        <v>0</v>
      </c>
      <c r="Z44" s="5">
        <f t="shared" si="15"/>
        <v>0</v>
      </c>
      <c r="AA44" s="5">
        <f t="shared" si="15"/>
        <v>0</v>
      </c>
      <c r="AB44" s="5">
        <f t="shared" si="16"/>
        <v>0</v>
      </c>
      <c r="AC44" s="5">
        <f t="shared" si="16"/>
        <v>0</v>
      </c>
      <c r="AD44" s="5">
        <f t="shared" si="16"/>
        <v>0.91666666666666663</v>
      </c>
      <c r="AE44" s="5">
        <f t="shared" si="16"/>
        <v>1</v>
      </c>
      <c r="AF44" s="5">
        <f t="shared" si="16"/>
        <v>1</v>
      </c>
      <c r="AG44" s="5">
        <f t="shared" si="16"/>
        <v>1</v>
      </c>
      <c r="AH44" s="5">
        <f t="shared" si="16"/>
        <v>1</v>
      </c>
      <c r="AI44" s="5">
        <f t="shared" si="16"/>
        <v>1</v>
      </c>
      <c r="AJ44" s="5">
        <f t="shared" si="16"/>
        <v>1</v>
      </c>
      <c r="AK44" s="5">
        <f t="shared" si="16"/>
        <v>1</v>
      </c>
      <c r="AL44" s="5">
        <f t="shared" si="17"/>
        <v>1</v>
      </c>
      <c r="AM44" s="5">
        <f t="shared" si="17"/>
        <v>1</v>
      </c>
      <c r="AN44" s="5">
        <f t="shared" si="17"/>
        <v>1</v>
      </c>
      <c r="AO44" s="5">
        <f t="shared" si="17"/>
        <v>1</v>
      </c>
      <c r="AP44" s="5">
        <f t="shared" si="17"/>
        <v>1</v>
      </c>
      <c r="AQ44" s="5">
        <f t="shared" si="17"/>
        <v>1</v>
      </c>
      <c r="AR44" s="5">
        <f t="shared" si="17"/>
        <v>1</v>
      </c>
      <c r="AS44" s="5">
        <f t="shared" si="17"/>
        <v>1</v>
      </c>
      <c r="AT44" s="5">
        <f t="shared" si="17"/>
        <v>1</v>
      </c>
      <c r="AU44" s="5">
        <f t="shared" si="17"/>
        <v>1</v>
      </c>
      <c r="AV44" s="5">
        <f>ROUNDDOWN(ROUND((12*IF((DATE(AV$1,12,31))&lt;$C44,0,IF(YEAR($C44)=AV$1,(DATE(((AV$1)+1),1,1)-$C44)/365.25,IF(AV$1=YEAR($D44),($D44-(DATE(((AV$1)-1),12,31)))/365.25,IF(YEAR($D44)&lt;AV$1,0,1))))),1),0)/12</f>
        <v>1</v>
      </c>
      <c r="AW44" s="5">
        <f>ROUNDDOWN(ROUND((12*IF((DATE(AW$1,12,31))&lt;$C44,0,IF(YEAR($C44)=AW$1,(DATE(((AW$1)+1),1,1)-$C44)/365.25,IF(AW$1=YEAR($D44),($D44-(DATE(((AW$1)-1),12,31)))/365.25,IF(YEAR($D44)&lt;AW$1,0,1))))),1),0)/12</f>
        <v>1</v>
      </c>
      <c r="AX44" s="5">
        <f>ROUNDDOWN(ROUND((12*IF((DATE(AX$1,12,31))&lt;$C44,0,IF(YEAR($C44)=AX$1,(DATE(((AX$1)+1),1,1)-$C44)/365.25,IF(AX$1=YEAR($D44),($D44-(DATE(((AX$1)-1),12,31)))/365.25,IF(YEAR($D44)&lt;AX$1,0,1))))),1),0)/12</f>
        <v>1</v>
      </c>
      <c r="AY44" s="5">
        <f>ROUNDDOWN(ROUND((12*IF((DATE(AY$1,12,31))&lt;$C44,0,IF(YEAR($C44)=AY$1,(DATE(((AY$1)+1),1,1)-$C44)/365.25,IF(AY$1=YEAR($D44),($D44-(DATE(((AY$1)-1),12,31)))/365.25,IF(YEAR($D44)&lt;AY$1,0,1))))),1),0)/12</f>
        <v>1</v>
      </c>
      <c r="AZ44" s="5">
        <f>ROUNDDOWN(ROUND((12*IF((DATE(AZ$1,12,31))&lt;$C44,0,IF(YEAR($C44)=AZ$1,(DATE(((AZ$1)+1),1,1)-$C44)/365.25,IF(AZ$1=YEAR($D44),($D44-(DATE(((AZ$1)-1),12,31)))/365.25,IF(YEAR($D44)&lt;AZ$1,0,1))))),1),0)/12</f>
        <v>1</v>
      </c>
      <c r="BA44" s="5">
        <f>ROUNDDOWN(ROUND((12*IF((DATE(BA$1,12,31))&lt;$C44,0,IF(YEAR($C44)=BA$1,(DATE(((BA$1)+1),1,1)-$C44)/365.25,IF(BA$1=YEAR($D44),($D44-(DATE(((BA$1)-1),12,31)))/365.25,IF(YEAR($D44)&lt;BA$1,0,1))))),1),0)/12</f>
        <v>1</v>
      </c>
      <c r="BB44" s="5">
        <f>ROUNDDOWN(ROUND((12*IF((DATE(BB$1,12,31))&lt;$C44,0,IF(YEAR($C44)=BB$1,(DATE(((BB$1)+1),1,1)-$C44)/365.25,IF(BB$1=YEAR($D44),($D44-(DATE(((BB$1)-1),12,31)))/365.25,IF(YEAR($D44)&lt;BB$1,0,1))))),1),0)/12</f>
        <v>1</v>
      </c>
      <c r="BC44" s="5">
        <f>ROUNDDOWN(ROUND((12*IF((DATE(BC$1,12,31))&lt;$C44,0,IF(YEAR($C44)=BC$1,(DATE(((BC$1)+1),1,1)-$C44)/365.25,IF(BC$1=YEAR($D44),($D44-(DATE(((BC$1)-1),12,31)))/365.25,IF(YEAR($D44)&lt;BC$1,0,1))))),1),0)/12</f>
        <v>1</v>
      </c>
    </row>
    <row r="45" spans="1:55" x14ac:dyDescent="0.25">
      <c r="A45" s="132">
        <v>600</v>
      </c>
      <c r="B45" s="133">
        <v>709</v>
      </c>
      <c r="C45" s="134">
        <v>35570</v>
      </c>
      <c r="D45" s="161">
        <v>51257</v>
      </c>
      <c r="G45" s="5">
        <f t="shared" si="13"/>
        <v>0</v>
      </c>
      <c r="H45" s="5">
        <f t="shared" si="14"/>
        <v>0</v>
      </c>
      <c r="I45" s="5">
        <f t="shared" si="14"/>
        <v>0</v>
      </c>
      <c r="J45" s="5">
        <f t="shared" si="14"/>
        <v>0</v>
      </c>
      <c r="K45" s="5">
        <f t="shared" si="14"/>
        <v>0</v>
      </c>
      <c r="L45" s="5">
        <f t="shared" si="14"/>
        <v>0</v>
      </c>
      <c r="M45" s="5">
        <f t="shared" si="14"/>
        <v>0</v>
      </c>
      <c r="N45" s="5">
        <f t="shared" si="14"/>
        <v>0</v>
      </c>
      <c r="O45" s="5">
        <f t="shared" si="14"/>
        <v>0</v>
      </c>
      <c r="P45" s="5">
        <f t="shared" si="14"/>
        <v>0</v>
      </c>
      <c r="Q45" s="5">
        <f t="shared" si="14"/>
        <v>0</v>
      </c>
      <c r="R45" s="5">
        <f t="shared" si="15"/>
        <v>0</v>
      </c>
      <c r="S45" s="5">
        <f t="shared" si="15"/>
        <v>0</v>
      </c>
      <c r="T45" s="5">
        <f t="shared" si="15"/>
        <v>0</v>
      </c>
      <c r="U45" s="5">
        <f t="shared" si="15"/>
        <v>0</v>
      </c>
      <c r="V45" s="5">
        <f t="shared" si="15"/>
        <v>0</v>
      </c>
      <c r="W45" s="5">
        <f t="shared" si="15"/>
        <v>0</v>
      </c>
      <c r="X45" s="5">
        <f t="shared" si="15"/>
        <v>0</v>
      </c>
      <c r="Y45" s="5">
        <f t="shared" si="15"/>
        <v>0</v>
      </c>
      <c r="Z45" s="5">
        <f t="shared" si="15"/>
        <v>0</v>
      </c>
      <c r="AA45" s="5">
        <f t="shared" si="15"/>
        <v>0.58333333333333337</v>
      </c>
      <c r="AB45" s="5">
        <f t="shared" si="16"/>
        <v>1</v>
      </c>
      <c r="AC45" s="5">
        <f t="shared" si="16"/>
        <v>1</v>
      </c>
      <c r="AD45" s="5">
        <f t="shared" si="16"/>
        <v>1</v>
      </c>
      <c r="AE45" s="5">
        <f t="shared" si="16"/>
        <v>1</v>
      </c>
      <c r="AF45" s="5">
        <f t="shared" si="16"/>
        <v>1</v>
      </c>
      <c r="AG45" s="5">
        <f t="shared" si="16"/>
        <v>1</v>
      </c>
      <c r="AH45" s="5">
        <f t="shared" si="16"/>
        <v>1</v>
      </c>
      <c r="AI45" s="5">
        <f t="shared" si="16"/>
        <v>1</v>
      </c>
      <c r="AJ45" s="5">
        <f t="shared" si="16"/>
        <v>1</v>
      </c>
      <c r="AK45" s="5">
        <f t="shared" si="16"/>
        <v>1</v>
      </c>
      <c r="AL45" s="5">
        <f t="shared" si="17"/>
        <v>1</v>
      </c>
      <c r="AM45" s="5">
        <f t="shared" si="17"/>
        <v>1</v>
      </c>
      <c r="AN45" s="5">
        <f t="shared" si="17"/>
        <v>1</v>
      </c>
      <c r="AO45" s="5">
        <f t="shared" si="17"/>
        <v>1</v>
      </c>
      <c r="AP45" s="5">
        <f t="shared" si="17"/>
        <v>1</v>
      </c>
      <c r="AQ45" s="5">
        <f t="shared" si="17"/>
        <v>1</v>
      </c>
      <c r="AR45" s="5">
        <f t="shared" si="17"/>
        <v>1</v>
      </c>
      <c r="AS45" s="5">
        <f t="shared" si="17"/>
        <v>1</v>
      </c>
      <c r="AT45" s="5">
        <f t="shared" si="17"/>
        <v>1</v>
      </c>
      <c r="AU45" s="5">
        <f t="shared" si="17"/>
        <v>1</v>
      </c>
      <c r="AV45" s="5">
        <f>ROUNDDOWN(ROUND((12*IF((DATE(AV$1,12,31))&lt;$C45,0,IF(YEAR($C45)=AV$1,(DATE(((AV$1)+1),1,1)-$C45)/365.25,IF(AV$1=YEAR($D45),($D45-(DATE(((AV$1)-1),12,31)))/365.25,IF(YEAR($D45)&lt;AV$1,0,1))))),1),0)/12</f>
        <v>1</v>
      </c>
      <c r="AW45" s="5">
        <f>ROUNDDOWN(ROUND((12*IF((DATE(AW$1,12,31))&lt;$C45,0,IF(YEAR($C45)=AW$1,(DATE(((AW$1)+1),1,1)-$C45)/365.25,IF(AW$1=YEAR($D45),($D45-(DATE(((AW$1)-1),12,31)))/365.25,IF(YEAR($D45)&lt;AW$1,0,1))))),1),0)/12</f>
        <v>1</v>
      </c>
      <c r="AX45" s="5">
        <f>ROUNDDOWN(ROUND((12*IF((DATE(AX$1,12,31))&lt;$C45,0,IF(YEAR($C45)=AX$1,(DATE(((AX$1)+1),1,1)-$C45)/365.25,IF(AX$1=YEAR($D45),($D45-(DATE(((AX$1)-1),12,31)))/365.25,IF(YEAR($D45)&lt;AX$1,0,1))))),1),0)/12</f>
        <v>1</v>
      </c>
      <c r="AY45" s="5">
        <f>ROUNDDOWN(ROUND((12*IF((DATE(AY$1,12,31))&lt;$C45,0,IF(YEAR($C45)=AY$1,(DATE(((AY$1)+1),1,1)-$C45)/365.25,IF(AY$1=YEAR($D45),($D45-(DATE(((AY$1)-1),12,31)))/365.25,IF(YEAR($D45)&lt;AY$1,0,1))))),1),0)/12</f>
        <v>1</v>
      </c>
      <c r="AZ45" s="5">
        <f>ROUNDDOWN(ROUND((12*IF((DATE(AZ$1,12,31))&lt;$C45,0,IF(YEAR($C45)=AZ$1,(DATE(((AZ$1)+1),1,1)-$C45)/365.25,IF(AZ$1=YEAR($D45),($D45-(DATE(((AZ$1)-1),12,31)))/365.25,IF(YEAR($D45)&lt;AZ$1,0,1))))),1),0)/12</f>
        <v>1</v>
      </c>
      <c r="BA45" s="5">
        <f>ROUNDDOWN(ROUND((12*IF((DATE(BA$1,12,31))&lt;$C45,0,IF(YEAR($C45)=BA$1,(DATE(((BA$1)+1),1,1)-$C45)/365.25,IF(BA$1=YEAR($D45),($D45-(DATE(((BA$1)-1),12,31)))/365.25,IF(YEAR($D45)&lt;BA$1,0,1))))),1),0)/12</f>
        <v>1</v>
      </c>
      <c r="BB45" s="5">
        <f>ROUNDDOWN(ROUND((12*IF((DATE(BB$1,12,31))&lt;$C45,0,IF(YEAR($C45)=BB$1,(DATE(((BB$1)+1),1,1)-$C45)/365.25,IF(BB$1=YEAR($D45),($D45-(DATE(((BB$1)-1),12,31)))/365.25,IF(YEAR($D45)&lt;BB$1,0,1))))),1),0)/12</f>
        <v>1</v>
      </c>
      <c r="BC45" s="5">
        <f>ROUNDDOWN(ROUND((12*IF((DATE(BC$1,12,31))&lt;$C45,0,IF(YEAR($C45)=BC$1,(DATE(((BC$1)+1),1,1)-$C45)/365.25,IF(BC$1=YEAR($D45),($D45-(DATE(((BC$1)-1),12,31)))/365.25,IF(YEAR($D45)&lt;BC$1,0,1))))),1),0)/12</f>
        <v>1</v>
      </c>
    </row>
    <row r="46" spans="1:55" x14ac:dyDescent="0.25">
      <c r="A46" s="132">
        <v>600</v>
      </c>
      <c r="B46" s="133">
        <v>703</v>
      </c>
      <c r="C46" s="134">
        <v>35278</v>
      </c>
      <c r="D46" s="161">
        <v>51867</v>
      </c>
      <c r="G46" s="5">
        <f t="shared" si="13"/>
        <v>0</v>
      </c>
      <c r="H46" s="5">
        <f t="shared" si="14"/>
        <v>0</v>
      </c>
      <c r="I46" s="5">
        <f t="shared" si="14"/>
        <v>0</v>
      </c>
      <c r="J46" s="5">
        <f t="shared" si="14"/>
        <v>0</v>
      </c>
      <c r="K46" s="5">
        <f t="shared" si="14"/>
        <v>0</v>
      </c>
      <c r="L46" s="5">
        <f t="shared" si="14"/>
        <v>0</v>
      </c>
      <c r="M46" s="5">
        <f t="shared" si="14"/>
        <v>0</v>
      </c>
      <c r="N46" s="5">
        <f t="shared" si="14"/>
        <v>0</v>
      </c>
      <c r="O46" s="5">
        <f t="shared" si="14"/>
        <v>0</v>
      </c>
      <c r="P46" s="5">
        <f t="shared" si="14"/>
        <v>0</v>
      </c>
      <c r="Q46" s="5">
        <f t="shared" si="14"/>
        <v>0</v>
      </c>
      <c r="R46" s="5">
        <f t="shared" si="15"/>
        <v>0</v>
      </c>
      <c r="S46" s="5">
        <f t="shared" si="15"/>
        <v>0</v>
      </c>
      <c r="T46" s="5">
        <f t="shared" si="15"/>
        <v>0</v>
      </c>
      <c r="U46" s="5">
        <f t="shared" si="15"/>
        <v>0</v>
      </c>
      <c r="V46" s="5">
        <f t="shared" si="15"/>
        <v>0</v>
      </c>
      <c r="W46" s="5">
        <f t="shared" si="15"/>
        <v>0</v>
      </c>
      <c r="X46" s="5">
        <f t="shared" si="15"/>
        <v>0</v>
      </c>
      <c r="Y46" s="5">
        <f t="shared" si="15"/>
        <v>0</v>
      </c>
      <c r="Z46" s="5">
        <f t="shared" si="15"/>
        <v>0.41666666666666669</v>
      </c>
      <c r="AA46" s="5">
        <f t="shared" si="15"/>
        <v>1</v>
      </c>
      <c r="AB46" s="5">
        <f t="shared" si="16"/>
        <v>1</v>
      </c>
      <c r="AC46" s="5">
        <f t="shared" si="16"/>
        <v>1</v>
      </c>
      <c r="AD46" s="5">
        <f t="shared" si="16"/>
        <v>1</v>
      </c>
      <c r="AE46" s="5">
        <f t="shared" si="16"/>
        <v>1</v>
      </c>
      <c r="AF46" s="5">
        <f t="shared" si="16"/>
        <v>1</v>
      </c>
      <c r="AG46" s="5">
        <f t="shared" si="16"/>
        <v>1</v>
      </c>
      <c r="AH46" s="5">
        <f t="shared" si="16"/>
        <v>1</v>
      </c>
      <c r="AI46" s="5">
        <f t="shared" si="16"/>
        <v>1</v>
      </c>
      <c r="AJ46" s="5">
        <f t="shared" si="16"/>
        <v>1</v>
      </c>
      <c r="AK46" s="5">
        <f t="shared" si="16"/>
        <v>1</v>
      </c>
      <c r="AL46" s="5">
        <f t="shared" si="17"/>
        <v>1</v>
      </c>
      <c r="AM46" s="5">
        <f t="shared" si="17"/>
        <v>1</v>
      </c>
      <c r="AN46" s="5">
        <f t="shared" si="17"/>
        <v>1</v>
      </c>
      <c r="AO46" s="5">
        <f t="shared" si="17"/>
        <v>1</v>
      </c>
      <c r="AP46" s="5">
        <f t="shared" si="17"/>
        <v>1</v>
      </c>
      <c r="AQ46" s="5">
        <f t="shared" si="17"/>
        <v>1</v>
      </c>
      <c r="AR46" s="5">
        <f t="shared" si="17"/>
        <v>1</v>
      </c>
      <c r="AS46" s="5">
        <f t="shared" si="17"/>
        <v>1</v>
      </c>
      <c r="AT46" s="5">
        <f t="shared" si="17"/>
        <v>1</v>
      </c>
      <c r="AU46" s="5">
        <f t="shared" si="17"/>
        <v>1</v>
      </c>
      <c r="AV46" s="5">
        <f>ROUNDDOWN(ROUND((12*IF((DATE(AV$1,12,31))&lt;$C46,0,IF(YEAR($C46)=AV$1,(DATE(((AV$1)+1),1,1)-$C46)/365.25,IF(AV$1=YEAR($D46),($D46-(DATE(((AV$1)-1),12,31)))/365.25,IF(YEAR($D46)&lt;AV$1,0,1))))),1),0)/12</f>
        <v>1</v>
      </c>
      <c r="AW46" s="5">
        <f>ROUNDDOWN(ROUND((12*IF((DATE(AW$1,12,31))&lt;$C46,0,IF(YEAR($C46)=AW$1,(DATE(((AW$1)+1),1,1)-$C46)/365.25,IF(AW$1=YEAR($D46),($D46-(DATE(((AW$1)-1),12,31)))/365.25,IF(YEAR($D46)&lt;AW$1,0,1))))),1),0)/12</f>
        <v>1</v>
      </c>
      <c r="AX46" s="5">
        <f>ROUNDDOWN(ROUND((12*IF((DATE(AX$1,12,31))&lt;$C46,0,IF(YEAR($C46)=AX$1,(DATE(((AX$1)+1),1,1)-$C46)/365.25,IF(AX$1=YEAR($D46),($D46-(DATE(((AX$1)-1),12,31)))/365.25,IF(YEAR($D46)&lt;AX$1,0,1))))),1),0)/12</f>
        <v>1</v>
      </c>
      <c r="AY46" s="5">
        <f>ROUNDDOWN(ROUND((12*IF((DATE(AY$1,12,31))&lt;$C46,0,IF(YEAR($C46)=AY$1,(DATE(((AY$1)+1),1,1)-$C46)/365.25,IF(AY$1=YEAR($D46),($D46-(DATE(((AY$1)-1),12,31)))/365.25,IF(YEAR($D46)&lt;AY$1,0,1))))),1),0)/12</f>
        <v>1</v>
      </c>
      <c r="AZ46" s="5">
        <f>ROUNDDOWN(ROUND((12*IF((DATE(AZ$1,12,31))&lt;$C46,0,IF(YEAR($C46)=AZ$1,(DATE(((AZ$1)+1),1,1)-$C46)/365.25,IF(AZ$1=YEAR($D46),($D46-(DATE(((AZ$1)-1),12,31)))/365.25,IF(YEAR($D46)&lt;AZ$1,0,1))))),1),0)/12</f>
        <v>1</v>
      </c>
      <c r="BA46" s="5">
        <f>ROUNDDOWN(ROUND((12*IF((DATE(BA$1,12,31))&lt;$C46,0,IF(YEAR($C46)=BA$1,(DATE(((BA$1)+1),1,1)-$C46)/365.25,IF(BA$1=YEAR($D46),($D46-(DATE(((BA$1)-1),12,31)))/365.25,IF(YEAR($D46)&lt;BA$1,0,1))))),1),0)/12</f>
        <v>1</v>
      </c>
      <c r="BB46" s="5">
        <f>ROUNDDOWN(ROUND((12*IF((DATE(BB$1,12,31))&lt;$C46,0,IF(YEAR($C46)=BB$1,(DATE(((BB$1)+1),1,1)-$C46)/365.25,IF(BB$1=YEAR($D46),($D46-(DATE(((BB$1)-1),12,31)))/365.25,IF(YEAR($D46)&lt;BB$1,0,1))))),1),0)/12</f>
        <v>1</v>
      </c>
      <c r="BC46" s="5">
        <f>ROUNDDOWN(ROUND((12*IF((DATE(BC$1,12,31))&lt;$C46,0,IF(YEAR($C46)=BC$1,(DATE(((BC$1)+1),1,1)-$C46)/365.25,IF(BC$1=YEAR($D46),($D46-(DATE(((BC$1)-1),12,31)))/365.25,IF(YEAR($D46)&lt;BC$1,0,1))))),1),0)/12</f>
        <v>1</v>
      </c>
    </row>
    <row r="47" spans="1:55" x14ac:dyDescent="0.25">
      <c r="A47" s="132">
        <v>600</v>
      </c>
      <c r="B47" s="133">
        <v>698</v>
      </c>
      <c r="C47" s="134">
        <v>35087</v>
      </c>
      <c r="D47" s="161">
        <v>51745</v>
      </c>
      <c r="G47" s="5">
        <f t="shared" si="13"/>
        <v>0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5">
        <f t="shared" si="14"/>
        <v>0</v>
      </c>
      <c r="Q47" s="5">
        <f t="shared" si="14"/>
        <v>0</v>
      </c>
      <c r="R47" s="5">
        <f t="shared" si="15"/>
        <v>0</v>
      </c>
      <c r="S47" s="5">
        <f t="shared" si="15"/>
        <v>0</v>
      </c>
      <c r="T47" s="5">
        <f t="shared" si="15"/>
        <v>0</v>
      </c>
      <c r="U47" s="5">
        <f t="shared" si="15"/>
        <v>0</v>
      </c>
      <c r="V47" s="5">
        <f t="shared" si="15"/>
        <v>0</v>
      </c>
      <c r="W47" s="5">
        <f t="shared" si="15"/>
        <v>0</v>
      </c>
      <c r="X47" s="5">
        <f t="shared" si="15"/>
        <v>0</v>
      </c>
      <c r="Y47" s="5">
        <f t="shared" si="15"/>
        <v>0</v>
      </c>
      <c r="Z47" s="5">
        <f t="shared" si="15"/>
        <v>0.91666666666666663</v>
      </c>
      <c r="AA47" s="5">
        <f t="shared" si="15"/>
        <v>1</v>
      </c>
      <c r="AB47" s="5">
        <f t="shared" si="16"/>
        <v>1</v>
      </c>
      <c r="AC47" s="5">
        <f t="shared" si="16"/>
        <v>1</v>
      </c>
      <c r="AD47" s="5">
        <f t="shared" si="16"/>
        <v>1</v>
      </c>
      <c r="AE47" s="5">
        <f t="shared" si="16"/>
        <v>1</v>
      </c>
      <c r="AF47" s="5">
        <f t="shared" si="16"/>
        <v>1</v>
      </c>
      <c r="AG47" s="5">
        <f t="shared" si="16"/>
        <v>1</v>
      </c>
      <c r="AH47" s="5">
        <f t="shared" si="16"/>
        <v>1</v>
      </c>
      <c r="AI47" s="5">
        <f t="shared" si="16"/>
        <v>1</v>
      </c>
      <c r="AJ47" s="5">
        <f t="shared" si="16"/>
        <v>1</v>
      </c>
      <c r="AK47" s="5">
        <f t="shared" si="16"/>
        <v>1</v>
      </c>
      <c r="AL47" s="5">
        <f t="shared" si="17"/>
        <v>1</v>
      </c>
      <c r="AM47" s="5">
        <f t="shared" si="17"/>
        <v>1</v>
      </c>
      <c r="AN47" s="5">
        <f t="shared" si="17"/>
        <v>1</v>
      </c>
      <c r="AO47" s="5">
        <f t="shared" si="17"/>
        <v>1</v>
      </c>
      <c r="AP47" s="5">
        <f t="shared" si="17"/>
        <v>1</v>
      </c>
      <c r="AQ47" s="5">
        <f t="shared" si="17"/>
        <v>1</v>
      </c>
      <c r="AR47" s="5">
        <f t="shared" si="17"/>
        <v>1</v>
      </c>
      <c r="AS47" s="5">
        <f t="shared" si="17"/>
        <v>1</v>
      </c>
      <c r="AT47" s="5">
        <f t="shared" si="17"/>
        <v>1</v>
      </c>
      <c r="AU47" s="5">
        <f t="shared" si="17"/>
        <v>1</v>
      </c>
      <c r="AV47" s="5">
        <f>ROUNDDOWN(ROUND((12*IF((DATE(AV$1,12,31))&lt;$C47,0,IF(YEAR($C47)=AV$1,(DATE(((AV$1)+1),1,1)-$C47)/365.25,IF(AV$1=YEAR($D47),($D47-(DATE(((AV$1)-1),12,31)))/365.25,IF(YEAR($D47)&lt;AV$1,0,1))))),1),0)/12</f>
        <v>1</v>
      </c>
      <c r="AW47" s="5">
        <f>ROUNDDOWN(ROUND((12*IF((DATE(AW$1,12,31))&lt;$C47,0,IF(YEAR($C47)=AW$1,(DATE(((AW$1)+1),1,1)-$C47)/365.25,IF(AW$1=YEAR($D47),($D47-(DATE(((AW$1)-1),12,31)))/365.25,IF(YEAR($D47)&lt;AW$1,0,1))))),1),0)/12</f>
        <v>1</v>
      </c>
      <c r="AX47" s="5">
        <f>ROUNDDOWN(ROUND((12*IF((DATE(AX$1,12,31))&lt;$C47,0,IF(YEAR($C47)=AX$1,(DATE(((AX$1)+1),1,1)-$C47)/365.25,IF(AX$1=YEAR($D47),($D47-(DATE(((AX$1)-1),12,31)))/365.25,IF(YEAR($D47)&lt;AX$1,0,1))))),1),0)/12</f>
        <v>1</v>
      </c>
      <c r="AY47" s="5">
        <f>ROUNDDOWN(ROUND((12*IF((DATE(AY$1,12,31))&lt;$C47,0,IF(YEAR($C47)=AY$1,(DATE(((AY$1)+1),1,1)-$C47)/365.25,IF(AY$1=YEAR($D47),($D47-(DATE(((AY$1)-1),12,31)))/365.25,IF(YEAR($D47)&lt;AY$1,0,1))))),1),0)/12</f>
        <v>1</v>
      </c>
      <c r="AZ47" s="5">
        <f>ROUNDDOWN(ROUND((12*IF((DATE(AZ$1,12,31))&lt;$C47,0,IF(YEAR($C47)=AZ$1,(DATE(((AZ$1)+1),1,1)-$C47)/365.25,IF(AZ$1=YEAR($D47),($D47-(DATE(((AZ$1)-1),12,31)))/365.25,IF(YEAR($D47)&lt;AZ$1,0,1))))),1),0)/12</f>
        <v>1</v>
      </c>
      <c r="BA47" s="5">
        <f>ROUNDDOWN(ROUND((12*IF((DATE(BA$1,12,31))&lt;$C47,0,IF(YEAR($C47)=BA$1,(DATE(((BA$1)+1),1,1)-$C47)/365.25,IF(BA$1=YEAR($D47),($D47-(DATE(((BA$1)-1),12,31)))/365.25,IF(YEAR($D47)&lt;BA$1,0,1))))),1),0)/12</f>
        <v>1</v>
      </c>
      <c r="BB47" s="5">
        <f>ROUNDDOWN(ROUND((12*IF((DATE(BB$1,12,31))&lt;$C47,0,IF(YEAR($C47)=BB$1,(DATE(((BB$1)+1),1,1)-$C47)/365.25,IF(BB$1=YEAR($D47),($D47-(DATE(((BB$1)-1),12,31)))/365.25,IF(YEAR($D47)&lt;BB$1,0,1))))),1),0)/12</f>
        <v>1</v>
      </c>
      <c r="BC47" s="5">
        <f>ROUNDDOWN(ROUND((12*IF((DATE(BC$1,12,31))&lt;$C47,0,IF(YEAR($C47)=BC$1,(DATE(((BC$1)+1),1,1)-$C47)/365.25,IF(BC$1=YEAR($D47),($D47-(DATE(((BC$1)-1),12,31)))/365.25,IF(YEAR($D47)&lt;BC$1,0,1))))),1),0)/12</f>
        <v>1</v>
      </c>
    </row>
    <row r="48" spans="1:55" x14ac:dyDescent="0.25">
      <c r="A48" s="132">
        <v>600</v>
      </c>
      <c r="B48" s="133">
        <v>697</v>
      </c>
      <c r="C48" s="134">
        <v>35735</v>
      </c>
      <c r="D48" s="161">
        <v>46054</v>
      </c>
      <c r="G48" s="5">
        <f t="shared" si="13"/>
        <v>0</v>
      </c>
      <c r="H48" s="5">
        <f t="shared" si="14"/>
        <v>0</v>
      </c>
      <c r="I48" s="5">
        <f t="shared" si="14"/>
        <v>0</v>
      </c>
      <c r="J48" s="5">
        <f t="shared" si="14"/>
        <v>0</v>
      </c>
      <c r="K48" s="5">
        <f t="shared" si="14"/>
        <v>0</v>
      </c>
      <c r="L48" s="5">
        <f t="shared" si="14"/>
        <v>0</v>
      </c>
      <c r="M48" s="5">
        <f t="shared" si="14"/>
        <v>0</v>
      </c>
      <c r="N48" s="5">
        <f t="shared" si="14"/>
        <v>0</v>
      </c>
      <c r="O48" s="5">
        <f t="shared" si="14"/>
        <v>0</v>
      </c>
      <c r="P48" s="5">
        <f t="shared" si="14"/>
        <v>0</v>
      </c>
      <c r="Q48" s="5">
        <f t="shared" si="14"/>
        <v>0</v>
      </c>
      <c r="R48" s="5">
        <f t="shared" si="15"/>
        <v>0</v>
      </c>
      <c r="S48" s="5">
        <f t="shared" si="15"/>
        <v>0</v>
      </c>
      <c r="T48" s="5">
        <f t="shared" si="15"/>
        <v>0</v>
      </c>
      <c r="U48" s="5">
        <f t="shared" si="15"/>
        <v>0</v>
      </c>
      <c r="V48" s="5">
        <f t="shared" si="15"/>
        <v>0</v>
      </c>
      <c r="W48" s="5">
        <f t="shared" si="15"/>
        <v>0</v>
      </c>
      <c r="X48" s="5">
        <f t="shared" si="15"/>
        <v>0</v>
      </c>
      <c r="Y48" s="5">
        <f t="shared" si="15"/>
        <v>0</v>
      </c>
      <c r="Z48" s="5">
        <f t="shared" si="15"/>
        <v>0</v>
      </c>
      <c r="AA48" s="5">
        <f t="shared" si="15"/>
        <v>0.16666666666666666</v>
      </c>
      <c r="AB48" s="5">
        <f t="shared" si="16"/>
        <v>1</v>
      </c>
      <c r="AC48" s="5">
        <f t="shared" si="16"/>
        <v>1</v>
      </c>
      <c r="AD48" s="5">
        <f t="shared" si="16"/>
        <v>1</v>
      </c>
      <c r="AE48" s="5">
        <f t="shared" si="16"/>
        <v>1</v>
      </c>
      <c r="AF48" s="5">
        <f t="shared" si="16"/>
        <v>1</v>
      </c>
      <c r="AG48" s="5">
        <f t="shared" si="16"/>
        <v>1</v>
      </c>
      <c r="AH48" s="5">
        <f t="shared" si="16"/>
        <v>1</v>
      </c>
      <c r="AI48" s="5">
        <f t="shared" si="16"/>
        <v>1</v>
      </c>
      <c r="AJ48" s="5">
        <f t="shared" si="16"/>
        <v>1</v>
      </c>
      <c r="AK48" s="5">
        <f t="shared" si="16"/>
        <v>1</v>
      </c>
      <c r="AL48" s="5">
        <f t="shared" si="17"/>
        <v>1</v>
      </c>
      <c r="AM48" s="5">
        <f t="shared" si="17"/>
        <v>1</v>
      </c>
      <c r="AN48" s="5">
        <f t="shared" si="17"/>
        <v>1</v>
      </c>
      <c r="AO48" s="5">
        <f t="shared" si="17"/>
        <v>1</v>
      </c>
      <c r="AP48" s="5">
        <f t="shared" si="17"/>
        <v>1</v>
      </c>
      <c r="AQ48" s="5">
        <f t="shared" si="17"/>
        <v>1</v>
      </c>
      <c r="AR48" s="5">
        <f t="shared" si="17"/>
        <v>1</v>
      </c>
      <c r="AS48" s="5">
        <f t="shared" si="17"/>
        <v>1</v>
      </c>
      <c r="AT48" s="5">
        <f t="shared" si="17"/>
        <v>1</v>
      </c>
      <c r="AU48" s="5">
        <f t="shared" si="17"/>
        <v>1</v>
      </c>
      <c r="AV48" s="5">
        <f>ROUNDDOWN(ROUND((12*IF((DATE(AV$1,12,31))&lt;$C48,0,IF(YEAR($C48)=AV$1,(DATE(((AV$1)+1),1,1)-$C48)/365.25,IF(AV$1=YEAR($D48),($D48-(DATE(((AV$1)-1),12,31)))/365.25,IF(YEAR($D48)&lt;AV$1,0,1))))),1),0)/12</f>
        <v>1</v>
      </c>
      <c r="AW48" s="5">
        <f>ROUNDDOWN(ROUND((12*IF((DATE(AW$1,12,31))&lt;$C48,0,IF(YEAR($C48)=AW$1,(DATE(((AW$1)+1),1,1)-$C48)/365.25,IF(AW$1=YEAR($D48),($D48-(DATE(((AW$1)-1),12,31)))/365.25,IF(YEAR($D48)&lt;AW$1,0,1))))),1),0)/12</f>
        <v>1</v>
      </c>
      <c r="AX48" s="5">
        <f>ROUNDDOWN(ROUND((12*IF((DATE(AX$1,12,31))&lt;$C48,0,IF(YEAR($C48)=AX$1,(DATE(((AX$1)+1),1,1)-$C48)/365.25,IF(AX$1=YEAR($D48),($D48-(DATE(((AX$1)-1),12,31)))/365.25,IF(YEAR($D48)&lt;AX$1,0,1))))),1),0)/12</f>
        <v>1</v>
      </c>
      <c r="AY48" s="5">
        <f>ROUNDDOWN(ROUND((12*IF((DATE(AY$1,12,31))&lt;$C48,0,IF(YEAR($C48)=AY$1,(DATE(((AY$1)+1),1,1)-$C48)/365.25,IF(AY$1=YEAR($D48),($D48-(DATE(((AY$1)-1),12,31)))/365.25,IF(YEAR($D48)&lt;AY$1,0,1))))),1),0)/12</f>
        <v>1</v>
      </c>
      <c r="AZ48" s="5">
        <f>ROUNDDOWN(ROUND((12*IF((DATE(AZ$1,12,31))&lt;$C48,0,IF(YEAR($C48)=AZ$1,(DATE(((AZ$1)+1),1,1)-$C48)/365.25,IF(AZ$1=YEAR($D48),($D48-(DATE(((AZ$1)-1),12,31)))/365.25,IF(YEAR($D48)&lt;AZ$1,0,1))))),1),0)/12</f>
        <v>1</v>
      </c>
      <c r="BA48" s="5">
        <f>ROUNDDOWN(ROUND((12*IF((DATE(BA$1,12,31))&lt;$C48,0,IF(YEAR($C48)=BA$1,(DATE(((BA$1)+1),1,1)-$C48)/365.25,IF(BA$1=YEAR($D48),($D48-(DATE(((BA$1)-1),12,31)))/365.25,IF(YEAR($D48)&lt;BA$1,0,1))))),1),0)/12</f>
        <v>1</v>
      </c>
      <c r="BB48" s="5">
        <f>ROUNDDOWN(ROUND((12*IF((DATE(BB$1,12,31))&lt;$C48,0,IF(YEAR($C48)=BB$1,(DATE(((BB$1)+1),1,1)-$C48)/365.25,IF(BB$1=YEAR($D48),($D48-(DATE(((BB$1)-1),12,31)))/365.25,IF(YEAR($D48)&lt;BB$1,0,1))))),1),0)/12</f>
        <v>1</v>
      </c>
      <c r="BC48" s="5">
        <f>ROUNDDOWN(ROUND((12*IF((DATE(BC$1,12,31))&lt;$C48,0,IF(YEAR($C48)=BC$1,(DATE(((BC$1)+1),1,1)-$C48)/365.25,IF(BC$1=YEAR($D48),($D48-(DATE(((BC$1)-1),12,31)))/365.25,IF(YEAR($D48)&lt;BC$1,0,1))))),1),0)/12</f>
        <v>1</v>
      </c>
    </row>
    <row r="49" spans="1:55" x14ac:dyDescent="0.25">
      <c r="A49" s="132">
        <v>600</v>
      </c>
      <c r="B49" s="133">
        <v>696</v>
      </c>
      <c r="C49" s="134">
        <v>35317</v>
      </c>
      <c r="D49" s="161">
        <v>48274</v>
      </c>
      <c r="G49" s="5">
        <f t="shared" si="13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5"/>
        <v>0</v>
      </c>
      <c r="S49" s="5">
        <f t="shared" si="15"/>
        <v>0</v>
      </c>
      <c r="T49" s="5">
        <f t="shared" si="15"/>
        <v>0</v>
      </c>
      <c r="U49" s="5">
        <f t="shared" si="15"/>
        <v>0</v>
      </c>
      <c r="V49" s="5">
        <f t="shared" si="15"/>
        <v>0</v>
      </c>
      <c r="W49" s="5">
        <f t="shared" si="15"/>
        <v>0</v>
      </c>
      <c r="X49" s="5">
        <f t="shared" si="15"/>
        <v>0</v>
      </c>
      <c r="Y49" s="5">
        <f t="shared" si="15"/>
        <v>0</v>
      </c>
      <c r="Z49" s="5">
        <f t="shared" si="15"/>
        <v>0.25</v>
      </c>
      <c r="AA49" s="5">
        <f t="shared" si="15"/>
        <v>1</v>
      </c>
      <c r="AB49" s="5">
        <f t="shared" si="16"/>
        <v>1</v>
      </c>
      <c r="AC49" s="5">
        <f t="shared" si="16"/>
        <v>1</v>
      </c>
      <c r="AD49" s="5">
        <f t="shared" si="16"/>
        <v>1</v>
      </c>
      <c r="AE49" s="5">
        <f t="shared" si="16"/>
        <v>1</v>
      </c>
      <c r="AF49" s="5">
        <f t="shared" si="16"/>
        <v>1</v>
      </c>
      <c r="AG49" s="5">
        <f t="shared" si="16"/>
        <v>1</v>
      </c>
      <c r="AH49" s="5">
        <f t="shared" si="16"/>
        <v>1</v>
      </c>
      <c r="AI49" s="5">
        <f t="shared" si="16"/>
        <v>1</v>
      </c>
      <c r="AJ49" s="5">
        <f t="shared" si="16"/>
        <v>1</v>
      </c>
      <c r="AK49" s="5">
        <f t="shared" si="16"/>
        <v>1</v>
      </c>
      <c r="AL49" s="5">
        <f t="shared" si="17"/>
        <v>1</v>
      </c>
      <c r="AM49" s="5">
        <f t="shared" si="17"/>
        <v>1</v>
      </c>
      <c r="AN49" s="5">
        <f t="shared" si="17"/>
        <v>1</v>
      </c>
      <c r="AO49" s="5">
        <f t="shared" si="17"/>
        <v>1</v>
      </c>
      <c r="AP49" s="5">
        <f t="shared" si="17"/>
        <v>1</v>
      </c>
      <c r="AQ49" s="5">
        <f t="shared" si="17"/>
        <v>1</v>
      </c>
      <c r="AR49" s="5">
        <f t="shared" si="17"/>
        <v>1</v>
      </c>
      <c r="AS49" s="5">
        <f t="shared" si="17"/>
        <v>1</v>
      </c>
      <c r="AT49" s="5">
        <f t="shared" si="17"/>
        <v>1</v>
      </c>
      <c r="AU49" s="5">
        <f t="shared" si="17"/>
        <v>1</v>
      </c>
      <c r="AV49" s="5">
        <f>ROUNDDOWN(ROUND((12*IF((DATE(AV$1,12,31))&lt;$C49,0,IF(YEAR($C49)=AV$1,(DATE(((AV$1)+1),1,1)-$C49)/365.25,IF(AV$1=YEAR($D49),($D49-(DATE(((AV$1)-1),12,31)))/365.25,IF(YEAR($D49)&lt;AV$1,0,1))))),1),0)/12</f>
        <v>1</v>
      </c>
      <c r="AW49" s="5">
        <f>ROUNDDOWN(ROUND((12*IF((DATE(AW$1,12,31))&lt;$C49,0,IF(YEAR($C49)=AW$1,(DATE(((AW$1)+1),1,1)-$C49)/365.25,IF(AW$1=YEAR($D49),($D49-(DATE(((AW$1)-1),12,31)))/365.25,IF(YEAR($D49)&lt;AW$1,0,1))))),1),0)/12</f>
        <v>1</v>
      </c>
      <c r="AX49" s="5">
        <f>ROUNDDOWN(ROUND((12*IF((DATE(AX$1,12,31))&lt;$C49,0,IF(YEAR($C49)=AX$1,(DATE(((AX$1)+1),1,1)-$C49)/365.25,IF(AX$1=YEAR($D49),($D49-(DATE(((AX$1)-1),12,31)))/365.25,IF(YEAR($D49)&lt;AX$1,0,1))))),1),0)/12</f>
        <v>1</v>
      </c>
      <c r="AY49" s="5">
        <f>ROUNDDOWN(ROUND((12*IF((DATE(AY$1,12,31))&lt;$C49,0,IF(YEAR($C49)=AY$1,(DATE(((AY$1)+1),1,1)-$C49)/365.25,IF(AY$1=YEAR($D49),($D49-(DATE(((AY$1)-1),12,31)))/365.25,IF(YEAR($D49)&lt;AY$1,0,1))))),1),0)/12</f>
        <v>1</v>
      </c>
      <c r="AZ49" s="5">
        <f>ROUNDDOWN(ROUND((12*IF((DATE(AZ$1,12,31))&lt;$C49,0,IF(YEAR($C49)=AZ$1,(DATE(((AZ$1)+1),1,1)-$C49)/365.25,IF(AZ$1=YEAR($D49),($D49-(DATE(((AZ$1)-1),12,31)))/365.25,IF(YEAR($D49)&lt;AZ$1,0,1))))),1),0)/12</f>
        <v>1</v>
      </c>
      <c r="BA49" s="5">
        <f>ROUNDDOWN(ROUND((12*IF((DATE(BA$1,12,31))&lt;$C49,0,IF(YEAR($C49)=BA$1,(DATE(((BA$1)+1),1,1)-$C49)/365.25,IF(BA$1=YEAR($D49),($D49-(DATE(((BA$1)-1),12,31)))/365.25,IF(YEAR($D49)&lt;BA$1,0,1))))),1),0)/12</f>
        <v>1</v>
      </c>
      <c r="BB49" s="5">
        <f>ROUNDDOWN(ROUND((12*IF((DATE(BB$1,12,31))&lt;$C49,0,IF(YEAR($C49)=BB$1,(DATE(((BB$1)+1),1,1)-$C49)/365.25,IF(BB$1=YEAR($D49),($D49-(DATE(((BB$1)-1),12,31)))/365.25,IF(YEAR($D49)&lt;BB$1,0,1))))),1),0)/12</f>
        <v>1</v>
      </c>
      <c r="BC49" s="5">
        <f>ROUNDDOWN(ROUND((12*IF((DATE(BC$1,12,31))&lt;$C49,0,IF(YEAR($C49)=BC$1,(DATE(((BC$1)+1),1,1)-$C49)/365.25,IF(BC$1=YEAR($D49),($D49-(DATE(((BC$1)-1),12,31)))/365.25,IF(YEAR($D49)&lt;BC$1,0,1))))),1),0)/12</f>
        <v>1</v>
      </c>
    </row>
    <row r="50" spans="1:55" x14ac:dyDescent="0.25">
      <c r="A50" s="132">
        <v>600</v>
      </c>
      <c r="B50" s="133">
        <v>694</v>
      </c>
      <c r="C50" s="134">
        <v>34877</v>
      </c>
      <c r="D50" s="161">
        <v>49675</v>
      </c>
      <c r="G50" s="5">
        <f t="shared" si="13"/>
        <v>0</v>
      </c>
      <c r="H50" s="5">
        <f t="shared" ref="H50:Q56" si="18">ROUNDDOWN(ROUND((12*IF((DATE(H$1,12,31))&lt;$C50,0,IF(YEAR($C50)=H$1,(DATE(((H$1)+1),1,1)-$C50)/365.25,IF(H$1=YEAR($D50),($D50-(DATE(((H$1)-1),12,31)))/365.25,IF(YEAR($D50)&lt;H$1,0,1))))),1),0)/12</f>
        <v>0</v>
      </c>
      <c r="I50" s="5">
        <f t="shared" si="18"/>
        <v>0</v>
      </c>
      <c r="J50" s="5">
        <f t="shared" si="18"/>
        <v>0</v>
      </c>
      <c r="K50" s="5">
        <f t="shared" si="18"/>
        <v>0</v>
      </c>
      <c r="L50" s="5">
        <f t="shared" si="18"/>
        <v>0</v>
      </c>
      <c r="M50" s="5">
        <f t="shared" si="18"/>
        <v>0</v>
      </c>
      <c r="N50" s="5">
        <f t="shared" si="18"/>
        <v>0</v>
      </c>
      <c r="O50" s="5">
        <f t="shared" si="18"/>
        <v>0</v>
      </c>
      <c r="P50" s="5">
        <f t="shared" si="18"/>
        <v>0</v>
      </c>
      <c r="Q50" s="5">
        <f t="shared" si="18"/>
        <v>0</v>
      </c>
      <c r="R50" s="5">
        <f t="shared" ref="R50:AA56" si="19">ROUNDDOWN(ROUND((12*IF((DATE(R$1,12,31))&lt;$C50,0,IF(YEAR($C50)=R$1,(DATE(((R$1)+1),1,1)-$C50)/365.25,IF(R$1=YEAR($D50),($D50-(DATE(((R$1)-1),12,31)))/365.25,IF(YEAR($D50)&lt;R$1,0,1))))),1),0)/12</f>
        <v>0</v>
      </c>
      <c r="S50" s="5">
        <f t="shared" si="19"/>
        <v>0</v>
      </c>
      <c r="T50" s="5">
        <f t="shared" si="19"/>
        <v>0</v>
      </c>
      <c r="U50" s="5">
        <f t="shared" si="19"/>
        <v>0</v>
      </c>
      <c r="V50" s="5">
        <f t="shared" si="19"/>
        <v>0</v>
      </c>
      <c r="W50" s="5">
        <f t="shared" si="19"/>
        <v>0</v>
      </c>
      <c r="X50" s="5">
        <f t="shared" si="19"/>
        <v>0</v>
      </c>
      <c r="Y50" s="5">
        <f t="shared" si="19"/>
        <v>0.5</v>
      </c>
      <c r="Z50" s="5">
        <f t="shared" si="19"/>
        <v>1</v>
      </c>
      <c r="AA50" s="5">
        <f t="shared" si="19"/>
        <v>1</v>
      </c>
      <c r="AB50" s="5">
        <f t="shared" ref="AB50:AK56" si="20">ROUNDDOWN(ROUND((12*IF((DATE(AB$1,12,31))&lt;$C50,0,IF(YEAR($C50)=AB$1,(DATE(((AB$1)+1),1,1)-$C50)/365.25,IF(AB$1=YEAR($D50),($D50-(DATE(((AB$1)-1),12,31)))/365.25,IF(YEAR($D50)&lt;AB$1,0,1))))),1),0)/12</f>
        <v>1</v>
      </c>
      <c r="AC50" s="5">
        <f t="shared" si="20"/>
        <v>1</v>
      </c>
      <c r="AD50" s="5">
        <f t="shared" si="20"/>
        <v>1</v>
      </c>
      <c r="AE50" s="5">
        <f t="shared" si="20"/>
        <v>1</v>
      </c>
      <c r="AF50" s="5">
        <f t="shared" si="20"/>
        <v>1</v>
      </c>
      <c r="AG50" s="5">
        <f t="shared" si="20"/>
        <v>1</v>
      </c>
      <c r="AH50" s="5">
        <f t="shared" si="20"/>
        <v>1</v>
      </c>
      <c r="AI50" s="5">
        <f t="shared" si="20"/>
        <v>1</v>
      </c>
      <c r="AJ50" s="5">
        <f t="shared" si="20"/>
        <v>1</v>
      </c>
      <c r="AK50" s="5">
        <f t="shared" si="20"/>
        <v>1</v>
      </c>
      <c r="AL50" s="5">
        <f t="shared" ref="AL50:AU56" si="21">ROUNDDOWN(ROUND((12*IF((DATE(AL$1,12,31))&lt;$C50,0,IF(YEAR($C50)=AL$1,(DATE(((AL$1)+1),1,1)-$C50)/365.25,IF(AL$1=YEAR($D50),($D50-(DATE(((AL$1)-1),12,31)))/365.25,IF(YEAR($D50)&lt;AL$1,0,1))))),1),0)/12</f>
        <v>1</v>
      </c>
      <c r="AM50" s="5">
        <f t="shared" si="21"/>
        <v>1</v>
      </c>
      <c r="AN50" s="5">
        <f t="shared" si="21"/>
        <v>1</v>
      </c>
      <c r="AO50" s="5">
        <f t="shared" si="21"/>
        <v>1</v>
      </c>
      <c r="AP50" s="5">
        <f t="shared" si="21"/>
        <v>1</v>
      </c>
      <c r="AQ50" s="5">
        <f t="shared" si="21"/>
        <v>1</v>
      </c>
      <c r="AR50" s="5">
        <f t="shared" si="21"/>
        <v>1</v>
      </c>
      <c r="AS50" s="5">
        <f t="shared" si="21"/>
        <v>1</v>
      </c>
      <c r="AT50" s="5">
        <f t="shared" si="21"/>
        <v>1</v>
      </c>
      <c r="AU50" s="5">
        <f t="shared" si="21"/>
        <v>1</v>
      </c>
      <c r="AV50" s="5">
        <f>ROUNDDOWN(ROUND((12*IF((DATE(AV$1,12,31))&lt;$C50,0,IF(YEAR($C50)=AV$1,(DATE(((AV$1)+1),1,1)-$C50)/365.25,IF(AV$1=YEAR($D50),($D50-(DATE(((AV$1)-1),12,31)))/365.25,IF(YEAR($D50)&lt;AV$1,0,1))))),1),0)/12</f>
        <v>1</v>
      </c>
      <c r="AW50" s="5">
        <f>ROUNDDOWN(ROUND((12*IF((DATE(AW$1,12,31))&lt;$C50,0,IF(YEAR($C50)=AW$1,(DATE(((AW$1)+1),1,1)-$C50)/365.25,IF(AW$1=YEAR($D50),($D50-(DATE(((AW$1)-1),12,31)))/365.25,IF(YEAR($D50)&lt;AW$1,0,1))))),1),0)/12</f>
        <v>1</v>
      </c>
      <c r="AX50" s="5">
        <f>ROUNDDOWN(ROUND((12*IF((DATE(AX$1,12,31))&lt;$C50,0,IF(YEAR($C50)=AX$1,(DATE(((AX$1)+1),1,1)-$C50)/365.25,IF(AX$1=YEAR($D50),($D50-(DATE(((AX$1)-1),12,31)))/365.25,IF(YEAR($D50)&lt;AX$1,0,1))))),1),0)/12</f>
        <v>1</v>
      </c>
      <c r="AY50" s="5">
        <f>ROUNDDOWN(ROUND((12*IF((DATE(AY$1,12,31))&lt;$C50,0,IF(YEAR($C50)=AY$1,(DATE(((AY$1)+1),1,1)-$C50)/365.25,IF(AY$1=YEAR($D50),($D50-(DATE(((AY$1)-1),12,31)))/365.25,IF(YEAR($D50)&lt;AY$1,0,1))))),1),0)/12</f>
        <v>1</v>
      </c>
      <c r="AZ50" s="5">
        <f>ROUNDDOWN(ROUND((12*IF((DATE(AZ$1,12,31))&lt;$C50,0,IF(YEAR($C50)=AZ$1,(DATE(((AZ$1)+1),1,1)-$C50)/365.25,IF(AZ$1=YEAR($D50),($D50-(DATE(((AZ$1)-1),12,31)))/365.25,IF(YEAR($D50)&lt;AZ$1,0,1))))),1),0)/12</f>
        <v>1</v>
      </c>
      <c r="BA50" s="5">
        <f>ROUNDDOWN(ROUND((12*IF((DATE(BA$1,12,31))&lt;$C50,0,IF(YEAR($C50)=BA$1,(DATE(((BA$1)+1),1,1)-$C50)/365.25,IF(BA$1=YEAR($D50),($D50-(DATE(((BA$1)-1),12,31)))/365.25,IF(YEAR($D50)&lt;BA$1,0,1))))),1),0)/12</f>
        <v>1</v>
      </c>
      <c r="BB50" s="5">
        <f>ROUNDDOWN(ROUND((12*IF((DATE(BB$1,12,31))&lt;$C50,0,IF(YEAR($C50)=BB$1,(DATE(((BB$1)+1),1,1)-$C50)/365.25,IF(BB$1=YEAR($D50),($D50-(DATE(((BB$1)-1),12,31)))/365.25,IF(YEAR($D50)&lt;BB$1,0,1))))),1),0)/12</f>
        <v>1</v>
      </c>
      <c r="BC50" s="5">
        <f>ROUNDDOWN(ROUND((12*IF((DATE(BC$1,12,31))&lt;$C50,0,IF(YEAR($C50)=BC$1,(DATE(((BC$1)+1),1,1)-$C50)/365.25,IF(BC$1=YEAR($D50),($D50-(DATE(((BC$1)-1),12,31)))/365.25,IF(YEAR($D50)&lt;BC$1,0,1))))),1),0)/12</f>
        <v>1</v>
      </c>
    </row>
    <row r="51" spans="1:55" x14ac:dyDescent="0.25">
      <c r="A51" s="132">
        <v>600</v>
      </c>
      <c r="B51" s="133">
        <v>687</v>
      </c>
      <c r="C51" s="134">
        <v>34680</v>
      </c>
      <c r="D51" s="161">
        <v>48580</v>
      </c>
      <c r="G51" s="5">
        <f t="shared" si="13"/>
        <v>0</v>
      </c>
      <c r="H51" s="5">
        <f t="shared" si="18"/>
        <v>0</v>
      </c>
      <c r="I51" s="5">
        <f t="shared" si="18"/>
        <v>0</v>
      </c>
      <c r="J51" s="5">
        <f t="shared" si="18"/>
        <v>0</v>
      </c>
      <c r="K51" s="5">
        <f t="shared" si="18"/>
        <v>0</v>
      </c>
      <c r="L51" s="5">
        <f t="shared" si="18"/>
        <v>0</v>
      </c>
      <c r="M51" s="5">
        <f t="shared" si="18"/>
        <v>0</v>
      </c>
      <c r="N51" s="5">
        <f t="shared" si="18"/>
        <v>0</v>
      </c>
      <c r="O51" s="5">
        <f t="shared" si="18"/>
        <v>0</v>
      </c>
      <c r="P51" s="5">
        <f t="shared" si="18"/>
        <v>0</v>
      </c>
      <c r="Q51" s="5">
        <f t="shared" si="18"/>
        <v>0</v>
      </c>
      <c r="R51" s="5">
        <f t="shared" si="19"/>
        <v>0</v>
      </c>
      <c r="S51" s="5">
        <f t="shared" si="19"/>
        <v>0</v>
      </c>
      <c r="T51" s="5">
        <f t="shared" si="19"/>
        <v>0</v>
      </c>
      <c r="U51" s="5">
        <f t="shared" si="19"/>
        <v>0</v>
      </c>
      <c r="V51" s="5">
        <f t="shared" si="19"/>
        <v>0</v>
      </c>
      <c r="W51" s="5">
        <f t="shared" si="19"/>
        <v>0</v>
      </c>
      <c r="X51" s="5">
        <f t="shared" si="19"/>
        <v>0</v>
      </c>
      <c r="Y51" s="5">
        <f t="shared" si="19"/>
        <v>1</v>
      </c>
      <c r="Z51" s="5">
        <f t="shared" si="19"/>
        <v>1</v>
      </c>
      <c r="AA51" s="5">
        <f t="shared" si="19"/>
        <v>1</v>
      </c>
      <c r="AB51" s="5">
        <f t="shared" si="20"/>
        <v>1</v>
      </c>
      <c r="AC51" s="5">
        <f t="shared" si="20"/>
        <v>1</v>
      </c>
      <c r="AD51" s="5">
        <f t="shared" si="20"/>
        <v>1</v>
      </c>
      <c r="AE51" s="5">
        <f t="shared" si="20"/>
        <v>1</v>
      </c>
      <c r="AF51" s="5">
        <f t="shared" si="20"/>
        <v>1</v>
      </c>
      <c r="AG51" s="5">
        <f t="shared" si="20"/>
        <v>1</v>
      </c>
      <c r="AH51" s="5">
        <f t="shared" si="20"/>
        <v>1</v>
      </c>
      <c r="AI51" s="5">
        <f t="shared" si="20"/>
        <v>1</v>
      </c>
      <c r="AJ51" s="5">
        <f t="shared" si="20"/>
        <v>1</v>
      </c>
      <c r="AK51" s="5">
        <f t="shared" si="20"/>
        <v>1</v>
      </c>
      <c r="AL51" s="5">
        <f t="shared" si="21"/>
        <v>1</v>
      </c>
      <c r="AM51" s="5">
        <f t="shared" si="21"/>
        <v>1</v>
      </c>
      <c r="AN51" s="5">
        <f t="shared" si="21"/>
        <v>1</v>
      </c>
      <c r="AO51" s="5">
        <f t="shared" si="21"/>
        <v>1</v>
      </c>
      <c r="AP51" s="5">
        <f t="shared" si="21"/>
        <v>1</v>
      </c>
      <c r="AQ51" s="5">
        <f t="shared" si="21"/>
        <v>1</v>
      </c>
      <c r="AR51" s="5">
        <f t="shared" si="21"/>
        <v>1</v>
      </c>
      <c r="AS51" s="5">
        <f t="shared" si="21"/>
        <v>1</v>
      </c>
      <c r="AT51" s="5">
        <f t="shared" si="21"/>
        <v>1</v>
      </c>
      <c r="AU51" s="5">
        <f t="shared" si="21"/>
        <v>1</v>
      </c>
      <c r="AV51" s="5">
        <f>ROUNDDOWN(ROUND((12*IF((DATE(AV$1,12,31))&lt;$C51,0,IF(YEAR($C51)=AV$1,(DATE(((AV$1)+1),1,1)-$C51)/365.25,IF(AV$1=YEAR($D51),($D51-(DATE(((AV$1)-1),12,31)))/365.25,IF(YEAR($D51)&lt;AV$1,0,1))))),1),0)/12</f>
        <v>1</v>
      </c>
      <c r="AW51" s="5">
        <f>ROUNDDOWN(ROUND((12*IF((DATE(AW$1,12,31))&lt;$C51,0,IF(YEAR($C51)=AW$1,(DATE(((AW$1)+1),1,1)-$C51)/365.25,IF(AW$1=YEAR($D51),($D51-(DATE(((AW$1)-1),12,31)))/365.25,IF(YEAR($D51)&lt;AW$1,0,1))))),1),0)/12</f>
        <v>1</v>
      </c>
      <c r="AX51" s="5">
        <f>ROUNDDOWN(ROUND((12*IF((DATE(AX$1,12,31))&lt;$C51,0,IF(YEAR($C51)=AX$1,(DATE(((AX$1)+1),1,1)-$C51)/365.25,IF(AX$1=YEAR($D51),($D51-(DATE(((AX$1)-1),12,31)))/365.25,IF(YEAR($D51)&lt;AX$1,0,1))))),1),0)/12</f>
        <v>1</v>
      </c>
      <c r="AY51" s="5">
        <f>ROUNDDOWN(ROUND((12*IF((DATE(AY$1,12,31))&lt;$C51,0,IF(YEAR($C51)=AY$1,(DATE(((AY$1)+1),1,1)-$C51)/365.25,IF(AY$1=YEAR($D51),($D51-(DATE(((AY$1)-1),12,31)))/365.25,IF(YEAR($D51)&lt;AY$1,0,1))))),1),0)/12</f>
        <v>1</v>
      </c>
      <c r="AZ51" s="5">
        <f>ROUNDDOWN(ROUND((12*IF((DATE(AZ$1,12,31))&lt;$C51,0,IF(YEAR($C51)=AZ$1,(DATE(((AZ$1)+1),1,1)-$C51)/365.25,IF(AZ$1=YEAR($D51),($D51-(DATE(((AZ$1)-1),12,31)))/365.25,IF(YEAR($D51)&lt;AZ$1,0,1))))),1),0)/12</f>
        <v>1</v>
      </c>
      <c r="BA51" s="5">
        <f>ROUNDDOWN(ROUND((12*IF((DATE(BA$1,12,31))&lt;$C51,0,IF(YEAR($C51)=BA$1,(DATE(((BA$1)+1),1,1)-$C51)/365.25,IF(BA$1=YEAR($D51),($D51-(DATE(((BA$1)-1),12,31)))/365.25,IF(YEAR($D51)&lt;BA$1,0,1))))),1),0)/12</f>
        <v>1</v>
      </c>
      <c r="BB51" s="5">
        <f>ROUNDDOWN(ROUND((12*IF((DATE(BB$1,12,31))&lt;$C51,0,IF(YEAR($C51)=BB$1,(DATE(((BB$1)+1),1,1)-$C51)/365.25,IF(BB$1=YEAR($D51),($D51-(DATE(((BB$1)-1),12,31)))/365.25,IF(YEAR($D51)&lt;BB$1,0,1))))),1),0)/12</f>
        <v>1</v>
      </c>
      <c r="BC51" s="5">
        <f>ROUNDDOWN(ROUND((12*IF((DATE(BC$1,12,31))&lt;$C51,0,IF(YEAR($C51)=BC$1,(DATE(((BC$1)+1),1,1)-$C51)/365.25,IF(BC$1=YEAR($D51),($D51-(DATE(((BC$1)-1),12,31)))/365.25,IF(YEAR($D51)&lt;BC$1,0,1))))),1),0)/12</f>
        <v>1</v>
      </c>
    </row>
    <row r="52" spans="1:55" x14ac:dyDescent="0.25">
      <c r="A52" s="132">
        <v>600</v>
      </c>
      <c r="B52" s="133">
        <v>685</v>
      </c>
      <c r="C52" s="134">
        <v>34579</v>
      </c>
      <c r="D52" s="161">
        <v>50526</v>
      </c>
      <c r="G52" s="5">
        <f t="shared" si="13"/>
        <v>0</v>
      </c>
      <c r="H52" s="5">
        <f t="shared" si="18"/>
        <v>0</v>
      </c>
      <c r="I52" s="5">
        <f t="shared" si="18"/>
        <v>0</v>
      </c>
      <c r="J52" s="5">
        <f t="shared" si="18"/>
        <v>0</v>
      </c>
      <c r="K52" s="5">
        <f t="shared" si="18"/>
        <v>0</v>
      </c>
      <c r="L52" s="5">
        <f t="shared" si="18"/>
        <v>0</v>
      </c>
      <c r="M52" s="5">
        <f t="shared" si="18"/>
        <v>0</v>
      </c>
      <c r="N52" s="5">
        <f t="shared" si="18"/>
        <v>0</v>
      </c>
      <c r="O52" s="5">
        <f t="shared" si="18"/>
        <v>0</v>
      </c>
      <c r="P52" s="5">
        <f t="shared" si="18"/>
        <v>0</v>
      </c>
      <c r="Q52" s="5">
        <f t="shared" si="18"/>
        <v>0</v>
      </c>
      <c r="R52" s="5">
        <f t="shared" si="19"/>
        <v>0</v>
      </c>
      <c r="S52" s="5">
        <f t="shared" si="19"/>
        <v>0</v>
      </c>
      <c r="T52" s="5">
        <f t="shared" si="19"/>
        <v>0</v>
      </c>
      <c r="U52" s="5">
        <f t="shared" si="19"/>
        <v>0</v>
      </c>
      <c r="V52" s="5">
        <f t="shared" si="19"/>
        <v>0</v>
      </c>
      <c r="W52" s="5">
        <f t="shared" si="19"/>
        <v>0</v>
      </c>
      <c r="X52" s="5">
        <f t="shared" si="19"/>
        <v>0.33333333333333331</v>
      </c>
      <c r="Y52" s="5">
        <f t="shared" si="19"/>
        <v>1</v>
      </c>
      <c r="Z52" s="5">
        <f t="shared" si="19"/>
        <v>1</v>
      </c>
      <c r="AA52" s="5">
        <f t="shared" si="19"/>
        <v>1</v>
      </c>
      <c r="AB52" s="5">
        <f t="shared" si="20"/>
        <v>1</v>
      </c>
      <c r="AC52" s="5">
        <f t="shared" si="20"/>
        <v>1</v>
      </c>
      <c r="AD52" s="5">
        <f t="shared" si="20"/>
        <v>1</v>
      </c>
      <c r="AE52" s="5">
        <f t="shared" si="20"/>
        <v>1</v>
      </c>
      <c r="AF52" s="5">
        <f t="shared" si="20"/>
        <v>1</v>
      </c>
      <c r="AG52" s="5">
        <f t="shared" si="20"/>
        <v>1</v>
      </c>
      <c r="AH52" s="5">
        <f t="shared" si="20"/>
        <v>1</v>
      </c>
      <c r="AI52" s="5">
        <f t="shared" si="20"/>
        <v>1</v>
      </c>
      <c r="AJ52" s="5">
        <f t="shared" si="20"/>
        <v>1</v>
      </c>
      <c r="AK52" s="5">
        <f t="shared" si="20"/>
        <v>1</v>
      </c>
      <c r="AL52" s="5">
        <f t="shared" si="21"/>
        <v>1</v>
      </c>
      <c r="AM52" s="5">
        <f t="shared" si="21"/>
        <v>1</v>
      </c>
      <c r="AN52" s="5">
        <f t="shared" si="21"/>
        <v>1</v>
      </c>
      <c r="AO52" s="5">
        <f t="shared" si="21"/>
        <v>1</v>
      </c>
      <c r="AP52" s="5">
        <f t="shared" si="21"/>
        <v>1</v>
      </c>
      <c r="AQ52" s="5">
        <f t="shared" si="21"/>
        <v>1</v>
      </c>
      <c r="AR52" s="5">
        <f t="shared" si="21"/>
        <v>1</v>
      </c>
      <c r="AS52" s="5">
        <f t="shared" si="21"/>
        <v>1</v>
      </c>
      <c r="AT52" s="5">
        <f t="shared" si="21"/>
        <v>1</v>
      </c>
      <c r="AU52" s="5">
        <f t="shared" si="21"/>
        <v>1</v>
      </c>
      <c r="AV52" s="5">
        <f>ROUNDDOWN(ROUND((12*IF((DATE(AV$1,12,31))&lt;$C52,0,IF(YEAR($C52)=AV$1,(DATE(((AV$1)+1),1,1)-$C52)/365.25,IF(AV$1=YEAR($D52),($D52-(DATE(((AV$1)-1),12,31)))/365.25,IF(YEAR($D52)&lt;AV$1,0,1))))),1),0)/12</f>
        <v>1</v>
      </c>
      <c r="AW52" s="5">
        <f>ROUNDDOWN(ROUND((12*IF((DATE(AW$1,12,31))&lt;$C52,0,IF(YEAR($C52)=AW$1,(DATE(((AW$1)+1),1,1)-$C52)/365.25,IF(AW$1=YEAR($D52),($D52-(DATE(((AW$1)-1),12,31)))/365.25,IF(YEAR($D52)&lt;AW$1,0,1))))),1),0)/12</f>
        <v>1</v>
      </c>
      <c r="AX52" s="5">
        <f>ROUNDDOWN(ROUND((12*IF((DATE(AX$1,12,31))&lt;$C52,0,IF(YEAR($C52)=AX$1,(DATE(((AX$1)+1),1,1)-$C52)/365.25,IF(AX$1=YEAR($D52),($D52-(DATE(((AX$1)-1),12,31)))/365.25,IF(YEAR($D52)&lt;AX$1,0,1))))),1),0)/12</f>
        <v>1</v>
      </c>
      <c r="AY52" s="5">
        <f>ROUNDDOWN(ROUND((12*IF((DATE(AY$1,12,31))&lt;$C52,0,IF(YEAR($C52)=AY$1,(DATE(((AY$1)+1),1,1)-$C52)/365.25,IF(AY$1=YEAR($D52),($D52-(DATE(((AY$1)-1),12,31)))/365.25,IF(YEAR($D52)&lt;AY$1,0,1))))),1),0)/12</f>
        <v>1</v>
      </c>
      <c r="AZ52" s="5">
        <f>ROUNDDOWN(ROUND((12*IF((DATE(AZ$1,12,31))&lt;$C52,0,IF(YEAR($C52)=AZ$1,(DATE(((AZ$1)+1),1,1)-$C52)/365.25,IF(AZ$1=YEAR($D52),($D52-(DATE(((AZ$1)-1),12,31)))/365.25,IF(YEAR($D52)&lt;AZ$1,0,1))))),1),0)/12</f>
        <v>1</v>
      </c>
      <c r="BA52" s="5">
        <f>ROUNDDOWN(ROUND((12*IF((DATE(BA$1,12,31))&lt;$C52,0,IF(YEAR($C52)=BA$1,(DATE(((BA$1)+1),1,1)-$C52)/365.25,IF(BA$1=YEAR($D52),($D52-(DATE(((BA$1)-1),12,31)))/365.25,IF(YEAR($D52)&lt;BA$1,0,1))))),1),0)/12</f>
        <v>1</v>
      </c>
      <c r="BB52" s="5">
        <f>ROUNDDOWN(ROUND((12*IF((DATE(BB$1,12,31))&lt;$C52,0,IF(YEAR($C52)=BB$1,(DATE(((BB$1)+1),1,1)-$C52)/365.25,IF(BB$1=YEAR($D52),($D52-(DATE(((BB$1)-1),12,31)))/365.25,IF(YEAR($D52)&lt;BB$1,0,1))))),1),0)/12</f>
        <v>1</v>
      </c>
      <c r="BC52" s="5">
        <f>ROUNDDOWN(ROUND((12*IF((DATE(BC$1,12,31))&lt;$C52,0,IF(YEAR($C52)=BC$1,(DATE(((BC$1)+1),1,1)-$C52)/365.25,IF(BC$1=YEAR($D52),($D52-(DATE(((BC$1)-1),12,31)))/365.25,IF(YEAR($D52)&lt;BC$1,0,1))))),1),0)/12</f>
        <v>1</v>
      </c>
    </row>
    <row r="53" spans="1:55" x14ac:dyDescent="0.25">
      <c r="A53" s="132">
        <v>600</v>
      </c>
      <c r="B53" s="133">
        <v>684</v>
      </c>
      <c r="C53" s="134">
        <v>34575</v>
      </c>
      <c r="D53" s="161">
        <v>47727</v>
      </c>
      <c r="G53" s="5">
        <f t="shared" si="13"/>
        <v>0</v>
      </c>
      <c r="H53" s="5">
        <f t="shared" si="18"/>
        <v>0</v>
      </c>
      <c r="I53" s="5">
        <f t="shared" si="18"/>
        <v>0</v>
      </c>
      <c r="J53" s="5">
        <f t="shared" si="18"/>
        <v>0</v>
      </c>
      <c r="K53" s="5">
        <f t="shared" si="18"/>
        <v>0</v>
      </c>
      <c r="L53" s="5">
        <f t="shared" si="18"/>
        <v>0</v>
      </c>
      <c r="M53" s="5">
        <f t="shared" si="18"/>
        <v>0</v>
      </c>
      <c r="N53" s="5">
        <f t="shared" si="18"/>
        <v>0</v>
      </c>
      <c r="O53" s="5">
        <f t="shared" si="18"/>
        <v>0</v>
      </c>
      <c r="P53" s="5">
        <f t="shared" si="18"/>
        <v>0</v>
      </c>
      <c r="Q53" s="5">
        <f t="shared" si="18"/>
        <v>0</v>
      </c>
      <c r="R53" s="5">
        <f t="shared" si="19"/>
        <v>0</v>
      </c>
      <c r="S53" s="5">
        <f t="shared" si="19"/>
        <v>0</v>
      </c>
      <c r="T53" s="5">
        <f t="shared" si="19"/>
        <v>0</v>
      </c>
      <c r="U53" s="5">
        <f t="shared" si="19"/>
        <v>0</v>
      </c>
      <c r="V53" s="5">
        <f t="shared" si="19"/>
        <v>0</v>
      </c>
      <c r="W53" s="5">
        <f t="shared" si="19"/>
        <v>0</v>
      </c>
      <c r="X53" s="5">
        <f t="shared" si="19"/>
        <v>0.33333333333333331</v>
      </c>
      <c r="Y53" s="5">
        <f t="shared" si="19"/>
        <v>1</v>
      </c>
      <c r="Z53" s="5">
        <f t="shared" si="19"/>
        <v>1</v>
      </c>
      <c r="AA53" s="5">
        <f t="shared" si="19"/>
        <v>1</v>
      </c>
      <c r="AB53" s="5">
        <f t="shared" si="20"/>
        <v>1</v>
      </c>
      <c r="AC53" s="5">
        <f t="shared" si="20"/>
        <v>1</v>
      </c>
      <c r="AD53" s="5">
        <f t="shared" si="20"/>
        <v>1</v>
      </c>
      <c r="AE53" s="5">
        <f t="shared" si="20"/>
        <v>1</v>
      </c>
      <c r="AF53" s="5">
        <f t="shared" si="20"/>
        <v>1</v>
      </c>
      <c r="AG53" s="5">
        <f t="shared" si="20"/>
        <v>1</v>
      </c>
      <c r="AH53" s="5">
        <f t="shared" si="20"/>
        <v>1</v>
      </c>
      <c r="AI53" s="5">
        <f t="shared" si="20"/>
        <v>1</v>
      </c>
      <c r="AJ53" s="5">
        <f t="shared" si="20"/>
        <v>1</v>
      </c>
      <c r="AK53" s="5">
        <f t="shared" si="20"/>
        <v>1</v>
      </c>
      <c r="AL53" s="5">
        <f t="shared" si="21"/>
        <v>1</v>
      </c>
      <c r="AM53" s="5">
        <f t="shared" si="21"/>
        <v>1</v>
      </c>
      <c r="AN53" s="5">
        <f t="shared" si="21"/>
        <v>1</v>
      </c>
      <c r="AO53" s="5">
        <f t="shared" si="21"/>
        <v>1</v>
      </c>
      <c r="AP53" s="5">
        <f t="shared" si="21"/>
        <v>1</v>
      </c>
      <c r="AQ53" s="5">
        <f t="shared" si="21"/>
        <v>1</v>
      </c>
      <c r="AR53" s="5">
        <f t="shared" si="21"/>
        <v>1</v>
      </c>
      <c r="AS53" s="5">
        <f t="shared" si="21"/>
        <v>1</v>
      </c>
      <c r="AT53" s="5">
        <f t="shared" si="21"/>
        <v>1</v>
      </c>
      <c r="AU53" s="5">
        <f t="shared" si="21"/>
        <v>1</v>
      </c>
      <c r="AV53" s="5">
        <f>ROUNDDOWN(ROUND((12*IF((DATE(AV$1,12,31))&lt;$C53,0,IF(YEAR($C53)=AV$1,(DATE(((AV$1)+1),1,1)-$C53)/365.25,IF(AV$1=YEAR($D53),($D53-(DATE(((AV$1)-1),12,31)))/365.25,IF(YEAR($D53)&lt;AV$1,0,1))))),1),0)/12</f>
        <v>1</v>
      </c>
      <c r="AW53" s="5">
        <f>ROUNDDOWN(ROUND((12*IF((DATE(AW$1,12,31))&lt;$C53,0,IF(YEAR($C53)=AW$1,(DATE(((AW$1)+1),1,1)-$C53)/365.25,IF(AW$1=YEAR($D53),($D53-(DATE(((AW$1)-1),12,31)))/365.25,IF(YEAR($D53)&lt;AW$1,0,1))))),1),0)/12</f>
        <v>1</v>
      </c>
      <c r="AX53" s="5">
        <f>ROUNDDOWN(ROUND((12*IF((DATE(AX$1,12,31))&lt;$C53,0,IF(YEAR($C53)=AX$1,(DATE(((AX$1)+1),1,1)-$C53)/365.25,IF(AX$1=YEAR($D53),($D53-(DATE(((AX$1)-1),12,31)))/365.25,IF(YEAR($D53)&lt;AX$1,0,1))))),1),0)/12</f>
        <v>1</v>
      </c>
      <c r="AY53" s="5">
        <f>ROUNDDOWN(ROUND((12*IF((DATE(AY$1,12,31))&lt;$C53,0,IF(YEAR($C53)=AY$1,(DATE(((AY$1)+1),1,1)-$C53)/365.25,IF(AY$1=YEAR($D53),($D53-(DATE(((AY$1)-1),12,31)))/365.25,IF(YEAR($D53)&lt;AY$1,0,1))))),1),0)/12</f>
        <v>1</v>
      </c>
      <c r="AZ53" s="5">
        <f>ROUNDDOWN(ROUND((12*IF((DATE(AZ$1,12,31))&lt;$C53,0,IF(YEAR($C53)=AZ$1,(DATE(((AZ$1)+1),1,1)-$C53)/365.25,IF(AZ$1=YEAR($D53),($D53-(DATE(((AZ$1)-1),12,31)))/365.25,IF(YEAR($D53)&lt;AZ$1,0,1))))),1),0)/12</f>
        <v>1</v>
      </c>
      <c r="BA53" s="5">
        <f>ROUNDDOWN(ROUND((12*IF((DATE(BA$1,12,31))&lt;$C53,0,IF(YEAR($C53)=BA$1,(DATE(((BA$1)+1),1,1)-$C53)/365.25,IF(BA$1=YEAR($D53),($D53-(DATE(((BA$1)-1),12,31)))/365.25,IF(YEAR($D53)&lt;BA$1,0,1))))),1),0)/12</f>
        <v>1</v>
      </c>
      <c r="BB53" s="5">
        <f>ROUNDDOWN(ROUND((12*IF((DATE(BB$1,12,31))&lt;$C53,0,IF(YEAR($C53)=BB$1,(DATE(((BB$1)+1),1,1)-$C53)/365.25,IF(BB$1=YEAR($D53),($D53-(DATE(((BB$1)-1),12,31)))/365.25,IF(YEAR($D53)&lt;BB$1,0,1))))),1),0)/12</f>
        <v>1</v>
      </c>
      <c r="BC53" s="5">
        <f>ROUNDDOWN(ROUND((12*IF((DATE(BC$1,12,31))&lt;$C53,0,IF(YEAR($C53)=BC$1,(DATE(((BC$1)+1),1,1)-$C53)/365.25,IF(BC$1=YEAR($D53),($D53-(DATE(((BC$1)-1),12,31)))/365.25,IF(YEAR($D53)&lt;BC$1,0,1))))),1),0)/12</f>
        <v>1</v>
      </c>
    </row>
    <row r="54" spans="1:55" x14ac:dyDescent="0.25">
      <c r="A54" s="132">
        <v>600</v>
      </c>
      <c r="B54" s="133">
        <v>681</v>
      </c>
      <c r="C54" s="134">
        <v>34421</v>
      </c>
      <c r="D54" s="161">
        <v>47484</v>
      </c>
      <c r="G54" s="5">
        <f t="shared" si="13"/>
        <v>0</v>
      </c>
      <c r="H54" s="5">
        <f t="shared" si="18"/>
        <v>0</v>
      </c>
      <c r="I54" s="5">
        <f t="shared" si="18"/>
        <v>0</v>
      </c>
      <c r="J54" s="5">
        <f t="shared" si="18"/>
        <v>0</v>
      </c>
      <c r="K54" s="5">
        <f t="shared" si="18"/>
        <v>0</v>
      </c>
      <c r="L54" s="5">
        <f t="shared" si="18"/>
        <v>0</v>
      </c>
      <c r="M54" s="5">
        <f t="shared" si="18"/>
        <v>0</v>
      </c>
      <c r="N54" s="5">
        <f t="shared" si="18"/>
        <v>0</v>
      </c>
      <c r="O54" s="5">
        <f t="shared" si="18"/>
        <v>0</v>
      </c>
      <c r="P54" s="5">
        <f t="shared" si="18"/>
        <v>0</v>
      </c>
      <c r="Q54" s="5">
        <f t="shared" si="18"/>
        <v>0</v>
      </c>
      <c r="R54" s="5">
        <f t="shared" si="19"/>
        <v>0</v>
      </c>
      <c r="S54" s="5">
        <f t="shared" si="19"/>
        <v>0</v>
      </c>
      <c r="T54" s="5">
        <f t="shared" si="19"/>
        <v>0</v>
      </c>
      <c r="U54" s="5">
        <f t="shared" si="19"/>
        <v>0</v>
      </c>
      <c r="V54" s="5">
        <f t="shared" si="19"/>
        <v>0</v>
      </c>
      <c r="W54" s="5">
        <f t="shared" si="19"/>
        <v>0</v>
      </c>
      <c r="X54" s="5">
        <f t="shared" si="19"/>
        <v>0.75</v>
      </c>
      <c r="Y54" s="5">
        <f t="shared" si="19"/>
        <v>1</v>
      </c>
      <c r="Z54" s="5">
        <f t="shared" si="19"/>
        <v>1</v>
      </c>
      <c r="AA54" s="5">
        <f t="shared" si="19"/>
        <v>1</v>
      </c>
      <c r="AB54" s="5">
        <f t="shared" si="20"/>
        <v>1</v>
      </c>
      <c r="AC54" s="5">
        <f t="shared" si="20"/>
        <v>1</v>
      </c>
      <c r="AD54" s="5">
        <f t="shared" si="20"/>
        <v>1</v>
      </c>
      <c r="AE54" s="5">
        <f t="shared" si="20"/>
        <v>1</v>
      </c>
      <c r="AF54" s="5">
        <f t="shared" si="20"/>
        <v>1</v>
      </c>
      <c r="AG54" s="5">
        <f t="shared" si="20"/>
        <v>1</v>
      </c>
      <c r="AH54" s="5">
        <f t="shared" si="20"/>
        <v>1</v>
      </c>
      <c r="AI54" s="5">
        <f t="shared" si="20"/>
        <v>1</v>
      </c>
      <c r="AJ54" s="5">
        <f t="shared" si="20"/>
        <v>1</v>
      </c>
      <c r="AK54" s="5">
        <f t="shared" si="20"/>
        <v>1</v>
      </c>
      <c r="AL54" s="5">
        <f t="shared" si="21"/>
        <v>1</v>
      </c>
      <c r="AM54" s="5">
        <f t="shared" si="21"/>
        <v>1</v>
      </c>
      <c r="AN54" s="5">
        <f t="shared" si="21"/>
        <v>1</v>
      </c>
      <c r="AO54" s="5">
        <f t="shared" si="21"/>
        <v>1</v>
      </c>
      <c r="AP54" s="5">
        <f t="shared" si="21"/>
        <v>1</v>
      </c>
      <c r="AQ54" s="5">
        <f t="shared" si="21"/>
        <v>1</v>
      </c>
      <c r="AR54" s="5">
        <f t="shared" si="21"/>
        <v>1</v>
      </c>
      <c r="AS54" s="5">
        <f t="shared" si="21"/>
        <v>1</v>
      </c>
      <c r="AT54" s="5">
        <f t="shared" si="21"/>
        <v>1</v>
      </c>
      <c r="AU54" s="5">
        <f t="shared" si="21"/>
        <v>1</v>
      </c>
      <c r="AV54" s="5">
        <f>ROUNDDOWN(ROUND((12*IF((DATE(AV$1,12,31))&lt;$C54,0,IF(YEAR($C54)=AV$1,(DATE(((AV$1)+1),1,1)-$C54)/365.25,IF(AV$1=YEAR($D54),($D54-(DATE(((AV$1)-1),12,31)))/365.25,IF(YEAR($D54)&lt;AV$1,0,1))))),1),0)/12</f>
        <v>1</v>
      </c>
      <c r="AW54" s="5">
        <f>ROUNDDOWN(ROUND((12*IF((DATE(AW$1,12,31))&lt;$C54,0,IF(YEAR($C54)=AW$1,(DATE(((AW$1)+1),1,1)-$C54)/365.25,IF(AW$1=YEAR($D54),($D54-(DATE(((AW$1)-1),12,31)))/365.25,IF(YEAR($D54)&lt;AW$1,0,1))))),1),0)/12</f>
        <v>1</v>
      </c>
      <c r="AX54" s="5">
        <f>ROUNDDOWN(ROUND((12*IF((DATE(AX$1,12,31))&lt;$C54,0,IF(YEAR($C54)=AX$1,(DATE(((AX$1)+1),1,1)-$C54)/365.25,IF(AX$1=YEAR($D54),($D54-(DATE(((AX$1)-1),12,31)))/365.25,IF(YEAR($D54)&lt;AX$1,0,1))))),1),0)/12</f>
        <v>1</v>
      </c>
      <c r="AY54" s="5">
        <f>ROUNDDOWN(ROUND((12*IF((DATE(AY$1,12,31))&lt;$C54,0,IF(YEAR($C54)=AY$1,(DATE(((AY$1)+1),1,1)-$C54)/365.25,IF(AY$1=YEAR($D54),($D54-(DATE(((AY$1)-1),12,31)))/365.25,IF(YEAR($D54)&lt;AY$1,0,1))))),1),0)/12</f>
        <v>1</v>
      </c>
      <c r="AZ54" s="5">
        <f>ROUNDDOWN(ROUND((12*IF((DATE(AZ$1,12,31))&lt;$C54,0,IF(YEAR($C54)=AZ$1,(DATE(((AZ$1)+1),1,1)-$C54)/365.25,IF(AZ$1=YEAR($D54),($D54-(DATE(((AZ$1)-1),12,31)))/365.25,IF(YEAR($D54)&lt;AZ$1,0,1))))),1),0)/12</f>
        <v>1</v>
      </c>
      <c r="BA54" s="5">
        <f>ROUNDDOWN(ROUND((12*IF((DATE(BA$1,12,31))&lt;$C54,0,IF(YEAR($C54)=BA$1,(DATE(((BA$1)+1),1,1)-$C54)/365.25,IF(BA$1=YEAR($D54),($D54-(DATE(((BA$1)-1),12,31)))/365.25,IF(YEAR($D54)&lt;BA$1,0,1))))),1),0)/12</f>
        <v>1</v>
      </c>
      <c r="BB54" s="5">
        <f>ROUNDDOWN(ROUND((12*IF((DATE(BB$1,12,31))&lt;$C54,0,IF(YEAR($C54)=BB$1,(DATE(((BB$1)+1),1,1)-$C54)/365.25,IF(BB$1=YEAR($D54),($D54-(DATE(((BB$1)-1),12,31)))/365.25,IF(YEAR($D54)&lt;BB$1,0,1))))),1),0)/12</f>
        <v>1</v>
      </c>
      <c r="BC54" s="5">
        <f>ROUNDDOWN(ROUND((12*IF((DATE(BC$1,12,31))&lt;$C54,0,IF(YEAR($C54)=BC$1,(DATE(((BC$1)+1),1,1)-$C54)/365.25,IF(BC$1=YEAR($D54),($D54-(DATE(((BC$1)-1),12,31)))/365.25,IF(YEAR($D54)&lt;BC$1,0,1))))),1),0)/12</f>
        <v>1</v>
      </c>
    </row>
    <row r="55" spans="1:55" x14ac:dyDescent="0.25">
      <c r="A55" s="132">
        <v>600</v>
      </c>
      <c r="B55" s="133">
        <v>655</v>
      </c>
      <c r="C55" s="134">
        <v>33686</v>
      </c>
      <c r="D55" s="161">
        <v>50496</v>
      </c>
      <c r="G55" s="5">
        <f t="shared" si="13"/>
        <v>0</v>
      </c>
      <c r="H55" s="5">
        <f t="shared" si="18"/>
        <v>0</v>
      </c>
      <c r="I55" s="5">
        <f t="shared" si="18"/>
        <v>0</v>
      </c>
      <c r="J55" s="5">
        <f t="shared" si="18"/>
        <v>0</v>
      </c>
      <c r="K55" s="5">
        <f t="shared" si="18"/>
        <v>0</v>
      </c>
      <c r="L55" s="5">
        <f t="shared" si="18"/>
        <v>0</v>
      </c>
      <c r="M55" s="5">
        <f t="shared" si="18"/>
        <v>0</v>
      </c>
      <c r="N55" s="5">
        <f t="shared" si="18"/>
        <v>0</v>
      </c>
      <c r="O55" s="5">
        <f t="shared" si="18"/>
        <v>0</v>
      </c>
      <c r="P55" s="5">
        <f t="shared" si="18"/>
        <v>0</v>
      </c>
      <c r="Q55" s="5">
        <f t="shared" si="18"/>
        <v>0</v>
      </c>
      <c r="R55" s="5">
        <f t="shared" si="19"/>
        <v>0</v>
      </c>
      <c r="S55" s="5">
        <f t="shared" si="19"/>
        <v>0</v>
      </c>
      <c r="T55" s="5">
        <f t="shared" si="19"/>
        <v>0</v>
      </c>
      <c r="U55" s="5">
        <f t="shared" si="19"/>
        <v>0</v>
      </c>
      <c r="V55" s="5">
        <f t="shared" si="19"/>
        <v>0.75</v>
      </c>
      <c r="W55" s="5">
        <f t="shared" si="19"/>
        <v>1</v>
      </c>
      <c r="X55" s="5">
        <f t="shared" si="19"/>
        <v>1</v>
      </c>
      <c r="Y55" s="5">
        <f t="shared" si="19"/>
        <v>1</v>
      </c>
      <c r="Z55" s="5">
        <f t="shared" si="19"/>
        <v>1</v>
      </c>
      <c r="AA55" s="5">
        <f t="shared" si="19"/>
        <v>1</v>
      </c>
      <c r="AB55" s="5">
        <f t="shared" si="20"/>
        <v>1</v>
      </c>
      <c r="AC55" s="5">
        <f t="shared" si="20"/>
        <v>1</v>
      </c>
      <c r="AD55" s="5">
        <f t="shared" si="20"/>
        <v>1</v>
      </c>
      <c r="AE55" s="5">
        <f t="shared" si="20"/>
        <v>1</v>
      </c>
      <c r="AF55" s="5">
        <f t="shared" si="20"/>
        <v>1</v>
      </c>
      <c r="AG55" s="5">
        <f t="shared" si="20"/>
        <v>1</v>
      </c>
      <c r="AH55" s="5">
        <f t="shared" si="20"/>
        <v>1</v>
      </c>
      <c r="AI55" s="5">
        <f t="shared" si="20"/>
        <v>1</v>
      </c>
      <c r="AJ55" s="5">
        <f t="shared" si="20"/>
        <v>1</v>
      </c>
      <c r="AK55" s="5">
        <f t="shared" si="20"/>
        <v>1</v>
      </c>
      <c r="AL55" s="5">
        <f t="shared" si="21"/>
        <v>1</v>
      </c>
      <c r="AM55" s="5">
        <f t="shared" si="21"/>
        <v>1</v>
      </c>
      <c r="AN55" s="5">
        <f t="shared" si="21"/>
        <v>1</v>
      </c>
      <c r="AO55" s="5">
        <f t="shared" si="21"/>
        <v>1</v>
      </c>
      <c r="AP55" s="5">
        <f t="shared" si="21"/>
        <v>1</v>
      </c>
      <c r="AQ55" s="5">
        <f t="shared" si="21"/>
        <v>1</v>
      </c>
      <c r="AR55" s="5">
        <f t="shared" si="21"/>
        <v>1</v>
      </c>
      <c r="AS55" s="5">
        <f t="shared" si="21"/>
        <v>1</v>
      </c>
      <c r="AT55" s="5">
        <f t="shared" si="21"/>
        <v>1</v>
      </c>
      <c r="AU55" s="5">
        <f t="shared" si="21"/>
        <v>1</v>
      </c>
      <c r="AV55" s="5">
        <f>ROUNDDOWN(ROUND((12*IF((DATE(AV$1,12,31))&lt;$C55,0,IF(YEAR($C55)=AV$1,(DATE(((AV$1)+1),1,1)-$C55)/365.25,IF(AV$1=YEAR($D55),($D55-(DATE(((AV$1)-1),12,31)))/365.25,IF(YEAR($D55)&lt;AV$1,0,1))))),1),0)/12</f>
        <v>1</v>
      </c>
      <c r="AW55" s="5">
        <f>ROUNDDOWN(ROUND((12*IF((DATE(AW$1,12,31))&lt;$C55,0,IF(YEAR($C55)=AW$1,(DATE(((AW$1)+1),1,1)-$C55)/365.25,IF(AW$1=YEAR($D55),($D55-(DATE(((AW$1)-1),12,31)))/365.25,IF(YEAR($D55)&lt;AW$1,0,1))))),1),0)/12</f>
        <v>1</v>
      </c>
      <c r="AX55" s="5">
        <f>ROUNDDOWN(ROUND((12*IF((DATE(AX$1,12,31))&lt;$C55,0,IF(YEAR($C55)=AX$1,(DATE(((AX$1)+1),1,1)-$C55)/365.25,IF(AX$1=YEAR($D55),($D55-(DATE(((AX$1)-1),12,31)))/365.25,IF(YEAR($D55)&lt;AX$1,0,1))))),1),0)/12</f>
        <v>1</v>
      </c>
      <c r="AY55" s="5">
        <f>ROUNDDOWN(ROUND((12*IF((DATE(AY$1,12,31))&lt;$C55,0,IF(YEAR($C55)=AY$1,(DATE(((AY$1)+1),1,1)-$C55)/365.25,IF(AY$1=YEAR($D55),($D55-(DATE(((AY$1)-1),12,31)))/365.25,IF(YEAR($D55)&lt;AY$1,0,1))))),1),0)/12</f>
        <v>1</v>
      </c>
      <c r="AZ55" s="5">
        <f>ROUNDDOWN(ROUND((12*IF((DATE(AZ$1,12,31))&lt;$C55,0,IF(YEAR($C55)=AZ$1,(DATE(((AZ$1)+1),1,1)-$C55)/365.25,IF(AZ$1=YEAR($D55),($D55-(DATE(((AZ$1)-1),12,31)))/365.25,IF(YEAR($D55)&lt;AZ$1,0,1))))),1),0)/12</f>
        <v>1</v>
      </c>
      <c r="BA55" s="5">
        <f>ROUNDDOWN(ROUND((12*IF((DATE(BA$1,12,31))&lt;$C55,0,IF(YEAR($C55)=BA$1,(DATE(((BA$1)+1),1,1)-$C55)/365.25,IF(BA$1=YEAR($D55),($D55-(DATE(((BA$1)-1),12,31)))/365.25,IF(YEAR($D55)&lt;BA$1,0,1))))),1),0)/12</f>
        <v>1</v>
      </c>
      <c r="BB55" s="5">
        <f>ROUNDDOWN(ROUND((12*IF((DATE(BB$1,12,31))&lt;$C55,0,IF(YEAR($C55)=BB$1,(DATE(((BB$1)+1),1,1)-$C55)/365.25,IF(BB$1=YEAR($D55),($D55-(DATE(((BB$1)-1),12,31)))/365.25,IF(YEAR($D55)&lt;BB$1,0,1))))),1),0)/12</f>
        <v>1</v>
      </c>
      <c r="BC55" s="5">
        <f>ROUNDDOWN(ROUND((12*IF((DATE(BC$1,12,31))&lt;$C55,0,IF(YEAR($C55)=BC$1,(DATE(((BC$1)+1),1,1)-$C55)/365.25,IF(BC$1=YEAR($D55),($D55-(DATE(((BC$1)-1),12,31)))/365.25,IF(YEAR($D55)&lt;BC$1,0,1))))),1),0)/12</f>
        <v>1</v>
      </c>
    </row>
    <row r="56" spans="1:55" x14ac:dyDescent="0.25">
      <c r="A56" s="132">
        <v>600</v>
      </c>
      <c r="B56" s="133">
        <v>644</v>
      </c>
      <c r="C56" s="134">
        <v>33448</v>
      </c>
      <c r="D56" s="161">
        <v>47178</v>
      </c>
      <c r="G56" s="5">
        <f t="shared" si="13"/>
        <v>0</v>
      </c>
      <c r="H56" s="5">
        <f t="shared" si="18"/>
        <v>0</v>
      </c>
      <c r="I56" s="5">
        <f t="shared" si="18"/>
        <v>0</v>
      </c>
      <c r="J56" s="5">
        <f t="shared" si="18"/>
        <v>0</v>
      </c>
      <c r="K56" s="5">
        <f t="shared" si="18"/>
        <v>0</v>
      </c>
      <c r="L56" s="5">
        <f t="shared" si="18"/>
        <v>0</v>
      </c>
      <c r="M56" s="5">
        <f t="shared" si="18"/>
        <v>0</v>
      </c>
      <c r="N56" s="5">
        <f t="shared" si="18"/>
        <v>0</v>
      </c>
      <c r="O56" s="5">
        <f t="shared" si="18"/>
        <v>0</v>
      </c>
      <c r="P56" s="5">
        <f t="shared" si="18"/>
        <v>0</v>
      </c>
      <c r="Q56" s="5">
        <f t="shared" si="18"/>
        <v>0</v>
      </c>
      <c r="R56" s="5">
        <f t="shared" si="19"/>
        <v>0</v>
      </c>
      <c r="S56" s="5">
        <f t="shared" si="19"/>
        <v>0</v>
      </c>
      <c r="T56" s="5">
        <f t="shared" si="19"/>
        <v>0</v>
      </c>
      <c r="U56" s="5">
        <f t="shared" si="19"/>
        <v>0.41666666666666669</v>
      </c>
      <c r="V56" s="5">
        <f t="shared" si="19"/>
        <v>1</v>
      </c>
      <c r="W56" s="5">
        <f t="shared" si="19"/>
        <v>1</v>
      </c>
      <c r="X56" s="5">
        <f t="shared" si="19"/>
        <v>1</v>
      </c>
      <c r="Y56" s="5">
        <f t="shared" si="19"/>
        <v>1</v>
      </c>
      <c r="Z56" s="5">
        <f t="shared" si="19"/>
        <v>1</v>
      </c>
      <c r="AA56" s="5">
        <f t="shared" si="19"/>
        <v>1</v>
      </c>
      <c r="AB56" s="5">
        <f t="shared" si="20"/>
        <v>1</v>
      </c>
      <c r="AC56" s="5">
        <f t="shared" si="20"/>
        <v>1</v>
      </c>
      <c r="AD56" s="5">
        <f t="shared" si="20"/>
        <v>1</v>
      </c>
      <c r="AE56" s="5">
        <f t="shared" si="20"/>
        <v>1</v>
      </c>
      <c r="AF56" s="5">
        <f t="shared" si="20"/>
        <v>1</v>
      </c>
      <c r="AG56" s="5">
        <f t="shared" si="20"/>
        <v>1</v>
      </c>
      <c r="AH56" s="5">
        <f t="shared" si="20"/>
        <v>1</v>
      </c>
      <c r="AI56" s="5">
        <f t="shared" si="20"/>
        <v>1</v>
      </c>
      <c r="AJ56" s="5">
        <f t="shared" si="20"/>
        <v>1</v>
      </c>
      <c r="AK56" s="5">
        <f t="shared" si="20"/>
        <v>1</v>
      </c>
      <c r="AL56" s="5">
        <f t="shared" si="21"/>
        <v>1</v>
      </c>
      <c r="AM56" s="5">
        <f t="shared" si="21"/>
        <v>1</v>
      </c>
      <c r="AN56" s="5">
        <f t="shared" si="21"/>
        <v>1</v>
      </c>
      <c r="AO56" s="5">
        <f t="shared" si="21"/>
        <v>1</v>
      </c>
      <c r="AP56" s="5">
        <f t="shared" si="21"/>
        <v>1</v>
      </c>
      <c r="AQ56" s="5">
        <f t="shared" si="21"/>
        <v>1</v>
      </c>
      <c r="AR56" s="5">
        <f t="shared" si="21"/>
        <v>1</v>
      </c>
      <c r="AS56" s="5">
        <f t="shared" si="21"/>
        <v>1</v>
      </c>
      <c r="AT56" s="5">
        <f t="shared" si="21"/>
        <v>1</v>
      </c>
      <c r="AU56" s="5">
        <f t="shared" si="21"/>
        <v>1</v>
      </c>
      <c r="AV56" s="5">
        <f>ROUNDDOWN(ROUND((12*IF((DATE(AV$1,12,31))&lt;$C56,0,IF(YEAR($C56)=AV$1,(DATE(((AV$1)+1),1,1)-$C56)/365.25,IF(AV$1=YEAR($D56),($D56-(DATE(((AV$1)-1),12,31)))/365.25,IF(YEAR($D56)&lt;AV$1,0,1))))),1),0)/12</f>
        <v>1</v>
      </c>
      <c r="AW56" s="5">
        <f>ROUNDDOWN(ROUND((12*IF((DATE(AW$1,12,31))&lt;$C56,0,IF(YEAR($C56)=AW$1,(DATE(((AW$1)+1),1,1)-$C56)/365.25,IF(AW$1=YEAR($D56),($D56-(DATE(((AW$1)-1),12,31)))/365.25,IF(YEAR($D56)&lt;AW$1,0,1))))),1),0)/12</f>
        <v>1</v>
      </c>
      <c r="AX56" s="5">
        <f>ROUNDDOWN(ROUND((12*IF((DATE(AX$1,12,31))&lt;$C56,0,IF(YEAR($C56)=AX$1,(DATE(((AX$1)+1),1,1)-$C56)/365.25,IF(AX$1=YEAR($D56),($D56-(DATE(((AX$1)-1),12,31)))/365.25,IF(YEAR($D56)&lt;AX$1,0,1))))),1),0)/12</f>
        <v>1</v>
      </c>
      <c r="AY56" s="5">
        <f>ROUNDDOWN(ROUND((12*IF((DATE(AY$1,12,31))&lt;$C56,0,IF(YEAR($C56)=AY$1,(DATE(((AY$1)+1),1,1)-$C56)/365.25,IF(AY$1=YEAR($D56),($D56-(DATE(((AY$1)-1),12,31)))/365.25,IF(YEAR($D56)&lt;AY$1,0,1))))),1),0)/12</f>
        <v>1</v>
      </c>
      <c r="AZ56" s="5">
        <f>ROUNDDOWN(ROUND((12*IF((DATE(AZ$1,12,31))&lt;$C56,0,IF(YEAR($C56)=AZ$1,(DATE(((AZ$1)+1),1,1)-$C56)/365.25,IF(AZ$1=YEAR($D56),($D56-(DATE(((AZ$1)-1),12,31)))/365.25,IF(YEAR($D56)&lt;AZ$1,0,1))))),1),0)/12</f>
        <v>1</v>
      </c>
      <c r="BA56" s="5">
        <f>ROUNDDOWN(ROUND((12*IF((DATE(BA$1,12,31))&lt;$C56,0,IF(YEAR($C56)=BA$1,(DATE(((BA$1)+1),1,1)-$C56)/365.25,IF(BA$1=YEAR($D56),($D56-(DATE(((BA$1)-1),12,31)))/365.25,IF(YEAR($D56)&lt;BA$1,0,1))))),1),0)/12</f>
        <v>1</v>
      </c>
      <c r="BB56" s="5">
        <f>ROUNDDOWN(ROUND((12*IF((DATE(BB$1,12,31))&lt;$C56,0,IF(YEAR($C56)=BB$1,(DATE(((BB$1)+1),1,1)-$C56)/365.25,IF(BB$1=YEAR($D56),($D56-(DATE(((BB$1)-1),12,31)))/365.25,IF(YEAR($D56)&lt;BB$1,0,1))))),1),0)/12</f>
        <v>1</v>
      </c>
      <c r="BC56" s="5">
        <f>ROUNDDOWN(ROUND((12*IF((DATE(BC$1,12,31))&lt;$C56,0,IF(YEAR($C56)=BC$1,(DATE(((BC$1)+1),1,1)-$C56)/365.25,IF(BC$1=YEAR($D56),($D56-(DATE(((BC$1)-1),12,31)))/365.25,IF(YEAR($D56)&lt;BC$1,0,1))))),1),0)/12</f>
        <v>1</v>
      </c>
    </row>
    <row r="57" spans="1:55" x14ac:dyDescent="0.25">
      <c r="A57" s="132">
        <v>600</v>
      </c>
      <c r="B57" s="133">
        <v>634</v>
      </c>
      <c r="C57" s="134">
        <v>33073</v>
      </c>
      <c r="D57" s="161">
        <v>47058</v>
      </c>
      <c r="G57" s="5">
        <f t="shared" si="13"/>
        <v>0</v>
      </c>
      <c r="H57" s="5">
        <f t="shared" ref="H57:U57" si="22">ROUNDDOWN(ROUND((12*IF((DATE(H$1,12,31))&lt;$C57,0,IF(YEAR($C57)=H$1,(DATE(((H$1)+1),1,1)-$C57)/365.25,IF(H$1=YEAR($D57),($D57-(DATE(((H$1)-1),12,31)))/365.25,IF(YEAR($D57)&lt;H$1,0,1))))),1),0)/12</f>
        <v>0</v>
      </c>
      <c r="I57" s="5">
        <f t="shared" si="22"/>
        <v>0</v>
      </c>
      <c r="J57" s="5">
        <f t="shared" si="22"/>
        <v>0</v>
      </c>
      <c r="K57" s="5">
        <f t="shared" si="22"/>
        <v>0</v>
      </c>
      <c r="L57" s="5">
        <f t="shared" si="22"/>
        <v>0</v>
      </c>
      <c r="M57" s="5">
        <f t="shared" si="22"/>
        <v>0</v>
      </c>
      <c r="N57" s="5">
        <f t="shared" si="22"/>
        <v>0</v>
      </c>
      <c r="O57" s="5">
        <f t="shared" si="22"/>
        <v>0</v>
      </c>
      <c r="P57" s="5">
        <f t="shared" si="22"/>
        <v>0</v>
      </c>
      <c r="Q57" s="5">
        <f t="shared" si="22"/>
        <v>0</v>
      </c>
      <c r="R57" s="5">
        <f t="shared" si="22"/>
        <v>0</v>
      </c>
      <c r="S57" s="5">
        <f t="shared" si="22"/>
        <v>0</v>
      </c>
      <c r="T57" s="5">
        <f t="shared" si="22"/>
        <v>0.41666666666666669</v>
      </c>
      <c r="U57" s="5">
        <f t="shared" si="22"/>
        <v>1</v>
      </c>
      <c r="V57" s="5">
        <f t="shared" ref="V57:AK72" si="23">ROUNDDOWN(ROUND((12*IF((DATE(V$1,12,31))&lt;$C57,0,IF(YEAR($C57)=V$1,(DATE(((V$1)+1),1,1)-$C57)/365.25,IF(V$1=YEAR($D57),($D57-(DATE(((V$1)-1),12,31)))/365.25,IF(YEAR($D57)&lt;V$1,0,1))))),1),0)/12</f>
        <v>1</v>
      </c>
      <c r="W57" s="5">
        <f t="shared" si="23"/>
        <v>1</v>
      </c>
      <c r="X57" s="5">
        <f t="shared" si="23"/>
        <v>1</v>
      </c>
      <c r="Y57" s="5">
        <f t="shared" si="23"/>
        <v>1</v>
      </c>
      <c r="Z57" s="5">
        <f t="shared" si="23"/>
        <v>1</v>
      </c>
      <c r="AA57" s="5">
        <f t="shared" si="23"/>
        <v>1</v>
      </c>
      <c r="AB57" s="5">
        <f t="shared" si="23"/>
        <v>1</v>
      </c>
      <c r="AC57" s="5">
        <f t="shared" si="23"/>
        <v>1</v>
      </c>
      <c r="AD57" s="5">
        <f t="shared" si="23"/>
        <v>1</v>
      </c>
      <c r="AE57" s="5">
        <f t="shared" si="23"/>
        <v>1</v>
      </c>
      <c r="AF57" s="5">
        <f t="shared" si="23"/>
        <v>1</v>
      </c>
      <c r="AG57" s="5">
        <f t="shared" si="23"/>
        <v>1</v>
      </c>
      <c r="AH57" s="5">
        <f t="shared" si="23"/>
        <v>1</v>
      </c>
      <c r="AI57" s="5">
        <f t="shared" si="23"/>
        <v>1</v>
      </c>
      <c r="AJ57" s="5">
        <f t="shared" si="23"/>
        <v>1</v>
      </c>
      <c r="AK57" s="5">
        <f t="shared" si="23"/>
        <v>1</v>
      </c>
      <c r="AL57" s="5">
        <f t="shared" ref="AL57:AU59" si="24">ROUNDDOWN(ROUND((12*IF((DATE(AL$1,12,31))&lt;$C57,0,IF(YEAR($C57)=AL$1,(DATE(((AL$1)+1),1,1)-$C57)/365.25,IF(AL$1=YEAR($D57),($D57-(DATE(((AL$1)-1),12,31)))/365.25,IF(YEAR($D57)&lt;AL$1,0,1))))),1),0)/12</f>
        <v>1</v>
      </c>
      <c r="AM57" s="5">
        <f t="shared" si="24"/>
        <v>1</v>
      </c>
      <c r="AN57" s="5">
        <f t="shared" si="24"/>
        <v>1</v>
      </c>
      <c r="AO57" s="5">
        <f t="shared" si="24"/>
        <v>1</v>
      </c>
      <c r="AP57" s="5">
        <f t="shared" si="24"/>
        <v>1</v>
      </c>
      <c r="AQ57" s="5">
        <f t="shared" si="24"/>
        <v>1</v>
      </c>
      <c r="AR57" s="5">
        <f t="shared" si="24"/>
        <v>1</v>
      </c>
      <c r="AS57" s="5">
        <f t="shared" si="24"/>
        <v>1</v>
      </c>
      <c r="AT57" s="5">
        <f t="shared" si="24"/>
        <v>1</v>
      </c>
      <c r="AU57" s="5">
        <f t="shared" si="24"/>
        <v>1</v>
      </c>
      <c r="AV57" s="5">
        <f>ROUNDDOWN(ROUND((12*IF((DATE(AV$1,12,31))&lt;$C57,0,IF(YEAR($C57)=AV$1,(DATE(((AV$1)+1),1,1)-$C57)/365.25,IF(AV$1=YEAR($D57),($D57-(DATE(((AV$1)-1),12,31)))/365.25,IF(YEAR($D57)&lt;AV$1,0,1))))),1),0)/12</f>
        <v>1</v>
      </c>
      <c r="AW57" s="5">
        <f>ROUNDDOWN(ROUND((12*IF((DATE(AW$1,12,31))&lt;$C57,0,IF(YEAR($C57)=AW$1,(DATE(((AW$1)+1),1,1)-$C57)/365.25,IF(AW$1=YEAR($D57),($D57-(DATE(((AW$1)-1),12,31)))/365.25,IF(YEAR($D57)&lt;AW$1,0,1))))),1),0)/12</f>
        <v>1</v>
      </c>
      <c r="AX57" s="5">
        <f>ROUNDDOWN(ROUND((12*IF((DATE(AX$1,12,31))&lt;$C57,0,IF(YEAR($C57)=AX$1,(DATE(((AX$1)+1),1,1)-$C57)/365.25,IF(AX$1=YEAR($D57),($D57-(DATE(((AX$1)-1),12,31)))/365.25,IF(YEAR($D57)&lt;AX$1,0,1))))),1),0)/12</f>
        <v>1</v>
      </c>
      <c r="AY57" s="5">
        <f>ROUNDDOWN(ROUND((12*IF((DATE(AY$1,12,31))&lt;$C57,0,IF(YEAR($C57)=AY$1,(DATE(((AY$1)+1),1,1)-$C57)/365.25,IF(AY$1=YEAR($D57),($D57-(DATE(((AY$1)-1),12,31)))/365.25,IF(YEAR($D57)&lt;AY$1,0,1))))),1),0)/12</f>
        <v>1</v>
      </c>
      <c r="AZ57" s="5">
        <f>ROUNDDOWN(ROUND((12*IF((DATE(AZ$1,12,31))&lt;$C57,0,IF(YEAR($C57)=AZ$1,(DATE(((AZ$1)+1),1,1)-$C57)/365.25,IF(AZ$1=YEAR($D57),($D57-(DATE(((AZ$1)-1),12,31)))/365.25,IF(YEAR($D57)&lt;AZ$1,0,1))))),1),0)/12</f>
        <v>1</v>
      </c>
      <c r="BA57" s="5">
        <f>ROUNDDOWN(ROUND((12*IF((DATE(BA$1,12,31))&lt;$C57,0,IF(YEAR($C57)=BA$1,(DATE(((BA$1)+1),1,1)-$C57)/365.25,IF(BA$1=YEAR($D57),($D57-(DATE(((BA$1)-1),12,31)))/365.25,IF(YEAR($D57)&lt;BA$1,0,1))))),1),0)/12</f>
        <v>1</v>
      </c>
      <c r="BB57" s="5">
        <f>ROUNDDOWN(ROUND((12*IF((DATE(BB$1,12,31))&lt;$C57,0,IF(YEAR($C57)=BB$1,(DATE(((BB$1)+1),1,1)-$C57)/365.25,IF(BB$1=YEAR($D57),($D57-(DATE(((BB$1)-1),12,31)))/365.25,IF(YEAR($D57)&lt;BB$1,0,1))))),1),0)/12</f>
        <v>1</v>
      </c>
      <c r="BC57" s="5">
        <f>ROUNDDOWN(ROUND((12*IF((DATE(BC$1,12,31))&lt;$C57,0,IF(YEAR($C57)=BC$1,(DATE(((BC$1)+1),1,1)-$C57)/365.25,IF(BC$1=YEAR($D57),($D57-(DATE(((BC$1)-1),12,31)))/365.25,IF(YEAR($D57)&lt;BC$1,0,1))))),1),0)/12</f>
        <v>1</v>
      </c>
    </row>
    <row r="58" spans="1:55" x14ac:dyDescent="0.25">
      <c r="A58" s="132">
        <v>600</v>
      </c>
      <c r="B58" s="133">
        <v>625</v>
      </c>
      <c r="C58" s="134">
        <v>32923</v>
      </c>
      <c r="D58" s="161">
        <v>48000</v>
      </c>
      <c r="G58" s="5">
        <f t="shared" ref="G58:V73" si="25">ROUNDDOWN(ROUND((12*IF((DATE(G$1,12,31))&lt;$C58,0,IF(YEAR($C58)=G$1,(DATE(((G$1)+1),1,1)-$C58)/365.25,IF(G$1=YEAR($D58),($D58-(DATE(((G$1)-1),12,31)))/365.25,IF(YEAR($D58)&lt;G$1,0,1))))),1),0)/12</f>
        <v>0</v>
      </c>
      <c r="H58" s="5">
        <f t="shared" si="25"/>
        <v>0</v>
      </c>
      <c r="I58" s="5">
        <f t="shared" si="25"/>
        <v>0</v>
      </c>
      <c r="J58" s="5">
        <f t="shared" si="25"/>
        <v>0</v>
      </c>
      <c r="K58" s="5">
        <f t="shared" si="25"/>
        <v>0</v>
      </c>
      <c r="L58" s="5">
        <f t="shared" si="25"/>
        <v>0</v>
      </c>
      <c r="M58" s="5">
        <f t="shared" si="25"/>
        <v>0</v>
      </c>
      <c r="N58" s="5">
        <f t="shared" si="25"/>
        <v>0</v>
      </c>
      <c r="O58" s="5">
        <f t="shared" si="25"/>
        <v>0</v>
      </c>
      <c r="P58" s="5">
        <f t="shared" si="25"/>
        <v>0</v>
      </c>
      <c r="Q58" s="5">
        <f t="shared" si="25"/>
        <v>0</v>
      </c>
      <c r="R58" s="5">
        <f t="shared" si="25"/>
        <v>0</v>
      </c>
      <c r="S58" s="5">
        <f t="shared" si="25"/>
        <v>0</v>
      </c>
      <c r="T58" s="5">
        <f t="shared" si="25"/>
        <v>0.83333333333333337</v>
      </c>
      <c r="U58" s="5">
        <f t="shared" si="25"/>
        <v>1</v>
      </c>
      <c r="V58" s="5">
        <f t="shared" si="25"/>
        <v>1</v>
      </c>
      <c r="W58" s="5">
        <f t="shared" si="23"/>
        <v>1</v>
      </c>
      <c r="X58" s="5">
        <f t="shared" si="23"/>
        <v>1</v>
      </c>
      <c r="Y58" s="5">
        <f t="shared" si="23"/>
        <v>1</v>
      </c>
      <c r="Z58" s="5">
        <f t="shared" si="23"/>
        <v>1</v>
      </c>
      <c r="AA58" s="5">
        <f t="shared" si="23"/>
        <v>1</v>
      </c>
      <c r="AB58" s="5">
        <f t="shared" si="23"/>
        <v>1</v>
      </c>
      <c r="AC58" s="5">
        <f t="shared" si="23"/>
        <v>1</v>
      </c>
      <c r="AD58" s="5">
        <f t="shared" si="23"/>
        <v>1</v>
      </c>
      <c r="AE58" s="5">
        <f t="shared" si="23"/>
        <v>1</v>
      </c>
      <c r="AF58" s="5">
        <f t="shared" si="23"/>
        <v>1</v>
      </c>
      <c r="AG58" s="5">
        <f t="shared" si="23"/>
        <v>1</v>
      </c>
      <c r="AH58" s="5">
        <f t="shared" si="23"/>
        <v>1</v>
      </c>
      <c r="AI58" s="5">
        <f t="shared" si="23"/>
        <v>1</v>
      </c>
      <c r="AJ58" s="5">
        <f t="shared" si="23"/>
        <v>1</v>
      </c>
      <c r="AK58" s="5">
        <f t="shared" si="23"/>
        <v>1</v>
      </c>
      <c r="AL58" s="5">
        <f t="shared" si="24"/>
        <v>1</v>
      </c>
      <c r="AM58" s="5">
        <f t="shared" si="24"/>
        <v>1</v>
      </c>
      <c r="AN58" s="5">
        <f t="shared" si="24"/>
        <v>1</v>
      </c>
      <c r="AO58" s="5">
        <f t="shared" si="24"/>
        <v>1</v>
      </c>
      <c r="AP58" s="5">
        <f t="shared" si="24"/>
        <v>1</v>
      </c>
      <c r="AQ58" s="5">
        <f t="shared" si="24"/>
        <v>1</v>
      </c>
      <c r="AR58" s="5">
        <f t="shared" si="24"/>
        <v>1</v>
      </c>
      <c r="AS58" s="5">
        <f t="shared" si="24"/>
        <v>1</v>
      </c>
      <c r="AT58" s="5">
        <f t="shared" si="24"/>
        <v>1</v>
      </c>
      <c r="AU58" s="5">
        <f t="shared" si="24"/>
        <v>1</v>
      </c>
      <c r="AV58" s="5">
        <f>ROUNDDOWN(ROUND((12*IF((DATE(AV$1,12,31))&lt;$C58,0,IF(YEAR($C58)=AV$1,(DATE(((AV$1)+1),1,1)-$C58)/365.25,IF(AV$1=YEAR($D58),($D58-(DATE(((AV$1)-1),12,31)))/365.25,IF(YEAR($D58)&lt;AV$1,0,1))))),1),0)/12</f>
        <v>1</v>
      </c>
      <c r="AW58" s="5">
        <f>ROUNDDOWN(ROUND((12*IF((DATE(AW$1,12,31))&lt;$C58,0,IF(YEAR($C58)=AW$1,(DATE(((AW$1)+1),1,1)-$C58)/365.25,IF(AW$1=YEAR($D58),($D58-(DATE(((AW$1)-1),12,31)))/365.25,IF(YEAR($D58)&lt;AW$1,0,1))))),1),0)/12</f>
        <v>1</v>
      </c>
      <c r="AX58" s="5">
        <f>ROUNDDOWN(ROUND((12*IF((DATE(AX$1,12,31))&lt;$C58,0,IF(YEAR($C58)=AX$1,(DATE(((AX$1)+1),1,1)-$C58)/365.25,IF(AX$1=YEAR($D58),($D58-(DATE(((AX$1)-1),12,31)))/365.25,IF(YEAR($D58)&lt;AX$1,0,1))))),1),0)/12</f>
        <v>1</v>
      </c>
      <c r="AY58" s="5">
        <f>ROUNDDOWN(ROUND((12*IF((DATE(AY$1,12,31))&lt;$C58,0,IF(YEAR($C58)=AY$1,(DATE(((AY$1)+1),1,1)-$C58)/365.25,IF(AY$1=YEAR($D58),($D58-(DATE(((AY$1)-1),12,31)))/365.25,IF(YEAR($D58)&lt;AY$1,0,1))))),1),0)/12</f>
        <v>1</v>
      </c>
      <c r="AZ58" s="5">
        <f>ROUNDDOWN(ROUND((12*IF((DATE(AZ$1,12,31))&lt;$C58,0,IF(YEAR($C58)=AZ$1,(DATE(((AZ$1)+1),1,1)-$C58)/365.25,IF(AZ$1=YEAR($D58),($D58-(DATE(((AZ$1)-1),12,31)))/365.25,IF(YEAR($D58)&lt;AZ$1,0,1))))),1),0)/12</f>
        <v>1</v>
      </c>
      <c r="BA58" s="5">
        <f>ROUNDDOWN(ROUND((12*IF((DATE(BA$1,12,31))&lt;$C58,0,IF(YEAR($C58)=BA$1,(DATE(((BA$1)+1),1,1)-$C58)/365.25,IF(BA$1=YEAR($D58),($D58-(DATE(((BA$1)-1),12,31)))/365.25,IF(YEAR($D58)&lt;BA$1,0,1))))),1),0)/12</f>
        <v>1</v>
      </c>
      <c r="BB58" s="5">
        <f>ROUNDDOWN(ROUND((12*IF((DATE(BB$1,12,31))&lt;$C58,0,IF(YEAR($C58)=BB$1,(DATE(((BB$1)+1),1,1)-$C58)/365.25,IF(BB$1=YEAR($D58),($D58-(DATE(((BB$1)-1),12,31)))/365.25,IF(YEAR($D58)&lt;BB$1,0,1))))),1),0)/12</f>
        <v>1</v>
      </c>
      <c r="BC58" s="5">
        <f>ROUNDDOWN(ROUND((12*IF((DATE(BC$1,12,31))&lt;$C58,0,IF(YEAR($C58)=BC$1,(DATE(((BC$1)+1),1,1)-$C58)/365.25,IF(BC$1=YEAR($D58),($D58-(DATE(((BC$1)-1),12,31)))/365.25,IF(YEAR($D58)&lt;BC$1,0,1))))),1),0)/12</f>
        <v>1</v>
      </c>
    </row>
    <row r="59" spans="1:55" x14ac:dyDescent="0.25">
      <c r="A59" s="132">
        <v>600</v>
      </c>
      <c r="B59" s="133">
        <v>624</v>
      </c>
      <c r="C59" s="134">
        <v>32905</v>
      </c>
      <c r="D59" s="161">
        <v>44682</v>
      </c>
      <c r="G59" s="5">
        <f t="shared" si="25"/>
        <v>0</v>
      </c>
      <c r="H59" s="5">
        <f t="shared" si="25"/>
        <v>0</v>
      </c>
      <c r="I59" s="5">
        <f t="shared" si="25"/>
        <v>0</v>
      </c>
      <c r="J59" s="5">
        <f t="shared" si="25"/>
        <v>0</v>
      </c>
      <c r="K59" s="5">
        <f t="shared" si="25"/>
        <v>0</v>
      </c>
      <c r="L59" s="5">
        <f t="shared" si="25"/>
        <v>0</v>
      </c>
      <c r="M59" s="5">
        <f t="shared" si="25"/>
        <v>0</v>
      </c>
      <c r="N59" s="5">
        <f t="shared" si="25"/>
        <v>0</v>
      </c>
      <c r="O59" s="5">
        <f t="shared" si="25"/>
        <v>0</v>
      </c>
      <c r="P59" s="5">
        <f t="shared" si="25"/>
        <v>0</v>
      </c>
      <c r="Q59" s="5">
        <f t="shared" si="25"/>
        <v>0</v>
      </c>
      <c r="R59" s="5">
        <f t="shared" si="25"/>
        <v>0</v>
      </c>
      <c r="S59" s="5">
        <f t="shared" si="25"/>
        <v>0</v>
      </c>
      <c r="T59" s="5">
        <f t="shared" si="25"/>
        <v>0.91666666666666663</v>
      </c>
      <c r="U59" s="5">
        <f t="shared" si="25"/>
        <v>1</v>
      </c>
      <c r="V59" s="5">
        <f t="shared" si="25"/>
        <v>1</v>
      </c>
      <c r="W59" s="5">
        <f t="shared" si="23"/>
        <v>1</v>
      </c>
      <c r="X59" s="5">
        <f t="shared" si="23"/>
        <v>1</v>
      </c>
      <c r="Y59" s="5">
        <f t="shared" si="23"/>
        <v>1</v>
      </c>
      <c r="Z59" s="5">
        <f t="shared" si="23"/>
        <v>1</v>
      </c>
      <c r="AA59" s="5">
        <f t="shared" si="23"/>
        <v>1</v>
      </c>
      <c r="AB59" s="5">
        <f t="shared" si="23"/>
        <v>1</v>
      </c>
      <c r="AC59" s="5">
        <f t="shared" si="23"/>
        <v>1</v>
      </c>
      <c r="AD59" s="5">
        <f t="shared" si="23"/>
        <v>1</v>
      </c>
      <c r="AE59" s="5">
        <f t="shared" si="23"/>
        <v>1</v>
      </c>
      <c r="AF59" s="5">
        <f t="shared" si="23"/>
        <v>1</v>
      </c>
      <c r="AG59" s="5">
        <f t="shared" si="23"/>
        <v>1</v>
      </c>
      <c r="AH59" s="5">
        <f t="shared" si="23"/>
        <v>1</v>
      </c>
      <c r="AI59" s="5">
        <f t="shared" si="23"/>
        <v>1</v>
      </c>
      <c r="AJ59" s="5">
        <f t="shared" si="23"/>
        <v>1</v>
      </c>
      <c r="AK59" s="5">
        <f t="shared" si="23"/>
        <v>1</v>
      </c>
      <c r="AL59" s="5">
        <f t="shared" si="24"/>
        <v>1</v>
      </c>
      <c r="AM59" s="5">
        <f t="shared" si="24"/>
        <v>1</v>
      </c>
      <c r="AN59" s="5">
        <f t="shared" si="24"/>
        <v>1</v>
      </c>
      <c r="AO59" s="5">
        <f t="shared" si="24"/>
        <v>1</v>
      </c>
      <c r="AP59" s="5">
        <f t="shared" si="24"/>
        <v>1</v>
      </c>
      <c r="AQ59" s="5">
        <f t="shared" si="24"/>
        <v>1</v>
      </c>
      <c r="AR59" s="5">
        <f t="shared" si="24"/>
        <v>1</v>
      </c>
      <c r="AS59" s="5">
        <f t="shared" si="24"/>
        <v>1</v>
      </c>
      <c r="AT59" s="5">
        <f t="shared" si="24"/>
        <v>1</v>
      </c>
      <c r="AU59" s="5">
        <f t="shared" si="24"/>
        <v>1</v>
      </c>
      <c r="AV59" s="5">
        <f>ROUNDDOWN(ROUND((12*IF((DATE(AV$1,12,31))&lt;$C59,0,IF(YEAR($C59)=AV$1,(DATE(((AV$1)+1),1,1)-$C59)/365.25,IF(AV$1=YEAR($D59),($D59-(DATE(((AV$1)-1),12,31)))/365.25,IF(YEAR($D59)&lt;AV$1,0,1))))),1),0)/12</f>
        <v>1</v>
      </c>
      <c r="AW59" s="5">
        <f>ROUNDDOWN(ROUND((12*IF((DATE(AW$1,12,31))&lt;$C59,0,IF(YEAR($C59)=AW$1,(DATE(((AW$1)+1),1,1)-$C59)/365.25,IF(AW$1=YEAR($D59),($D59-(DATE(((AW$1)-1),12,31)))/365.25,IF(YEAR($D59)&lt;AW$1,0,1))))),1),0)/12</f>
        <v>1</v>
      </c>
      <c r="AX59" s="5">
        <f>ROUNDDOWN(ROUND((12*IF((DATE(AX$1,12,31))&lt;$C59,0,IF(YEAR($C59)=AX$1,(DATE(((AX$1)+1),1,1)-$C59)/365.25,IF(AX$1=YEAR($D59),($D59-(DATE(((AX$1)-1),12,31)))/365.25,IF(YEAR($D59)&lt;AX$1,0,1))))),1),0)/12</f>
        <v>1</v>
      </c>
      <c r="AY59" s="5">
        <f>ROUNDDOWN(ROUND((12*IF((DATE(AY$1,12,31))&lt;$C59,0,IF(YEAR($C59)=AY$1,(DATE(((AY$1)+1),1,1)-$C59)/365.25,IF(AY$1=YEAR($D59),($D59-(DATE(((AY$1)-1),12,31)))/365.25,IF(YEAR($D59)&lt;AY$1,0,1))))),1),0)/12</f>
        <v>1</v>
      </c>
      <c r="AZ59" s="5">
        <f>ROUNDDOWN(ROUND((12*IF((DATE(AZ$1,12,31))&lt;$C59,0,IF(YEAR($C59)=AZ$1,(DATE(((AZ$1)+1),1,1)-$C59)/365.25,IF(AZ$1=YEAR($D59),($D59-(DATE(((AZ$1)-1),12,31)))/365.25,IF(YEAR($D59)&lt;AZ$1,0,1))))),1),0)/12</f>
        <v>0.33333333333333331</v>
      </c>
      <c r="BA59" s="5">
        <f>ROUNDDOWN(ROUND((12*IF((DATE(BA$1,12,31))&lt;$C59,0,IF(YEAR($C59)=BA$1,(DATE(((BA$1)+1),1,1)-$C59)/365.25,IF(BA$1=YEAR($D59),($D59-(DATE(((BA$1)-1),12,31)))/365.25,IF(YEAR($D59)&lt;BA$1,0,1))))),1),0)/12</f>
        <v>0</v>
      </c>
      <c r="BB59" s="5">
        <f>ROUNDDOWN(ROUND((12*IF((DATE(BB$1,12,31))&lt;$C59,0,IF(YEAR($C59)=BB$1,(DATE(((BB$1)+1),1,1)-$C59)/365.25,IF(BB$1=YEAR($D59),($D59-(DATE(((BB$1)-1),12,31)))/365.25,IF(YEAR($D59)&lt;BB$1,0,1))))),1),0)/12</f>
        <v>0</v>
      </c>
      <c r="BC59" s="5">
        <f>ROUNDDOWN(ROUND((12*IF((DATE(BC$1,12,31))&lt;$C59,0,IF(YEAR($C59)=BC$1,(DATE(((BC$1)+1),1,1)-$C59)/365.25,IF(BC$1=YEAR($D59),($D59-(DATE(((BC$1)-1),12,31)))/365.25,IF(YEAR($D59)&lt;BC$1,0,1))))),1),0)/12</f>
        <v>0</v>
      </c>
    </row>
    <row r="60" spans="1:55" x14ac:dyDescent="0.25">
      <c r="A60" s="132">
        <v>600</v>
      </c>
      <c r="B60" s="133">
        <v>620</v>
      </c>
      <c r="C60" s="134">
        <v>32818</v>
      </c>
      <c r="D60" s="161">
        <v>49766</v>
      </c>
      <c r="G60" s="5">
        <f t="shared" si="25"/>
        <v>0</v>
      </c>
      <c r="H60" s="5">
        <f t="shared" si="25"/>
        <v>0</v>
      </c>
      <c r="I60" s="5">
        <f t="shared" si="25"/>
        <v>0</v>
      </c>
      <c r="J60" s="5">
        <f t="shared" si="25"/>
        <v>0</v>
      </c>
      <c r="K60" s="5">
        <f t="shared" si="25"/>
        <v>0</v>
      </c>
      <c r="L60" s="5">
        <f t="shared" si="25"/>
        <v>0</v>
      </c>
      <c r="M60" s="5">
        <f t="shared" si="25"/>
        <v>0</v>
      </c>
      <c r="N60" s="5">
        <f t="shared" si="25"/>
        <v>0</v>
      </c>
      <c r="O60" s="5">
        <f t="shared" si="25"/>
        <v>0</v>
      </c>
      <c r="P60" s="5">
        <f t="shared" si="25"/>
        <v>0</v>
      </c>
      <c r="Q60" s="5">
        <f t="shared" si="25"/>
        <v>0</v>
      </c>
      <c r="R60" s="5">
        <f t="shared" si="25"/>
        <v>0</v>
      </c>
      <c r="S60" s="5">
        <f t="shared" si="25"/>
        <v>8.3333333333333329E-2</v>
      </c>
      <c r="T60" s="5">
        <f t="shared" si="25"/>
        <v>1</v>
      </c>
      <c r="U60" s="5">
        <f t="shared" si="25"/>
        <v>1</v>
      </c>
      <c r="V60" s="5">
        <f t="shared" si="25"/>
        <v>1</v>
      </c>
      <c r="W60" s="5">
        <f t="shared" si="23"/>
        <v>1</v>
      </c>
      <c r="X60" s="5">
        <f t="shared" si="23"/>
        <v>1</v>
      </c>
      <c r="Y60" s="5">
        <f t="shared" si="23"/>
        <v>1</v>
      </c>
      <c r="Z60" s="5">
        <f t="shared" si="23"/>
        <v>1</v>
      </c>
      <c r="AA60" s="5">
        <f t="shared" si="23"/>
        <v>1</v>
      </c>
      <c r="AB60" s="5">
        <f t="shared" si="23"/>
        <v>1</v>
      </c>
      <c r="AC60" s="5">
        <f t="shared" si="23"/>
        <v>1</v>
      </c>
      <c r="AD60" s="5">
        <f t="shared" si="23"/>
        <v>1</v>
      </c>
      <c r="AE60" s="5">
        <f t="shared" si="23"/>
        <v>1</v>
      </c>
      <c r="AF60" s="5">
        <f t="shared" si="23"/>
        <v>1</v>
      </c>
      <c r="AG60" s="5">
        <f t="shared" si="23"/>
        <v>1</v>
      </c>
      <c r="AH60" s="5">
        <f t="shared" si="23"/>
        <v>1</v>
      </c>
      <c r="AI60" s="5">
        <f t="shared" si="23"/>
        <v>1</v>
      </c>
      <c r="AJ60" s="5">
        <f t="shared" si="23"/>
        <v>1</v>
      </c>
      <c r="AK60" s="5">
        <f t="shared" si="23"/>
        <v>1</v>
      </c>
      <c r="AL60" s="5">
        <f t="shared" ref="AL60:AZ60" si="26">ROUNDDOWN(ROUND((12*IF((DATE(AL$1,12,31))&lt;$C60,0,IF(YEAR($C60)=AL$1,(DATE(((AL$1)+1),1,1)-$C60)/365.25,IF(AL$1=YEAR($D60),($D60-(DATE(((AL$1)-1),12,31)))/365.25,IF(YEAR($D60)&lt;AL$1,0,1))))),1),0)/12</f>
        <v>1</v>
      </c>
      <c r="AM60" s="5">
        <f t="shared" si="26"/>
        <v>1</v>
      </c>
      <c r="AN60" s="5">
        <f t="shared" si="26"/>
        <v>1</v>
      </c>
      <c r="AO60" s="5">
        <f t="shared" si="26"/>
        <v>1</v>
      </c>
      <c r="AP60" s="5">
        <f t="shared" si="26"/>
        <v>1</v>
      </c>
      <c r="AQ60" s="5">
        <f t="shared" si="26"/>
        <v>1</v>
      </c>
      <c r="AR60" s="5">
        <f t="shared" si="26"/>
        <v>1</v>
      </c>
      <c r="AS60" s="5">
        <f t="shared" si="26"/>
        <v>1</v>
      </c>
      <c r="AT60" s="5">
        <f t="shared" si="26"/>
        <v>1</v>
      </c>
      <c r="AU60" s="5">
        <f t="shared" si="26"/>
        <v>1</v>
      </c>
      <c r="AV60" s="5">
        <f t="shared" si="26"/>
        <v>1</v>
      </c>
      <c r="AW60" s="5">
        <f t="shared" si="26"/>
        <v>1</v>
      </c>
      <c r="AX60" s="5">
        <f t="shared" si="26"/>
        <v>1</v>
      </c>
      <c r="AY60" s="5">
        <f t="shared" si="26"/>
        <v>1</v>
      </c>
      <c r="AZ60" s="5">
        <f t="shared" si="26"/>
        <v>1</v>
      </c>
      <c r="BA60" s="5">
        <f>ROUNDDOWN(ROUND((12*IF((DATE(BA$1,12,31))&lt;$C60,0,IF(YEAR($C60)=BA$1,(DATE(((BA$1)+1),1,1)-$C60)/365.25,IF(BA$1=YEAR($D60),($D60-(DATE(((BA$1)-1),12,31)))/365.25,IF(YEAR($D60)&lt;BA$1,0,1))))),1),0)/12</f>
        <v>1</v>
      </c>
      <c r="BB60" s="5">
        <f>ROUNDDOWN(ROUND((12*IF((DATE(BB$1,12,31))&lt;$C60,0,IF(YEAR($C60)=BB$1,(DATE(((BB$1)+1),1,1)-$C60)/365.25,IF(BB$1=YEAR($D60),($D60-(DATE(((BB$1)-1),12,31)))/365.25,IF(YEAR($D60)&lt;BB$1,0,1))))),1),0)/12</f>
        <v>1</v>
      </c>
      <c r="BC60" s="5">
        <f>ROUNDDOWN(ROUND((12*IF((DATE(BC$1,12,31))&lt;$C60,0,IF(YEAR($C60)=BC$1,(DATE(((BC$1)+1),1,1)-$C60)/365.25,IF(BC$1=YEAR($D60),($D60-(DATE(((BC$1)-1),12,31)))/365.25,IF(YEAR($D60)&lt;BC$1,0,1))))),1),0)/12</f>
        <v>1</v>
      </c>
    </row>
    <row r="61" spans="1:55" x14ac:dyDescent="0.25">
      <c r="A61" s="132">
        <v>600</v>
      </c>
      <c r="B61" s="133">
        <v>588</v>
      </c>
      <c r="C61" s="134">
        <v>32370</v>
      </c>
      <c r="D61" s="161">
        <v>45658</v>
      </c>
      <c r="G61" s="5">
        <f t="shared" si="25"/>
        <v>0</v>
      </c>
      <c r="H61" s="5">
        <f t="shared" si="25"/>
        <v>0</v>
      </c>
      <c r="I61" s="5">
        <f t="shared" si="25"/>
        <v>0</v>
      </c>
      <c r="J61" s="5">
        <f t="shared" si="25"/>
        <v>0</v>
      </c>
      <c r="K61" s="5">
        <f t="shared" si="25"/>
        <v>0</v>
      </c>
      <c r="L61" s="5">
        <f t="shared" si="25"/>
        <v>0</v>
      </c>
      <c r="M61" s="5">
        <f t="shared" si="25"/>
        <v>0</v>
      </c>
      <c r="N61" s="5">
        <f t="shared" si="25"/>
        <v>0</v>
      </c>
      <c r="O61" s="5">
        <f t="shared" si="25"/>
        <v>0</v>
      </c>
      <c r="P61" s="5">
        <f t="shared" si="25"/>
        <v>0</v>
      </c>
      <c r="Q61" s="5">
        <f t="shared" si="25"/>
        <v>0</v>
      </c>
      <c r="R61" s="5">
        <f t="shared" si="25"/>
        <v>0.33333333333333331</v>
      </c>
      <c r="S61" s="5">
        <f t="shared" si="25"/>
        <v>1</v>
      </c>
      <c r="T61" s="5">
        <f t="shared" si="25"/>
        <v>1</v>
      </c>
      <c r="U61" s="5">
        <f t="shared" si="25"/>
        <v>1</v>
      </c>
      <c r="V61" s="5">
        <f t="shared" si="25"/>
        <v>1</v>
      </c>
      <c r="W61" s="5">
        <f t="shared" si="23"/>
        <v>1</v>
      </c>
      <c r="X61" s="5">
        <f t="shared" si="23"/>
        <v>1</v>
      </c>
      <c r="Y61" s="5">
        <f t="shared" si="23"/>
        <v>1</v>
      </c>
      <c r="Z61" s="5">
        <f t="shared" si="23"/>
        <v>1</v>
      </c>
      <c r="AA61" s="5">
        <f t="shared" si="23"/>
        <v>1</v>
      </c>
      <c r="AB61" s="5">
        <f t="shared" si="23"/>
        <v>1</v>
      </c>
      <c r="AC61" s="5">
        <f t="shared" si="23"/>
        <v>1</v>
      </c>
      <c r="AD61" s="5">
        <f t="shared" si="23"/>
        <v>1</v>
      </c>
      <c r="AE61" s="5">
        <f t="shared" si="23"/>
        <v>1</v>
      </c>
      <c r="AF61" s="5">
        <f t="shared" si="23"/>
        <v>1</v>
      </c>
      <c r="AG61" s="5">
        <f t="shared" si="23"/>
        <v>1</v>
      </c>
      <c r="AH61" s="5">
        <f t="shared" si="23"/>
        <v>1</v>
      </c>
      <c r="AI61" s="5">
        <f t="shared" si="23"/>
        <v>1</v>
      </c>
      <c r="AJ61" s="5">
        <f t="shared" si="23"/>
        <v>1</v>
      </c>
      <c r="AK61" s="5">
        <f t="shared" si="23"/>
        <v>1</v>
      </c>
      <c r="AL61" s="5">
        <f t="shared" ref="AL61:BA76" si="27">ROUNDDOWN(ROUND((12*IF((DATE(AL$1,12,31))&lt;$C61,0,IF(YEAR($C61)=AL$1,(DATE(((AL$1)+1),1,1)-$C61)/365.25,IF(AL$1=YEAR($D61),($D61-(DATE(((AL$1)-1),12,31)))/365.25,IF(YEAR($D61)&lt;AL$1,0,1))))),1),0)/12</f>
        <v>1</v>
      </c>
      <c r="AM61" s="5">
        <f t="shared" si="27"/>
        <v>1</v>
      </c>
      <c r="AN61" s="5">
        <f t="shared" si="27"/>
        <v>1</v>
      </c>
      <c r="AO61" s="5">
        <f t="shared" si="27"/>
        <v>1</v>
      </c>
      <c r="AP61" s="5">
        <f t="shared" si="27"/>
        <v>1</v>
      </c>
      <c r="AQ61" s="5">
        <f t="shared" si="27"/>
        <v>1</v>
      </c>
      <c r="AR61" s="5">
        <f t="shared" si="27"/>
        <v>1</v>
      </c>
      <c r="AS61" s="5">
        <f t="shared" si="27"/>
        <v>1</v>
      </c>
      <c r="AT61" s="5">
        <f t="shared" si="27"/>
        <v>1</v>
      </c>
      <c r="AU61" s="5">
        <f t="shared" si="27"/>
        <v>1</v>
      </c>
      <c r="AV61" s="5">
        <f t="shared" si="27"/>
        <v>1</v>
      </c>
      <c r="AW61" s="5">
        <f t="shared" si="27"/>
        <v>1</v>
      </c>
      <c r="AX61" s="5">
        <f t="shared" si="27"/>
        <v>1</v>
      </c>
      <c r="AY61" s="5">
        <f t="shared" si="27"/>
        <v>1</v>
      </c>
      <c r="AZ61" s="5">
        <f t="shared" si="27"/>
        <v>1</v>
      </c>
      <c r="BA61" s="5">
        <f t="shared" si="27"/>
        <v>1</v>
      </c>
      <c r="BB61" s="5">
        <f>ROUNDDOWN(ROUND((12*IF((DATE(BB$1,12,31))&lt;$C61,0,IF(YEAR($C61)=BB$1,(DATE(((BB$1)+1),1,1)-$C61)/365.25,IF(BB$1=YEAR($D61),($D61-(DATE(((BB$1)-1),12,31)))/365.25,IF(YEAR($D61)&lt;BB$1,0,1))))),1),0)/12</f>
        <v>1</v>
      </c>
      <c r="BC61" s="5">
        <f>ROUNDDOWN(ROUND((12*IF((DATE(BC$1,12,31))&lt;$C61,0,IF(YEAR($C61)=BC$1,(DATE(((BC$1)+1),1,1)-$C61)/365.25,IF(BC$1=YEAR($D61),($D61-(DATE(((BC$1)-1),12,31)))/365.25,IF(YEAR($D61)&lt;BC$1,0,1))))),1),0)/12</f>
        <v>0</v>
      </c>
    </row>
    <row r="62" spans="1:55" x14ac:dyDescent="0.25">
      <c r="A62" s="132">
        <v>600</v>
      </c>
      <c r="B62" s="133">
        <v>584</v>
      </c>
      <c r="C62" s="134">
        <v>32335</v>
      </c>
      <c r="D62" s="161">
        <v>45536</v>
      </c>
      <c r="G62" s="5">
        <f t="shared" si="25"/>
        <v>0</v>
      </c>
      <c r="H62" s="5">
        <f t="shared" si="25"/>
        <v>0</v>
      </c>
      <c r="I62" s="5">
        <f t="shared" si="25"/>
        <v>0</v>
      </c>
      <c r="J62" s="5">
        <f t="shared" si="25"/>
        <v>0</v>
      </c>
      <c r="K62" s="5">
        <f t="shared" si="25"/>
        <v>0</v>
      </c>
      <c r="L62" s="5">
        <f t="shared" si="25"/>
        <v>0</v>
      </c>
      <c r="M62" s="5">
        <f t="shared" si="25"/>
        <v>0</v>
      </c>
      <c r="N62" s="5">
        <f t="shared" si="25"/>
        <v>0</v>
      </c>
      <c r="O62" s="5">
        <f t="shared" si="25"/>
        <v>0</v>
      </c>
      <c r="P62" s="5">
        <f t="shared" si="25"/>
        <v>0</v>
      </c>
      <c r="Q62" s="5">
        <f t="shared" si="25"/>
        <v>0</v>
      </c>
      <c r="R62" s="5">
        <f t="shared" si="25"/>
        <v>0.41666666666666669</v>
      </c>
      <c r="S62" s="5">
        <f t="shared" si="25"/>
        <v>1</v>
      </c>
      <c r="T62" s="5">
        <f t="shared" si="25"/>
        <v>1</v>
      </c>
      <c r="U62" s="5">
        <f t="shared" si="25"/>
        <v>1</v>
      </c>
      <c r="V62" s="5">
        <f t="shared" si="25"/>
        <v>1</v>
      </c>
      <c r="W62" s="5">
        <f t="shared" si="23"/>
        <v>1</v>
      </c>
      <c r="X62" s="5">
        <f t="shared" si="23"/>
        <v>1</v>
      </c>
      <c r="Y62" s="5">
        <f t="shared" si="23"/>
        <v>1</v>
      </c>
      <c r="Z62" s="5">
        <f t="shared" si="23"/>
        <v>1</v>
      </c>
      <c r="AA62" s="5">
        <f t="shared" si="23"/>
        <v>1</v>
      </c>
      <c r="AB62" s="5">
        <f t="shared" si="23"/>
        <v>1</v>
      </c>
      <c r="AC62" s="5">
        <f t="shared" si="23"/>
        <v>1</v>
      </c>
      <c r="AD62" s="5">
        <f t="shared" si="23"/>
        <v>1</v>
      </c>
      <c r="AE62" s="5">
        <f t="shared" si="23"/>
        <v>1</v>
      </c>
      <c r="AF62" s="5">
        <f t="shared" si="23"/>
        <v>1</v>
      </c>
      <c r="AG62" s="5">
        <f t="shared" si="23"/>
        <v>1</v>
      </c>
      <c r="AH62" s="5">
        <f t="shared" si="23"/>
        <v>1</v>
      </c>
      <c r="AI62" s="5">
        <f t="shared" si="23"/>
        <v>1</v>
      </c>
      <c r="AJ62" s="5">
        <f t="shared" si="23"/>
        <v>1</v>
      </c>
      <c r="AK62" s="5">
        <f t="shared" si="23"/>
        <v>1</v>
      </c>
      <c r="AL62" s="5">
        <f t="shared" si="27"/>
        <v>1</v>
      </c>
      <c r="AM62" s="5">
        <f t="shared" si="27"/>
        <v>1</v>
      </c>
      <c r="AN62" s="5">
        <f t="shared" si="27"/>
        <v>1</v>
      </c>
      <c r="AO62" s="5">
        <f t="shared" si="27"/>
        <v>1</v>
      </c>
      <c r="AP62" s="5">
        <f t="shared" si="27"/>
        <v>1</v>
      </c>
      <c r="AQ62" s="5">
        <f t="shared" si="27"/>
        <v>1</v>
      </c>
      <c r="AR62" s="5">
        <f t="shared" si="27"/>
        <v>1</v>
      </c>
      <c r="AS62" s="5">
        <f t="shared" si="27"/>
        <v>1</v>
      </c>
      <c r="AT62" s="5">
        <f t="shared" si="27"/>
        <v>1</v>
      </c>
      <c r="AU62" s="5">
        <f t="shared" si="27"/>
        <v>1</v>
      </c>
      <c r="AV62" s="5">
        <f t="shared" si="27"/>
        <v>1</v>
      </c>
      <c r="AW62" s="5">
        <f t="shared" si="27"/>
        <v>1</v>
      </c>
      <c r="AX62" s="5">
        <f t="shared" si="27"/>
        <v>1</v>
      </c>
      <c r="AY62" s="5">
        <f t="shared" si="27"/>
        <v>1</v>
      </c>
      <c r="AZ62" s="5">
        <f t="shared" si="27"/>
        <v>1</v>
      </c>
      <c r="BA62" s="5">
        <f t="shared" si="27"/>
        <v>1</v>
      </c>
      <c r="BB62" s="5">
        <f>ROUNDDOWN(ROUND((12*IF((DATE(BB$1,12,31))&lt;$C62,0,IF(YEAR($C62)=BB$1,(DATE(((BB$1)+1),1,1)-$C62)/365.25,IF(BB$1=YEAR($D62),($D62-(DATE(((BB$1)-1),12,31)))/365.25,IF(YEAR($D62)&lt;BB$1,0,1))))),1),0)/12</f>
        <v>0.66666666666666663</v>
      </c>
      <c r="BC62" s="5">
        <f>ROUNDDOWN(ROUND((12*IF((DATE(BC$1,12,31))&lt;$C62,0,IF(YEAR($C62)=BC$1,(DATE(((BC$1)+1),1,1)-$C62)/365.25,IF(BC$1=YEAR($D62),($D62-(DATE(((BC$1)-1),12,31)))/365.25,IF(YEAR($D62)&lt;BC$1,0,1))))),1),0)/12</f>
        <v>0</v>
      </c>
    </row>
    <row r="63" spans="1:55" x14ac:dyDescent="0.25">
      <c r="A63" s="132">
        <v>600</v>
      </c>
      <c r="B63" s="133">
        <v>580</v>
      </c>
      <c r="C63" s="134">
        <v>32295</v>
      </c>
      <c r="D63" s="161">
        <v>46143</v>
      </c>
      <c r="G63" s="5">
        <f t="shared" si="25"/>
        <v>0</v>
      </c>
      <c r="H63" s="5">
        <f t="shared" si="25"/>
        <v>0</v>
      </c>
      <c r="I63" s="5">
        <f t="shared" si="25"/>
        <v>0</v>
      </c>
      <c r="J63" s="5">
        <f t="shared" si="25"/>
        <v>0</v>
      </c>
      <c r="K63" s="5">
        <f t="shared" si="25"/>
        <v>0</v>
      </c>
      <c r="L63" s="5">
        <f t="shared" si="25"/>
        <v>0</v>
      </c>
      <c r="M63" s="5">
        <f t="shared" si="25"/>
        <v>0</v>
      </c>
      <c r="N63" s="5">
        <f t="shared" si="25"/>
        <v>0</v>
      </c>
      <c r="O63" s="5">
        <f t="shared" si="25"/>
        <v>0</v>
      </c>
      <c r="P63" s="5">
        <f t="shared" si="25"/>
        <v>0</v>
      </c>
      <c r="Q63" s="5">
        <f t="shared" si="25"/>
        <v>0</v>
      </c>
      <c r="R63" s="5">
        <f t="shared" si="25"/>
        <v>0.58333333333333337</v>
      </c>
      <c r="S63" s="5">
        <f t="shared" si="25"/>
        <v>1</v>
      </c>
      <c r="T63" s="5">
        <f t="shared" si="25"/>
        <v>1</v>
      </c>
      <c r="U63" s="5">
        <f t="shared" si="25"/>
        <v>1</v>
      </c>
      <c r="V63" s="5">
        <f t="shared" si="25"/>
        <v>1</v>
      </c>
      <c r="W63" s="5">
        <f t="shared" si="23"/>
        <v>1</v>
      </c>
      <c r="X63" s="5">
        <f t="shared" si="23"/>
        <v>1</v>
      </c>
      <c r="Y63" s="5">
        <f t="shared" si="23"/>
        <v>1</v>
      </c>
      <c r="Z63" s="5">
        <f t="shared" si="23"/>
        <v>1</v>
      </c>
      <c r="AA63" s="5">
        <f t="shared" si="23"/>
        <v>1</v>
      </c>
      <c r="AB63" s="5">
        <f t="shared" si="23"/>
        <v>1</v>
      </c>
      <c r="AC63" s="5">
        <f t="shared" si="23"/>
        <v>1</v>
      </c>
      <c r="AD63" s="5">
        <f t="shared" si="23"/>
        <v>1</v>
      </c>
      <c r="AE63" s="5">
        <f t="shared" si="23"/>
        <v>1</v>
      </c>
      <c r="AF63" s="5">
        <f t="shared" si="23"/>
        <v>1</v>
      </c>
      <c r="AG63" s="5">
        <f t="shared" si="23"/>
        <v>1</v>
      </c>
      <c r="AH63" s="5">
        <f t="shared" si="23"/>
        <v>1</v>
      </c>
      <c r="AI63" s="5">
        <f t="shared" si="23"/>
        <v>1</v>
      </c>
      <c r="AJ63" s="5">
        <f t="shared" si="23"/>
        <v>1</v>
      </c>
      <c r="AK63" s="5">
        <f t="shared" si="23"/>
        <v>1</v>
      </c>
      <c r="AL63" s="5">
        <f t="shared" si="27"/>
        <v>1</v>
      </c>
      <c r="AM63" s="5">
        <f t="shared" si="27"/>
        <v>1</v>
      </c>
      <c r="AN63" s="5">
        <f t="shared" si="27"/>
        <v>1</v>
      </c>
      <c r="AO63" s="5">
        <f t="shared" si="27"/>
        <v>1</v>
      </c>
      <c r="AP63" s="5">
        <f t="shared" si="27"/>
        <v>1</v>
      </c>
      <c r="AQ63" s="5">
        <f t="shared" si="27"/>
        <v>1</v>
      </c>
      <c r="AR63" s="5">
        <f t="shared" si="27"/>
        <v>1</v>
      </c>
      <c r="AS63" s="5">
        <f t="shared" si="27"/>
        <v>1</v>
      </c>
      <c r="AT63" s="5">
        <f t="shared" si="27"/>
        <v>1</v>
      </c>
      <c r="AU63" s="5">
        <f t="shared" si="27"/>
        <v>1</v>
      </c>
      <c r="AV63" s="5">
        <f t="shared" si="27"/>
        <v>1</v>
      </c>
      <c r="AW63" s="5">
        <f t="shared" si="27"/>
        <v>1</v>
      </c>
      <c r="AX63" s="5">
        <f t="shared" si="27"/>
        <v>1</v>
      </c>
      <c r="AY63" s="5">
        <f t="shared" si="27"/>
        <v>1</v>
      </c>
      <c r="AZ63" s="5">
        <f t="shared" si="27"/>
        <v>1</v>
      </c>
      <c r="BA63" s="5">
        <f t="shared" si="27"/>
        <v>1</v>
      </c>
      <c r="BB63" s="5">
        <f>ROUNDDOWN(ROUND((12*IF((DATE(BB$1,12,31))&lt;$C63,0,IF(YEAR($C63)=BB$1,(DATE(((BB$1)+1),1,1)-$C63)/365.25,IF(BB$1=YEAR($D63),($D63-(DATE(((BB$1)-1),12,31)))/365.25,IF(YEAR($D63)&lt;BB$1,0,1))))),1),0)/12</f>
        <v>1</v>
      </c>
      <c r="BC63" s="5">
        <f>ROUNDDOWN(ROUND((12*IF((DATE(BC$1,12,31))&lt;$C63,0,IF(YEAR($C63)=BC$1,(DATE(((BC$1)+1),1,1)-$C63)/365.25,IF(BC$1=YEAR($D63),($D63-(DATE(((BC$1)-1),12,31)))/365.25,IF(YEAR($D63)&lt;BC$1,0,1))))),1),0)/12</f>
        <v>1</v>
      </c>
    </row>
    <row r="64" spans="1:55" x14ac:dyDescent="0.25">
      <c r="A64" s="132">
        <v>600</v>
      </c>
      <c r="B64" s="133">
        <v>579</v>
      </c>
      <c r="C64" s="134">
        <v>32295</v>
      </c>
      <c r="D64" s="161">
        <v>48214</v>
      </c>
      <c r="G64" s="5">
        <f t="shared" si="25"/>
        <v>0</v>
      </c>
      <c r="H64" s="5">
        <f t="shared" si="25"/>
        <v>0</v>
      </c>
      <c r="I64" s="5">
        <f t="shared" si="25"/>
        <v>0</v>
      </c>
      <c r="J64" s="5">
        <f t="shared" si="25"/>
        <v>0</v>
      </c>
      <c r="K64" s="5">
        <f t="shared" si="25"/>
        <v>0</v>
      </c>
      <c r="L64" s="5">
        <f t="shared" si="25"/>
        <v>0</v>
      </c>
      <c r="M64" s="5">
        <f t="shared" si="25"/>
        <v>0</v>
      </c>
      <c r="N64" s="5">
        <f t="shared" si="25"/>
        <v>0</v>
      </c>
      <c r="O64" s="5">
        <f t="shared" si="25"/>
        <v>0</v>
      </c>
      <c r="P64" s="5">
        <f t="shared" si="25"/>
        <v>0</v>
      </c>
      <c r="Q64" s="5">
        <f t="shared" si="25"/>
        <v>0</v>
      </c>
      <c r="R64" s="5">
        <f t="shared" si="25"/>
        <v>0.58333333333333337</v>
      </c>
      <c r="S64" s="5">
        <f t="shared" si="25"/>
        <v>1</v>
      </c>
      <c r="T64" s="5">
        <f t="shared" si="25"/>
        <v>1</v>
      </c>
      <c r="U64" s="5">
        <f t="shared" si="25"/>
        <v>1</v>
      </c>
      <c r="V64" s="5">
        <f t="shared" si="25"/>
        <v>1</v>
      </c>
      <c r="W64" s="5">
        <f t="shared" si="23"/>
        <v>1</v>
      </c>
      <c r="X64" s="5">
        <f t="shared" si="23"/>
        <v>1</v>
      </c>
      <c r="Y64" s="5">
        <f t="shared" si="23"/>
        <v>1</v>
      </c>
      <c r="Z64" s="5">
        <f t="shared" si="23"/>
        <v>1</v>
      </c>
      <c r="AA64" s="5">
        <f t="shared" si="23"/>
        <v>1</v>
      </c>
      <c r="AB64" s="5">
        <f t="shared" si="23"/>
        <v>1</v>
      </c>
      <c r="AC64" s="5">
        <f t="shared" si="23"/>
        <v>1</v>
      </c>
      <c r="AD64" s="5">
        <f t="shared" si="23"/>
        <v>1</v>
      </c>
      <c r="AE64" s="5">
        <f t="shared" si="23"/>
        <v>1</v>
      </c>
      <c r="AF64" s="5">
        <f t="shared" si="23"/>
        <v>1</v>
      </c>
      <c r="AG64" s="5">
        <f t="shared" si="23"/>
        <v>1</v>
      </c>
      <c r="AH64" s="5">
        <f t="shared" si="23"/>
        <v>1</v>
      </c>
      <c r="AI64" s="5">
        <f t="shared" si="23"/>
        <v>1</v>
      </c>
      <c r="AJ64" s="5">
        <f t="shared" si="23"/>
        <v>1</v>
      </c>
      <c r="AK64" s="5">
        <f t="shared" si="23"/>
        <v>1</v>
      </c>
      <c r="AL64" s="5">
        <f t="shared" si="27"/>
        <v>1</v>
      </c>
      <c r="AM64" s="5">
        <f t="shared" si="27"/>
        <v>1</v>
      </c>
      <c r="AN64" s="5">
        <f t="shared" si="27"/>
        <v>1</v>
      </c>
      <c r="AO64" s="5">
        <f t="shared" si="27"/>
        <v>1</v>
      </c>
      <c r="AP64" s="5">
        <f t="shared" si="27"/>
        <v>1</v>
      </c>
      <c r="AQ64" s="5">
        <f t="shared" si="27"/>
        <v>1</v>
      </c>
      <c r="AR64" s="5">
        <f t="shared" si="27"/>
        <v>1</v>
      </c>
      <c r="AS64" s="5">
        <f t="shared" si="27"/>
        <v>1</v>
      </c>
      <c r="AT64" s="5">
        <f t="shared" si="27"/>
        <v>1</v>
      </c>
      <c r="AU64" s="5">
        <f t="shared" si="27"/>
        <v>1</v>
      </c>
      <c r="AV64" s="5">
        <f t="shared" si="27"/>
        <v>1</v>
      </c>
      <c r="AW64" s="5">
        <f t="shared" si="27"/>
        <v>1</v>
      </c>
      <c r="AX64" s="5">
        <f t="shared" si="27"/>
        <v>1</v>
      </c>
      <c r="AY64" s="5">
        <f t="shared" si="27"/>
        <v>1</v>
      </c>
      <c r="AZ64" s="5">
        <f t="shared" si="27"/>
        <v>1</v>
      </c>
      <c r="BA64" s="5">
        <f t="shared" si="27"/>
        <v>1</v>
      </c>
      <c r="BB64" s="5">
        <f>ROUNDDOWN(ROUND((12*IF((DATE(BB$1,12,31))&lt;$C64,0,IF(YEAR($C64)=BB$1,(DATE(((BB$1)+1),1,1)-$C64)/365.25,IF(BB$1=YEAR($D64),($D64-(DATE(((BB$1)-1),12,31)))/365.25,IF(YEAR($D64)&lt;BB$1,0,1))))),1),0)/12</f>
        <v>1</v>
      </c>
      <c r="BC64" s="5">
        <f>ROUNDDOWN(ROUND((12*IF((DATE(BC$1,12,31))&lt;$C64,0,IF(YEAR($C64)=BC$1,(DATE(((BC$1)+1),1,1)-$C64)/365.25,IF(BC$1=YEAR($D64),($D64-(DATE(((BC$1)-1),12,31)))/365.25,IF(YEAR($D64)&lt;BC$1,0,1))))),1),0)/12</f>
        <v>1</v>
      </c>
    </row>
    <row r="65" spans="1:55" x14ac:dyDescent="0.25">
      <c r="A65" s="132">
        <v>600</v>
      </c>
      <c r="B65" s="133">
        <v>576</v>
      </c>
      <c r="C65" s="134">
        <v>32287</v>
      </c>
      <c r="D65" s="161">
        <v>46997</v>
      </c>
      <c r="G65" s="5">
        <f t="shared" si="25"/>
        <v>0</v>
      </c>
      <c r="H65" s="5">
        <f t="shared" si="25"/>
        <v>0</v>
      </c>
      <c r="I65" s="5">
        <f t="shared" si="25"/>
        <v>0</v>
      </c>
      <c r="J65" s="5">
        <f t="shared" si="25"/>
        <v>0</v>
      </c>
      <c r="K65" s="5">
        <f t="shared" si="25"/>
        <v>0</v>
      </c>
      <c r="L65" s="5">
        <f t="shared" si="25"/>
        <v>0</v>
      </c>
      <c r="M65" s="5">
        <f t="shared" si="25"/>
        <v>0</v>
      </c>
      <c r="N65" s="5">
        <f t="shared" si="25"/>
        <v>0</v>
      </c>
      <c r="O65" s="5">
        <f t="shared" si="25"/>
        <v>0</v>
      </c>
      <c r="P65" s="5">
        <f t="shared" si="25"/>
        <v>0</v>
      </c>
      <c r="Q65" s="5">
        <f t="shared" si="25"/>
        <v>0</v>
      </c>
      <c r="R65" s="5">
        <f t="shared" si="25"/>
        <v>0.58333333333333337</v>
      </c>
      <c r="S65" s="5">
        <f t="shared" si="25"/>
        <v>1</v>
      </c>
      <c r="T65" s="5">
        <f t="shared" si="25"/>
        <v>1</v>
      </c>
      <c r="U65" s="5">
        <f t="shared" si="25"/>
        <v>1</v>
      </c>
      <c r="V65" s="5">
        <f t="shared" si="25"/>
        <v>1</v>
      </c>
      <c r="W65" s="5">
        <f t="shared" si="23"/>
        <v>1</v>
      </c>
      <c r="X65" s="5">
        <f t="shared" si="23"/>
        <v>1</v>
      </c>
      <c r="Y65" s="5">
        <f t="shared" si="23"/>
        <v>1</v>
      </c>
      <c r="Z65" s="5">
        <f t="shared" si="23"/>
        <v>1</v>
      </c>
      <c r="AA65" s="5">
        <f t="shared" si="23"/>
        <v>1</v>
      </c>
      <c r="AB65" s="5">
        <f t="shared" si="23"/>
        <v>1</v>
      </c>
      <c r="AC65" s="5">
        <f t="shared" si="23"/>
        <v>1</v>
      </c>
      <c r="AD65" s="5">
        <f t="shared" si="23"/>
        <v>1</v>
      </c>
      <c r="AE65" s="5">
        <f t="shared" si="23"/>
        <v>1</v>
      </c>
      <c r="AF65" s="5">
        <f t="shared" si="23"/>
        <v>1</v>
      </c>
      <c r="AG65" s="5">
        <f t="shared" si="23"/>
        <v>1</v>
      </c>
      <c r="AH65" s="5">
        <f t="shared" si="23"/>
        <v>1</v>
      </c>
      <c r="AI65" s="5">
        <f t="shared" si="23"/>
        <v>1</v>
      </c>
      <c r="AJ65" s="5">
        <f t="shared" si="23"/>
        <v>1</v>
      </c>
      <c r="AK65" s="5">
        <f t="shared" si="23"/>
        <v>1</v>
      </c>
      <c r="AL65" s="5">
        <f t="shared" si="27"/>
        <v>1</v>
      </c>
      <c r="AM65" s="5">
        <f t="shared" si="27"/>
        <v>1</v>
      </c>
      <c r="AN65" s="5">
        <f t="shared" si="27"/>
        <v>1</v>
      </c>
      <c r="AO65" s="5">
        <f t="shared" si="27"/>
        <v>1</v>
      </c>
      <c r="AP65" s="5">
        <f t="shared" si="27"/>
        <v>1</v>
      </c>
      <c r="AQ65" s="5">
        <f t="shared" si="27"/>
        <v>1</v>
      </c>
      <c r="AR65" s="5">
        <f t="shared" si="27"/>
        <v>1</v>
      </c>
      <c r="AS65" s="5">
        <f t="shared" si="27"/>
        <v>1</v>
      </c>
      <c r="AT65" s="5">
        <f t="shared" si="27"/>
        <v>1</v>
      </c>
      <c r="AU65" s="5">
        <f t="shared" si="27"/>
        <v>1</v>
      </c>
      <c r="AV65" s="5">
        <f t="shared" si="27"/>
        <v>1</v>
      </c>
      <c r="AW65" s="5">
        <f t="shared" si="27"/>
        <v>1</v>
      </c>
      <c r="AX65" s="5">
        <f t="shared" si="27"/>
        <v>1</v>
      </c>
      <c r="AY65" s="5">
        <f t="shared" si="27"/>
        <v>1</v>
      </c>
      <c r="AZ65" s="5">
        <f t="shared" si="27"/>
        <v>1</v>
      </c>
      <c r="BA65" s="5">
        <f t="shared" si="27"/>
        <v>1</v>
      </c>
      <c r="BB65" s="5">
        <f>ROUNDDOWN(ROUND((12*IF((DATE(BB$1,12,31))&lt;$C65,0,IF(YEAR($C65)=BB$1,(DATE(((BB$1)+1),1,1)-$C65)/365.25,IF(BB$1=YEAR($D65),($D65-(DATE(((BB$1)-1),12,31)))/365.25,IF(YEAR($D65)&lt;BB$1,0,1))))),1),0)/12</f>
        <v>1</v>
      </c>
      <c r="BC65" s="5">
        <f>ROUNDDOWN(ROUND((12*IF((DATE(BC$1,12,31))&lt;$C65,0,IF(YEAR($C65)=BC$1,(DATE(((BC$1)+1),1,1)-$C65)/365.25,IF(BC$1=YEAR($D65),($D65-(DATE(((BC$1)-1),12,31)))/365.25,IF(YEAR($D65)&lt;BC$1,0,1))))),1),0)/12</f>
        <v>1</v>
      </c>
    </row>
    <row r="66" spans="1:55" x14ac:dyDescent="0.25">
      <c r="A66" s="132">
        <v>600</v>
      </c>
      <c r="B66" s="133">
        <v>564</v>
      </c>
      <c r="C66" s="134">
        <v>32155</v>
      </c>
      <c r="D66" s="161">
        <v>47362</v>
      </c>
      <c r="G66" s="5">
        <f t="shared" si="25"/>
        <v>0</v>
      </c>
      <c r="H66" s="5">
        <f t="shared" si="25"/>
        <v>0</v>
      </c>
      <c r="I66" s="5">
        <f t="shared" si="25"/>
        <v>0</v>
      </c>
      <c r="J66" s="5">
        <f t="shared" si="25"/>
        <v>0</v>
      </c>
      <c r="K66" s="5">
        <f t="shared" si="25"/>
        <v>0</v>
      </c>
      <c r="L66" s="5">
        <f t="shared" si="25"/>
        <v>0</v>
      </c>
      <c r="M66" s="5">
        <f t="shared" si="25"/>
        <v>0</v>
      </c>
      <c r="N66" s="5">
        <f t="shared" si="25"/>
        <v>0</v>
      </c>
      <c r="O66" s="5">
        <f t="shared" si="25"/>
        <v>0</v>
      </c>
      <c r="P66" s="5">
        <f t="shared" si="25"/>
        <v>0</v>
      </c>
      <c r="Q66" s="5">
        <f t="shared" si="25"/>
        <v>0</v>
      </c>
      <c r="R66" s="5">
        <f t="shared" si="25"/>
        <v>0.91666666666666663</v>
      </c>
      <c r="S66" s="5">
        <f t="shared" si="25"/>
        <v>1</v>
      </c>
      <c r="T66" s="5">
        <f t="shared" si="25"/>
        <v>1</v>
      </c>
      <c r="U66" s="5">
        <f t="shared" si="25"/>
        <v>1</v>
      </c>
      <c r="V66" s="5">
        <f t="shared" si="25"/>
        <v>1</v>
      </c>
      <c r="W66" s="5">
        <f t="shared" si="23"/>
        <v>1</v>
      </c>
      <c r="X66" s="5">
        <f t="shared" si="23"/>
        <v>1</v>
      </c>
      <c r="Y66" s="5">
        <f t="shared" si="23"/>
        <v>1</v>
      </c>
      <c r="Z66" s="5">
        <f t="shared" si="23"/>
        <v>1</v>
      </c>
      <c r="AA66" s="5">
        <f t="shared" si="23"/>
        <v>1</v>
      </c>
      <c r="AB66" s="5">
        <f t="shared" si="23"/>
        <v>1</v>
      </c>
      <c r="AC66" s="5">
        <f t="shared" si="23"/>
        <v>1</v>
      </c>
      <c r="AD66" s="5">
        <f t="shared" si="23"/>
        <v>1</v>
      </c>
      <c r="AE66" s="5">
        <f t="shared" si="23"/>
        <v>1</v>
      </c>
      <c r="AF66" s="5">
        <f t="shared" si="23"/>
        <v>1</v>
      </c>
      <c r="AG66" s="5">
        <f t="shared" si="23"/>
        <v>1</v>
      </c>
      <c r="AH66" s="5">
        <f t="shared" si="23"/>
        <v>1</v>
      </c>
      <c r="AI66" s="5">
        <f t="shared" si="23"/>
        <v>1</v>
      </c>
      <c r="AJ66" s="5">
        <f t="shared" si="23"/>
        <v>1</v>
      </c>
      <c r="AK66" s="5">
        <f t="shared" si="23"/>
        <v>1</v>
      </c>
      <c r="AL66" s="5">
        <f t="shared" si="27"/>
        <v>1</v>
      </c>
      <c r="AM66" s="5">
        <f t="shared" si="27"/>
        <v>1</v>
      </c>
      <c r="AN66" s="5">
        <f t="shared" si="27"/>
        <v>1</v>
      </c>
      <c r="AO66" s="5">
        <f t="shared" si="27"/>
        <v>1</v>
      </c>
      <c r="AP66" s="5">
        <f t="shared" si="27"/>
        <v>1</v>
      </c>
      <c r="AQ66" s="5">
        <f t="shared" si="27"/>
        <v>1</v>
      </c>
      <c r="AR66" s="5">
        <f t="shared" si="27"/>
        <v>1</v>
      </c>
      <c r="AS66" s="5">
        <f t="shared" si="27"/>
        <v>1</v>
      </c>
      <c r="AT66" s="5">
        <f t="shared" si="27"/>
        <v>1</v>
      </c>
      <c r="AU66" s="5">
        <f t="shared" si="27"/>
        <v>1</v>
      </c>
      <c r="AV66" s="5">
        <f t="shared" si="27"/>
        <v>1</v>
      </c>
      <c r="AW66" s="5">
        <f t="shared" si="27"/>
        <v>1</v>
      </c>
      <c r="AX66" s="5">
        <f t="shared" si="27"/>
        <v>1</v>
      </c>
      <c r="AY66" s="5">
        <f t="shared" si="27"/>
        <v>1</v>
      </c>
      <c r="AZ66" s="5">
        <f t="shared" si="27"/>
        <v>1</v>
      </c>
      <c r="BA66" s="5">
        <f t="shared" si="27"/>
        <v>1</v>
      </c>
      <c r="BB66" s="5">
        <f>ROUNDDOWN(ROUND((12*IF((DATE(BB$1,12,31))&lt;$C66,0,IF(YEAR($C66)=BB$1,(DATE(((BB$1)+1),1,1)-$C66)/365.25,IF(BB$1=YEAR($D66),($D66-(DATE(((BB$1)-1),12,31)))/365.25,IF(YEAR($D66)&lt;BB$1,0,1))))),1),0)/12</f>
        <v>1</v>
      </c>
      <c r="BC66" s="5">
        <f>ROUNDDOWN(ROUND((12*IF((DATE(BC$1,12,31))&lt;$C66,0,IF(YEAR($C66)=BC$1,(DATE(((BC$1)+1),1,1)-$C66)/365.25,IF(BC$1=YEAR($D66),($D66-(DATE(((BC$1)-1),12,31)))/365.25,IF(YEAR($D66)&lt;BC$1,0,1))))),1),0)/12</f>
        <v>1</v>
      </c>
    </row>
    <row r="67" spans="1:55" x14ac:dyDescent="0.25">
      <c r="A67" s="132">
        <v>600</v>
      </c>
      <c r="B67" s="133">
        <v>561</v>
      </c>
      <c r="C67" s="134">
        <v>32082</v>
      </c>
      <c r="D67" s="161">
        <v>45778</v>
      </c>
      <c r="G67" s="5">
        <f t="shared" si="25"/>
        <v>0</v>
      </c>
      <c r="H67" s="5">
        <f t="shared" si="25"/>
        <v>0</v>
      </c>
      <c r="I67" s="5">
        <f t="shared" si="25"/>
        <v>0</v>
      </c>
      <c r="J67" s="5">
        <f t="shared" si="25"/>
        <v>0</v>
      </c>
      <c r="K67" s="5">
        <f t="shared" si="25"/>
        <v>0</v>
      </c>
      <c r="L67" s="5">
        <f t="shared" si="25"/>
        <v>0</v>
      </c>
      <c r="M67" s="5">
        <f t="shared" si="25"/>
        <v>0</v>
      </c>
      <c r="N67" s="5">
        <f t="shared" si="25"/>
        <v>0</v>
      </c>
      <c r="O67" s="5">
        <f t="shared" si="25"/>
        <v>0</v>
      </c>
      <c r="P67" s="5">
        <f t="shared" si="25"/>
        <v>0</v>
      </c>
      <c r="Q67" s="5">
        <f t="shared" si="25"/>
        <v>0.16666666666666666</v>
      </c>
      <c r="R67" s="5">
        <f t="shared" si="25"/>
        <v>1</v>
      </c>
      <c r="S67" s="5">
        <f t="shared" si="25"/>
        <v>1</v>
      </c>
      <c r="T67" s="5">
        <f t="shared" si="25"/>
        <v>1</v>
      </c>
      <c r="U67" s="5">
        <f t="shared" si="25"/>
        <v>1</v>
      </c>
      <c r="V67" s="5">
        <f t="shared" si="25"/>
        <v>1</v>
      </c>
      <c r="W67" s="5">
        <f t="shared" si="23"/>
        <v>1</v>
      </c>
      <c r="X67" s="5">
        <f t="shared" si="23"/>
        <v>1</v>
      </c>
      <c r="Y67" s="5">
        <f t="shared" si="23"/>
        <v>1</v>
      </c>
      <c r="Z67" s="5">
        <f t="shared" si="23"/>
        <v>1</v>
      </c>
      <c r="AA67" s="5">
        <f t="shared" si="23"/>
        <v>1</v>
      </c>
      <c r="AB67" s="5">
        <f t="shared" si="23"/>
        <v>1</v>
      </c>
      <c r="AC67" s="5">
        <f t="shared" si="23"/>
        <v>1</v>
      </c>
      <c r="AD67" s="5">
        <f t="shared" si="23"/>
        <v>1</v>
      </c>
      <c r="AE67" s="5">
        <f t="shared" si="23"/>
        <v>1</v>
      </c>
      <c r="AF67" s="5">
        <f t="shared" si="23"/>
        <v>1</v>
      </c>
      <c r="AG67" s="5">
        <f t="shared" si="23"/>
        <v>1</v>
      </c>
      <c r="AH67" s="5">
        <f t="shared" si="23"/>
        <v>1</v>
      </c>
      <c r="AI67" s="5">
        <f t="shared" si="23"/>
        <v>1</v>
      </c>
      <c r="AJ67" s="5">
        <f t="shared" si="23"/>
        <v>1</v>
      </c>
      <c r="AK67" s="5">
        <f t="shared" si="23"/>
        <v>1</v>
      </c>
      <c r="AL67" s="5">
        <f t="shared" si="27"/>
        <v>1</v>
      </c>
      <c r="AM67" s="5">
        <f t="shared" si="27"/>
        <v>1</v>
      </c>
      <c r="AN67" s="5">
        <f t="shared" si="27"/>
        <v>1</v>
      </c>
      <c r="AO67" s="5">
        <f t="shared" si="27"/>
        <v>1</v>
      </c>
      <c r="AP67" s="5">
        <f t="shared" si="27"/>
        <v>1</v>
      </c>
      <c r="AQ67" s="5">
        <f t="shared" si="27"/>
        <v>1</v>
      </c>
      <c r="AR67" s="5">
        <f t="shared" si="27"/>
        <v>1</v>
      </c>
      <c r="AS67" s="5">
        <f t="shared" si="27"/>
        <v>1</v>
      </c>
      <c r="AT67" s="5">
        <f t="shared" si="27"/>
        <v>1</v>
      </c>
      <c r="AU67" s="5">
        <f t="shared" si="27"/>
        <v>1</v>
      </c>
      <c r="AV67" s="5">
        <f t="shared" si="27"/>
        <v>1</v>
      </c>
      <c r="AW67" s="5">
        <f t="shared" si="27"/>
        <v>1</v>
      </c>
      <c r="AX67" s="5">
        <f t="shared" si="27"/>
        <v>1</v>
      </c>
      <c r="AY67" s="5">
        <f t="shared" si="27"/>
        <v>1</v>
      </c>
      <c r="AZ67" s="5">
        <f t="shared" si="27"/>
        <v>1</v>
      </c>
      <c r="BA67" s="5">
        <f t="shared" si="27"/>
        <v>1</v>
      </c>
      <c r="BB67" s="5">
        <f>ROUNDDOWN(ROUND((12*IF((DATE(BB$1,12,31))&lt;$C67,0,IF(YEAR($C67)=BB$1,(DATE(((BB$1)+1),1,1)-$C67)/365.25,IF(BB$1=YEAR($D67),($D67-(DATE(((BB$1)-1),12,31)))/365.25,IF(YEAR($D67)&lt;BB$1,0,1))))),1),0)/12</f>
        <v>1</v>
      </c>
      <c r="BC67" s="5">
        <f>ROUNDDOWN(ROUND((12*IF((DATE(BC$1,12,31))&lt;$C67,0,IF(YEAR($C67)=BC$1,(DATE(((BC$1)+1),1,1)-$C67)/365.25,IF(BC$1=YEAR($D67),($D67-(DATE(((BC$1)-1),12,31)))/365.25,IF(YEAR($D67)&lt;BC$1,0,1))))),1),0)/12</f>
        <v>0.33333333333333331</v>
      </c>
    </row>
    <row r="68" spans="1:55" x14ac:dyDescent="0.25">
      <c r="A68" s="132">
        <v>600</v>
      </c>
      <c r="B68" s="133">
        <v>553</v>
      </c>
      <c r="C68" s="134">
        <v>31982</v>
      </c>
      <c r="D68" s="161">
        <v>48396</v>
      </c>
      <c r="G68" s="5">
        <f t="shared" si="25"/>
        <v>0</v>
      </c>
      <c r="H68" s="5">
        <f t="shared" si="25"/>
        <v>0</v>
      </c>
      <c r="I68" s="5">
        <f t="shared" si="25"/>
        <v>0</v>
      </c>
      <c r="J68" s="5">
        <f t="shared" si="25"/>
        <v>0</v>
      </c>
      <c r="K68" s="5">
        <f t="shared" si="25"/>
        <v>0</v>
      </c>
      <c r="L68" s="5">
        <f t="shared" si="25"/>
        <v>0</v>
      </c>
      <c r="M68" s="5">
        <f t="shared" si="25"/>
        <v>0</v>
      </c>
      <c r="N68" s="5">
        <f t="shared" si="25"/>
        <v>0</v>
      </c>
      <c r="O68" s="5">
        <f t="shared" si="25"/>
        <v>0</v>
      </c>
      <c r="P68" s="5">
        <f t="shared" si="25"/>
        <v>0</v>
      </c>
      <c r="Q68" s="5">
        <f t="shared" si="25"/>
        <v>0.41666666666666669</v>
      </c>
      <c r="R68" s="5">
        <f t="shared" si="25"/>
        <v>1</v>
      </c>
      <c r="S68" s="5">
        <f t="shared" si="25"/>
        <v>1</v>
      </c>
      <c r="T68" s="5">
        <f t="shared" si="25"/>
        <v>1</v>
      </c>
      <c r="U68" s="5">
        <f t="shared" si="25"/>
        <v>1</v>
      </c>
      <c r="V68" s="5">
        <f t="shared" si="25"/>
        <v>1</v>
      </c>
      <c r="W68" s="5">
        <f t="shared" si="23"/>
        <v>1</v>
      </c>
      <c r="X68" s="5">
        <f t="shared" si="23"/>
        <v>1</v>
      </c>
      <c r="Y68" s="5">
        <f t="shared" si="23"/>
        <v>1</v>
      </c>
      <c r="Z68" s="5">
        <f t="shared" si="23"/>
        <v>1</v>
      </c>
      <c r="AA68" s="5">
        <f t="shared" si="23"/>
        <v>1</v>
      </c>
      <c r="AB68" s="5">
        <f t="shared" si="23"/>
        <v>1</v>
      </c>
      <c r="AC68" s="5">
        <f t="shared" si="23"/>
        <v>1</v>
      </c>
      <c r="AD68" s="5">
        <f t="shared" si="23"/>
        <v>1</v>
      </c>
      <c r="AE68" s="5">
        <f t="shared" si="23"/>
        <v>1</v>
      </c>
      <c r="AF68" s="5">
        <f t="shared" si="23"/>
        <v>1</v>
      </c>
      <c r="AG68" s="5">
        <f t="shared" si="23"/>
        <v>1</v>
      </c>
      <c r="AH68" s="5">
        <f t="shared" si="23"/>
        <v>1</v>
      </c>
      <c r="AI68" s="5">
        <f t="shared" si="23"/>
        <v>1</v>
      </c>
      <c r="AJ68" s="5">
        <f t="shared" si="23"/>
        <v>1</v>
      </c>
      <c r="AK68" s="5">
        <f t="shared" si="23"/>
        <v>1</v>
      </c>
      <c r="AL68" s="5">
        <f t="shared" si="27"/>
        <v>1</v>
      </c>
      <c r="AM68" s="5">
        <f t="shared" si="27"/>
        <v>1</v>
      </c>
      <c r="AN68" s="5">
        <f t="shared" si="27"/>
        <v>1</v>
      </c>
      <c r="AO68" s="5">
        <f t="shared" si="27"/>
        <v>1</v>
      </c>
      <c r="AP68" s="5">
        <f t="shared" si="27"/>
        <v>1</v>
      </c>
      <c r="AQ68" s="5">
        <f t="shared" si="27"/>
        <v>1</v>
      </c>
      <c r="AR68" s="5">
        <f t="shared" si="27"/>
        <v>1</v>
      </c>
      <c r="AS68" s="5">
        <f t="shared" si="27"/>
        <v>1</v>
      </c>
      <c r="AT68" s="5">
        <f t="shared" si="27"/>
        <v>1</v>
      </c>
      <c r="AU68" s="5">
        <f t="shared" si="27"/>
        <v>1</v>
      </c>
      <c r="AV68" s="5">
        <f t="shared" si="27"/>
        <v>1</v>
      </c>
      <c r="AW68" s="5">
        <f t="shared" si="27"/>
        <v>1</v>
      </c>
      <c r="AX68" s="5">
        <f t="shared" si="27"/>
        <v>1</v>
      </c>
      <c r="AY68" s="5">
        <f t="shared" si="27"/>
        <v>1</v>
      </c>
      <c r="AZ68" s="5">
        <f t="shared" si="27"/>
        <v>1</v>
      </c>
      <c r="BA68" s="5">
        <f t="shared" si="27"/>
        <v>1</v>
      </c>
      <c r="BB68" s="5">
        <f>ROUNDDOWN(ROUND((12*IF((DATE(BB$1,12,31))&lt;$C68,0,IF(YEAR($C68)=BB$1,(DATE(((BB$1)+1),1,1)-$C68)/365.25,IF(BB$1=YEAR($D68),($D68-(DATE(((BB$1)-1),12,31)))/365.25,IF(YEAR($D68)&lt;BB$1,0,1))))),1),0)/12</f>
        <v>1</v>
      </c>
      <c r="BC68" s="5">
        <f>ROUNDDOWN(ROUND((12*IF((DATE(BC$1,12,31))&lt;$C68,0,IF(YEAR($C68)=BC$1,(DATE(((BC$1)+1),1,1)-$C68)/365.25,IF(BC$1=YEAR($D68),($D68-(DATE(((BC$1)-1),12,31)))/365.25,IF(YEAR($D68)&lt;BC$1,0,1))))),1),0)/12</f>
        <v>1</v>
      </c>
    </row>
    <row r="69" spans="1:55" x14ac:dyDescent="0.25">
      <c r="A69" s="132">
        <v>600</v>
      </c>
      <c r="B69" s="133">
        <v>547</v>
      </c>
      <c r="C69" s="134">
        <v>31750</v>
      </c>
      <c r="D69" s="161">
        <v>48396</v>
      </c>
      <c r="G69" s="5">
        <f t="shared" si="25"/>
        <v>0</v>
      </c>
      <c r="H69" s="5">
        <f t="shared" si="25"/>
        <v>0</v>
      </c>
      <c r="I69" s="5">
        <f t="shared" si="25"/>
        <v>0</v>
      </c>
      <c r="J69" s="5">
        <f t="shared" si="25"/>
        <v>0</v>
      </c>
      <c r="K69" s="5">
        <f t="shared" si="25"/>
        <v>0</v>
      </c>
      <c r="L69" s="5">
        <f t="shared" si="25"/>
        <v>0</v>
      </c>
      <c r="M69" s="5">
        <f t="shared" si="25"/>
        <v>0</v>
      </c>
      <c r="N69" s="5">
        <f t="shared" si="25"/>
        <v>0</v>
      </c>
      <c r="O69" s="5">
        <f t="shared" si="25"/>
        <v>0</v>
      </c>
      <c r="P69" s="5">
        <f t="shared" si="25"/>
        <v>0</v>
      </c>
      <c r="Q69" s="5">
        <f t="shared" si="25"/>
        <v>1</v>
      </c>
      <c r="R69" s="5">
        <f t="shared" si="25"/>
        <v>1</v>
      </c>
      <c r="S69" s="5">
        <f t="shared" si="25"/>
        <v>1</v>
      </c>
      <c r="T69" s="5">
        <f t="shared" si="25"/>
        <v>1</v>
      </c>
      <c r="U69" s="5">
        <f t="shared" si="25"/>
        <v>1</v>
      </c>
      <c r="V69" s="5">
        <f t="shared" si="25"/>
        <v>1</v>
      </c>
      <c r="W69" s="5">
        <f t="shared" si="23"/>
        <v>1</v>
      </c>
      <c r="X69" s="5">
        <f t="shared" si="23"/>
        <v>1</v>
      </c>
      <c r="Y69" s="5">
        <f t="shared" si="23"/>
        <v>1</v>
      </c>
      <c r="Z69" s="5">
        <f t="shared" si="23"/>
        <v>1</v>
      </c>
      <c r="AA69" s="5">
        <f t="shared" si="23"/>
        <v>1</v>
      </c>
      <c r="AB69" s="5">
        <f t="shared" si="23"/>
        <v>1</v>
      </c>
      <c r="AC69" s="5">
        <f t="shared" si="23"/>
        <v>1</v>
      </c>
      <c r="AD69" s="5">
        <f t="shared" si="23"/>
        <v>1</v>
      </c>
      <c r="AE69" s="5">
        <f t="shared" si="23"/>
        <v>1</v>
      </c>
      <c r="AF69" s="5">
        <f t="shared" si="23"/>
        <v>1</v>
      </c>
      <c r="AG69" s="5">
        <f t="shared" si="23"/>
        <v>1</v>
      </c>
      <c r="AH69" s="5">
        <f t="shared" si="23"/>
        <v>1</v>
      </c>
      <c r="AI69" s="5">
        <f t="shared" si="23"/>
        <v>1</v>
      </c>
      <c r="AJ69" s="5">
        <f t="shared" si="23"/>
        <v>1</v>
      </c>
      <c r="AK69" s="5">
        <f t="shared" si="23"/>
        <v>1</v>
      </c>
      <c r="AL69" s="5">
        <f t="shared" si="27"/>
        <v>1</v>
      </c>
      <c r="AM69" s="5">
        <f t="shared" si="27"/>
        <v>1</v>
      </c>
      <c r="AN69" s="5">
        <f t="shared" si="27"/>
        <v>1</v>
      </c>
      <c r="AO69" s="5">
        <f t="shared" si="27"/>
        <v>1</v>
      </c>
      <c r="AP69" s="5">
        <f t="shared" si="27"/>
        <v>1</v>
      </c>
      <c r="AQ69" s="5">
        <f t="shared" si="27"/>
        <v>1</v>
      </c>
      <c r="AR69" s="5">
        <f t="shared" si="27"/>
        <v>1</v>
      </c>
      <c r="AS69" s="5">
        <f t="shared" si="27"/>
        <v>1</v>
      </c>
      <c r="AT69" s="5">
        <f t="shared" si="27"/>
        <v>1</v>
      </c>
      <c r="AU69" s="5">
        <f t="shared" si="27"/>
        <v>1</v>
      </c>
      <c r="AV69" s="5">
        <f t="shared" si="27"/>
        <v>1</v>
      </c>
      <c r="AW69" s="5">
        <f t="shared" si="27"/>
        <v>1</v>
      </c>
      <c r="AX69" s="5">
        <f t="shared" si="27"/>
        <v>1</v>
      </c>
      <c r="AY69" s="5">
        <f t="shared" si="27"/>
        <v>1</v>
      </c>
      <c r="AZ69" s="5">
        <f t="shared" si="27"/>
        <v>1</v>
      </c>
      <c r="BA69" s="5">
        <f t="shared" si="27"/>
        <v>1</v>
      </c>
      <c r="BB69" s="5">
        <f>ROUNDDOWN(ROUND((12*IF((DATE(BB$1,12,31))&lt;$C69,0,IF(YEAR($C69)=BB$1,(DATE(((BB$1)+1),1,1)-$C69)/365.25,IF(BB$1=YEAR($D69),($D69-(DATE(((BB$1)-1),12,31)))/365.25,IF(YEAR($D69)&lt;BB$1,0,1))))),1),0)/12</f>
        <v>1</v>
      </c>
      <c r="BC69" s="5">
        <f>ROUNDDOWN(ROUND((12*IF((DATE(BC$1,12,31))&lt;$C69,0,IF(YEAR($C69)=BC$1,(DATE(((BC$1)+1),1,1)-$C69)/365.25,IF(BC$1=YEAR($D69),($D69-(DATE(((BC$1)-1),12,31)))/365.25,IF(YEAR($D69)&lt;BC$1,0,1))))),1),0)/12</f>
        <v>1</v>
      </c>
    </row>
    <row r="70" spans="1:55" x14ac:dyDescent="0.25">
      <c r="A70" s="132">
        <v>600</v>
      </c>
      <c r="B70" s="133">
        <v>524</v>
      </c>
      <c r="C70" s="134">
        <v>31491</v>
      </c>
      <c r="D70" s="161">
        <v>44348</v>
      </c>
      <c r="G70" s="5">
        <f t="shared" si="25"/>
        <v>0</v>
      </c>
      <c r="H70" s="5">
        <f t="shared" si="25"/>
        <v>0</v>
      </c>
      <c r="I70" s="5">
        <f t="shared" si="25"/>
        <v>0</v>
      </c>
      <c r="J70" s="5">
        <f t="shared" si="25"/>
        <v>0</v>
      </c>
      <c r="K70" s="5">
        <f t="shared" si="25"/>
        <v>0</v>
      </c>
      <c r="L70" s="5">
        <f t="shared" si="25"/>
        <v>0</v>
      </c>
      <c r="M70" s="5">
        <f t="shared" si="25"/>
        <v>0</v>
      </c>
      <c r="N70" s="5">
        <f t="shared" si="25"/>
        <v>0</v>
      </c>
      <c r="O70" s="5">
        <f t="shared" si="25"/>
        <v>0</v>
      </c>
      <c r="P70" s="5">
        <f t="shared" si="25"/>
        <v>0.75</v>
      </c>
      <c r="Q70" s="5">
        <f t="shared" si="25"/>
        <v>1</v>
      </c>
      <c r="R70" s="5">
        <f t="shared" si="25"/>
        <v>1</v>
      </c>
      <c r="S70" s="5">
        <f t="shared" si="25"/>
        <v>1</v>
      </c>
      <c r="T70" s="5">
        <f t="shared" si="25"/>
        <v>1</v>
      </c>
      <c r="U70" s="5">
        <f t="shared" si="25"/>
        <v>1</v>
      </c>
      <c r="V70" s="5">
        <f t="shared" si="25"/>
        <v>1</v>
      </c>
      <c r="W70" s="5">
        <f t="shared" si="23"/>
        <v>1</v>
      </c>
      <c r="X70" s="5">
        <f t="shared" si="23"/>
        <v>1</v>
      </c>
      <c r="Y70" s="5">
        <f t="shared" si="23"/>
        <v>1</v>
      </c>
      <c r="Z70" s="5">
        <f t="shared" si="23"/>
        <v>1</v>
      </c>
      <c r="AA70" s="5">
        <f t="shared" si="23"/>
        <v>1</v>
      </c>
      <c r="AB70" s="5">
        <f t="shared" si="23"/>
        <v>1</v>
      </c>
      <c r="AC70" s="5">
        <f t="shared" si="23"/>
        <v>1</v>
      </c>
      <c r="AD70" s="5">
        <f t="shared" si="23"/>
        <v>1</v>
      </c>
      <c r="AE70" s="5">
        <f t="shared" si="23"/>
        <v>1</v>
      </c>
      <c r="AF70" s="5">
        <f t="shared" si="23"/>
        <v>1</v>
      </c>
      <c r="AG70" s="5">
        <f t="shared" si="23"/>
        <v>1</v>
      </c>
      <c r="AH70" s="5">
        <f t="shared" si="23"/>
        <v>1</v>
      </c>
      <c r="AI70" s="5">
        <f t="shared" si="23"/>
        <v>1</v>
      </c>
      <c r="AJ70" s="5">
        <f t="shared" si="23"/>
        <v>1</v>
      </c>
      <c r="AK70" s="5">
        <f t="shared" si="23"/>
        <v>1</v>
      </c>
      <c r="AL70" s="5">
        <f t="shared" si="27"/>
        <v>1</v>
      </c>
      <c r="AM70" s="5">
        <f t="shared" si="27"/>
        <v>1</v>
      </c>
      <c r="AN70" s="5">
        <f t="shared" si="27"/>
        <v>1</v>
      </c>
      <c r="AO70" s="5">
        <f t="shared" si="27"/>
        <v>1</v>
      </c>
      <c r="AP70" s="5">
        <f t="shared" si="27"/>
        <v>1</v>
      </c>
      <c r="AQ70" s="5">
        <f t="shared" si="27"/>
        <v>1</v>
      </c>
      <c r="AR70" s="5">
        <f t="shared" si="27"/>
        <v>1</v>
      </c>
      <c r="AS70" s="5">
        <f t="shared" si="27"/>
        <v>1</v>
      </c>
      <c r="AT70" s="5">
        <f t="shared" si="27"/>
        <v>1</v>
      </c>
      <c r="AU70" s="5">
        <f t="shared" si="27"/>
        <v>1</v>
      </c>
      <c r="AV70" s="5">
        <f t="shared" si="27"/>
        <v>1</v>
      </c>
      <c r="AW70" s="5">
        <f t="shared" si="27"/>
        <v>1</v>
      </c>
      <c r="AX70" s="5">
        <f t="shared" si="27"/>
        <v>1</v>
      </c>
      <c r="AY70" s="5">
        <f t="shared" si="27"/>
        <v>0.41666666666666669</v>
      </c>
      <c r="AZ70" s="5">
        <f t="shared" si="27"/>
        <v>0</v>
      </c>
      <c r="BA70" s="5">
        <f t="shared" si="27"/>
        <v>0</v>
      </c>
      <c r="BB70" s="5">
        <f>ROUNDDOWN(ROUND((12*IF((DATE(BB$1,12,31))&lt;$C70,0,IF(YEAR($C70)=BB$1,(DATE(((BB$1)+1),1,1)-$C70)/365.25,IF(BB$1=YEAR($D70),($D70-(DATE(((BB$1)-1),12,31)))/365.25,IF(YEAR($D70)&lt;BB$1,0,1))))),1),0)/12</f>
        <v>0</v>
      </c>
      <c r="BC70" s="5">
        <f>ROUNDDOWN(ROUND((12*IF((DATE(BC$1,12,31))&lt;$C70,0,IF(YEAR($C70)=BC$1,(DATE(((BC$1)+1),1,1)-$C70)/365.25,IF(BC$1=YEAR($D70),($D70-(DATE(((BC$1)-1),12,31)))/365.25,IF(YEAR($D70)&lt;BC$1,0,1))))),1),0)/12</f>
        <v>0</v>
      </c>
    </row>
    <row r="71" spans="1:55" x14ac:dyDescent="0.25">
      <c r="A71" s="132">
        <v>600</v>
      </c>
      <c r="B71" s="133">
        <v>514</v>
      </c>
      <c r="C71" s="134">
        <v>31188</v>
      </c>
      <c r="D71" s="161">
        <v>46753</v>
      </c>
      <c r="G71" s="5">
        <f t="shared" si="25"/>
        <v>0</v>
      </c>
      <c r="H71" s="5">
        <f t="shared" si="25"/>
        <v>0</v>
      </c>
      <c r="I71" s="5">
        <f t="shared" si="25"/>
        <v>0</v>
      </c>
      <c r="J71" s="5">
        <f t="shared" si="25"/>
        <v>0</v>
      </c>
      <c r="K71" s="5">
        <f t="shared" si="25"/>
        <v>0</v>
      </c>
      <c r="L71" s="5">
        <f t="shared" si="25"/>
        <v>0</v>
      </c>
      <c r="M71" s="5">
        <f t="shared" si="25"/>
        <v>0</v>
      </c>
      <c r="N71" s="5">
        <f t="shared" si="25"/>
        <v>0</v>
      </c>
      <c r="O71" s="5">
        <f t="shared" si="25"/>
        <v>0.58333333333333337</v>
      </c>
      <c r="P71" s="5">
        <f t="shared" si="25"/>
        <v>1</v>
      </c>
      <c r="Q71" s="5">
        <f t="shared" si="25"/>
        <v>1</v>
      </c>
      <c r="R71" s="5">
        <f t="shared" si="25"/>
        <v>1</v>
      </c>
      <c r="S71" s="5">
        <f t="shared" si="25"/>
        <v>1</v>
      </c>
      <c r="T71" s="5">
        <f t="shared" si="25"/>
        <v>1</v>
      </c>
      <c r="U71" s="5">
        <f t="shared" si="25"/>
        <v>1</v>
      </c>
      <c r="V71" s="5">
        <f t="shared" si="25"/>
        <v>1</v>
      </c>
      <c r="W71" s="5">
        <f t="shared" si="23"/>
        <v>1</v>
      </c>
      <c r="X71" s="5">
        <f t="shared" si="23"/>
        <v>1</v>
      </c>
      <c r="Y71" s="5">
        <f t="shared" si="23"/>
        <v>1</v>
      </c>
      <c r="Z71" s="5">
        <f t="shared" si="23"/>
        <v>1</v>
      </c>
      <c r="AA71" s="5">
        <f t="shared" si="23"/>
        <v>1</v>
      </c>
      <c r="AB71" s="5">
        <f t="shared" si="23"/>
        <v>1</v>
      </c>
      <c r="AC71" s="5">
        <f t="shared" si="23"/>
        <v>1</v>
      </c>
      <c r="AD71" s="5">
        <f t="shared" si="23"/>
        <v>1</v>
      </c>
      <c r="AE71" s="5">
        <f t="shared" si="23"/>
        <v>1</v>
      </c>
      <c r="AF71" s="5">
        <f t="shared" si="23"/>
        <v>1</v>
      </c>
      <c r="AG71" s="5">
        <f t="shared" si="23"/>
        <v>1</v>
      </c>
      <c r="AH71" s="5">
        <f t="shared" si="23"/>
        <v>1</v>
      </c>
      <c r="AI71" s="5">
        <f t="shared" si="23"/>
        <v>1</v>
      </c>
      <c r="AJ71" s="5">
        <f t="shared" si="23"/>
        <v>1</v>
      </c>
      <c r="AK71" s="5">
        <f t="shared" si="23"/>
        <v>1</v>
      </c>
      <c r="AL71" s="5">
        <f t="shared" si="27"/>
        <v>1</v>
      </c>
      <c r="AM71" s="5">
        <f t="shared" si="27"/>
        <v>1</v>
      </c>
      <c r="AN71" s="5">
        <f t="shared" si="27"/>
        <v>1</v>
      </c>
      <c r="AO71" s="5">
        <f t="shared" si="27"/>
        <v>1</v>
      </c>
      <c r="AP71" s="5">
        <f t="shared" si="27"/>
        <v>1</v>
      </c>
      <c r="AQ71" s="5">
        <f t="shared" si="27"/>
        <v>1</v>
      </c>
      <c r="AR71" s="5">
        <f t="shared" si="27"/>
        <v>1</v>
      </c>
      <c r="AS71" s="5">
        <f t="shared" si="27"/>
        <v>1</v>
      </c>
      <c r="AT71" s="5">
        <f t="shared" si="27"/>
        <v>1</v>
      </c>
      <c r="AU71" s="5">
        <f t="shared" si="27"/>
        <v>1</v>
      </c>
      <c r="AV71" s="5">
        <f t="shared" si="27"/>
        <v>1</v>
      </c>
      <c r="AW71" s="5">
        <f t="shared" si="27"/>
        <v>1</v>
      </c>
      <c r="AX71" s="5">
        <f t="shared" si="27"/>
        <v>1</v>
      </c>
      <c r="AY71" s="5">
        <f t="shared" si="27"/>
        <v>1</v>
      </c>
      <c r="AZ71" s="5">
        <f t="shared" si="27"/>
        <v>1</v>
      </c>
      <c r="BA71" s="5">
        <f t="shared" si="27"/>
        <v>1</v>
      </c>
      <c r="BB71" s="5">
        <f>ROUNDDOWN(ROUND((12*IF((DATE(BB$1,12,31))&lt;$C71,0,IF(YEAR($C71)=BB$1,(DATE(((BB$1)+1),1,1)-$C71)/365.25,IF(BB$1=YEAR($D71),($D71-(DATE(((BB$1)-1),12,31)))/365.25,IF(YEAR($D71)&lt;BB$1,0,1))))),1),0)/12</f>
        <v>1</v>
      </c>
      <c r="BC71" s="5">
        <f>ROUNDDOWN(ROUND((12*IF((DATE(BC$1,12,31))&lt;$C71,0,IF(YEAR($C71)=BC$1,(DATE(((BC$1)+1),1,1)-$C71)/365.25,IF(BC$1=YEAR($D71),($D71-(DATE(((BC$1)-1),12,31)))/365.25,IF(YEAR($D71)&lt;BC$1,0,1))))),1),0)/12</f>
        <v>1</v>
      </c>
    </row>
    <row r="72" spans="1:55" x14ac:dyDescent="0.25">
      <c r="A72" s="132">
        <v>600</v>
      </c>
      <c r="B72" s="133">
        <v>498</v>
      </c>
      <c r="C72" s="134">
        <v>30984</v>
      </c>
      <c r="D72" s="161">
        <v>46478</v>
      </c>
      <c r="G72" s="5">
        <f t="shared" si="25"/>
        <v>0</v>
      </c>
      <c r="H72" s="5">
        <f t="shared" si="25"/>
        <v>0</v>
      </c>
      <c r="I72" s="5">
        <f t="shared" si="25"/>
        <v>0</v>
      </c>
      <c r="J72" s="5">
        <f t="shared" si="25"/>
        <v>0</v>
      </c>
      <c r="K72" s="5">
        <f t="shared" si="25"/>
        <v>0</v>
      </c>
      <c r="L72" s="5">
        <f t="shared" si="25"/>
        <v>0</v>
      </c>
      <c r="M72" s="5">
        <f t="shared" si="25"/>
        <v>0</v>
      </c>
      <c r="N72" s="5">
        <f t="shared" si="25"/>
        <v>0.16666666666666666</v>
      </c>
      <c r="O72" s="5">
        <f t="shared" si="25"/>
        <v>1</v>
      </c>
      <c r="P72" s="5">
        <f t="shared" si="25"/>
        <v>1</v>
      </c>
      <c r="Q72" s="5">
        <f t="shared" si="25"/>
        <v>1</v>
      </c>
      <c r="R72" s="5">
        <f t="shared" si="25"/>
        <v>1</v>
      </c>
      <c r="S72" s="5">
        <f t="shared" si="25"/>
        <v>1</v>
      </c>
      <c r="T72" s="5">
        <f t="shared" si="25"/>
        <v>1</v>
      </c>
      <c r="U72" s="5">
        <f t="shared" si="25"/>
        <v>1</v>
      </c>
      <c r="V72" s="5">
        <f t="shared" si="25"/>
        <v>1</v>
      </c>
      <c r="W72" s="5">
        <f t="shared" si="23"/>
        <v>1</v>
      </c>
      <c r="X72" s="5">
        <f t="shared" si="23"/>
        <v>1</v>
      </c>
      <c r="Y72" s="5">
        <f t="shared" si="23"/>
        <v>1</v>
      </c>
      <c r="Z72" s="5">
        <f t="shared" si="23"/>
        <v>1</v>
      </c>
      <c r="AA72" s="5">
        <f t="shared" si="23"/>
        <v>1</v>
      </c>
      <c r="AB72" s="5">
        <f t="shared" si="23"/>
        <v>1</v>
      </c>
      <c r="AC72" s="5">
        <f t="shared" si="23"/>
        <v>1</v>
      </c>
      <c r="AD72" s="5">
        <f t="shared" si="23"/>
        <v>1</v>
      </c>
      <c r="AE72" s="5">
        <f t="shared" si="23"/>
        <v>1</v>
      </c>
      <c r="AF72" s="5">
        <f t="shared" si="23"/>
        <v>1</v>
      </c>
      <c r="AG72" s="5">
        <f t="shared" si="23"/>
        <v>1</v>
      </c>
      <c r="AH72" s="5">
        <f t="shared" si="23"/>
        <v>1</v>
      </c>
      <c r="AI72" s="5">
        <f t="shared" si="23"/>
        <v>1</v>
      </c>
      <c r="AJ72" s="5">
        <f t="shared" si="23"/>
        <v>1</v>
      </c>
      <c r="AK72" s="5">
        <f t="shared" si="23"/>
        <v>1</v>
      </c>
      <c r="AL72" s="5">
        <f t="shared" si="27"/>
        <v>1</v>
      </c>
      <c r="AM72" s="5">
        <f t="shared" si="27"/>
        <v>1</v>
      </c>
      <c r="AN72" s="5">
        <f t="shared" si="27"/>
        <v>1</v>
      </c>
      <c r="AO72" s="5">
        <f t="shared" si="27"/>
        <v>1</v>
      </c>
      <c r="AP72" s="5">
        <f t="shared" si="27"/>
        <v>1</v>
      </c>
      <c r="AQ72" s="5">
        <f t="shared" si="27"/>
        <v>1</v>
      </c>
      <c r="AR72" s="5">
        <f t="shared" si="27"/>
        <v>1</v>
      </c>
      <c r="AS72" s="5">
        <f t="shared" si="27"/>
        <v>1</v>
      </c>
      <c r="AT72" s="5">
        <f t="shared" si="27"/>
        <v>1</v>
      </c>
      <c r="AU72" s="5">
        <f t="shared" si="27"/>
        <v>1</v>
      </c>
      <c r="AV72" s="5">
        <f t="shared" si="27"/>
        <v>1</v>
      </c>
      <c r="AW72" s="5">
        <f t="shared" si="27"/>
        <v>1</v>
      </c>
      <c r="AX72" s="5">
        <f t="shared" si="27"/>
        <v>1</v>
      </c>
      <c r="AY72" s="5">
        <f t="shared" si="27"/>
        <v>1</v>
      </c>
      <c r="AZ72" s="5">
        <f t="shared" si="27"/>
        <v>1</v>
      </c>
      <c r="BA72" s="5">
        <f t="shared" si="27"/>
        <v>1</v>
      </c>
      <c r="BB72" s="5">
        <f>ROUNDDOWN(ROUND((12*IF((DATE(BB$1,12,31))&lt;$C72,0,IF(YEAR($C72)=BB$1,(DATE(((BB$1)+1),1,1)-$C72)/365.25,IF(BB$1=YEAR($D72),($D72-(DATE(((BB$1)-1),12,31)))/365.25,IF(YEAR($D72)&lt;BB$1,0,1))))),1),0)/12</f>
        <v>1</v>
      </c>
      <c r="BC72" s="5">
        <f>ROUNDDOWN(ROUND((12*IF((DATE(BC$1,12,31))&lt;$C72,0,IF(YEAR($C72)=BC$1,(DATE(((BC$1)+1),1,1)-$C72)/365.25,IF(BC$1=YEAR($D72),($D72-(DATE(((BC$1)-1),12,31)))/365.25,IF(YEAR($D72)&lt;BC$1,0,1))))),1),0)/12</f>
        <v>1</v>
      </c>
    </row>
    <row r="73" spans="1:55" x14ac:dyDescent="0.25">
      <c r="A73" s="132">
        <v>600</v>
      </c>
      <c r="B73" s="133">
        <v>482</v>
      </c>
      <c r="C73" s="134">
        <v>30819</v>
      </c>
      <c r="D73" s="161">
        <v>45717</v>
      </c>
      <c r="G73" s="5">
        <f t="shared" si="25"/>
        <v>0</v>
      </c>
      <c r="H73" s="5">
        <f t="shared" si="25"/>
        <v>0</v>
      </c>
      <c r="I73" s="5">
        <f t="shared" si="25"/>
        <v>0</v>
      </c>
      <c r="J73" s="5">
        <f t="shared" si="25"/>
        <v>0</v>
      </c>
      <c r="K73" s="5">
        <f t="shared" si="25"/>
        <v>0</v>
      </c>
      <c r="L73" s="5">
        <f t="shared" si="25"/>
        <v>0</v>
      </c>
      <c r="M73" s="5">
        <f t="shared" si="25"/>
        <v>0</v>
      </c>
      <c r="N73" s="5">
        <f t="shared" si="25"/>
        <v>0.58333333333333337</v>
      </c>
      <c r="O73" s="5">
        <f t="shared" si="25"/>
        <v>1</v>
      </c>
      <c r="P73" s="5">
        <f t="shared" si="25"/>
        <v>1</v>
      </c>
      <c r="Q73" s="5">
        <f t="shared" si="25"/>
        <v>1</v>
      </c>
      <c r="R73" s="5">
        <f t="shared" si="25"/>
        <v>1</v>
      </c>
      <c r="S73" s="5">
        <f t="shared" si="25"/>
        <v>1</v>
      </c>
      <c r="T73" s="5">
        <f t="shared" si="25"/>
        <v>1</v>
      </c>
      <c r="U73" s="5">
        <f t="shared" si="25"/>
        <v>1</v>
      </c>
      <c r="V73" s="5">
        <f t="shared" ref="V73:AK80" si="28">ROUNDDOWN(ROUND((12*IF((DATE(V$1,12,31))&lt;$C73,0,IF(YEAR($C73)=V$1,(DATE(((V$1)+1),1,1)-$C73)/365.25,IF(V$1=YEAR($D73),($D73-(DATE(((V$1)-1),12,31)))/365.25,IF(YEAR($D73)&lt;V$1,0,1))))),1),0)/12</f>
        <v>1</v>
      </c>
      <c r="W73" s="5">
        <f t="shared" si="28"/>
        <v>1</v>
      </c>
      <c r="X73" s="5">
        <f t="shared" si="28"/>
        <v>1</v>
      </c>
      <c r="Y73" s="5">
        <f t="shared" si="28"/>
        <v>1</v>
      </c>
      <c r="Z73" s="5">
        <f t="shared" si="28"/>
        <v>1</v>
      </c>
      <c r="AA73" s="5">
        <f t="shared" si="28"/>
        <v>1</v>
      </c>
      <c r="AB73" s="5">
        <f t="shared" si="28"/>
        <v>1</v>
      </c>
      <c r="AC73" s="5">
        <f t="shared" si="28"/>
        <v>1</v>
      </c>
      <c r="AD73" s="5">
        <f t="shared" si="28"/>
        <v>1</v>
      </c>
      <c r="AE73" s="5">
        <f t="shared" si="28"/>
        <v>1</v>
      </c>
      <c r="AF73" s="5">
        <f t="shared" si="28"/>
        <v>1</v>
      </c>
      <c r="AG73" s="5">
        <f t="shared" si="28"/>
        <v>1</v>
      </c>
      <c r="AH73" s="5">
        <f t="shared" si="28"/>
        <v>1</v>
      </c>
      <c r="AI73" s="5">
        <f t="shared" si="28"/>
        <v>1</v>
      </c>
      <c r="AJ73" s="5">
        <f t="shared" si="28"/>
        <v>1</v>
      </c>
      <c r="AK73" s="5">
        <f t="shared" si="28"/>
        <v>1</v>
      </c>
      <c r="AL73" s="5">
        <f t="shared" si="27"/>
        <v>1</v>
      </c>
      <c r="AM73" s="5">
        <f t="shared" si="27"/>
        <v>1</v>
      </c>
      <c r="AN73" s="5">
        <f t="shared" si="27"/>
        <v>1</v>
      </c>
      <c r="AO73" s="5">
        <f t="shared" si="27"/>
        <v>1</v>
      </c>
      <c r="AP73" s="5">
        <f t="shared" si="27"/>
        <v>1</v>
      </c>
      <c r="AQ73" s="5">
        <f t="shared" si="27"/>
        <v>1</v>
      </c>
      <c r="AR73" s="5">
        <f t="shared" si="27"/>
        <v>1</v>
      </c>
      <c r="AS73" s="5">
        <f t="shared" si="27"/>
        <v>1</v>
      </c>
      <c r="AT73" s="5">
        <f t="shared" si="27"/>
        <v>1</v>
      </c>
      <c r="AU73" s="5">
        <f t="shared" si="27"/>
        <v>1</v>
      </c>
      <c r="AV73" s="5">
        <f t="shared" si="27"/>
        <v>1</v>
      </c>
      <c r="AW73" s="5">
        <f t="shared" si="27"/>
        <v>1</v>
      </c>
      <c r="AX73" s="5">
        <f t="shared" si="27"/>
        <v>1</v>
      </c>
      <c r="AY73" s="5">
        <f t="shared" si="27"/>
        <v>1</v>
      </c>
      <c r="AZ73" s="5">
        <f t="shared" si="27"/>
        <v>1</v>
      </c>
      <c r="BA73" s="5">
        <f t="shared" si="27"/>
        <v>1</v>
      </c>
      <c r="BB73" s="5">
        <f>ROUNDDOWN(ROUND((12*IF((DATE(BB$1,12,31))&lt;$C73,0,IF(YEAR($C73)=BB$1,(DATE(((BB$1)+1),1,1)-$C73)/365.25,IF(BB$1=YEAR($D73),($D73-(DATE(((BB$1)-1),12,31)))/365.25,IF(YEAR($D73)&lt;BB$1,0,1))))),1),0)/12</f>
        <v>1</v>
      </c>
      <c r="BC73" s="5">
        <f>ROUNDDOWN(ROUND((12*IF((DATE(BC$1,12,31))&lt;$C73,0,IF(YEAR($C73)=BC$1,(DATE(((BC$1)+1),1,1)-$C73)/365.25,IF(BC$1=YEAR($D73),($D73-(DATE(((BC$1)-1),12,31)))/365.25,IF(YEAR($D73)&lt;BC$1,0,1))))),1),0)/12</f>
        <v>0.16666666666666666</v>
      </c>
    </row>
    <row r="74" spans="1:55" x14ac:dyDescent="0.25">
      <c r="A74" s="132">
        <v>600</v>
      </c>
      <c r="B74" s="133">
        <v>481</v>
      </c>
      <c r="C74" s="134">
        <v>30816</v>
      </c>
      <c r="D74" s="161">
        <v>44440</v>
      </c>
      <c r="G74" s="5">
        <f t="shared" ref="G74:V80" si="29">ROUNDDOWN(ROUND((12*IF((DATE(G$1,12,31))&lt;$C74,0,IF(YEAR($C74)=G$1,(DATE(((G$1)+1),1,1)-$C74)/365.25,IF(G$1=YEAR($D74),($D74-(DATE(((G$1)-1),12,31)))/365.25,IF(YEAR($D74)&lt;G$1,0,1))))),1),0)/12</f>
        <v>0</v>
      </c>
      <c r="H74" s="5">
        <f t="shared" si="29"/>
        <v>0</v>
      </c>
      <c r="I74" s="5">
        <f t="shared" si="29"/>
        <v>0</v>
      </c>
      <c r="J74" s="5">
        <f t="shared" si="29"/>
        <v>0</v>
      </c>
      <c r="K74" s="5">
        <f t="shared" si="29"/>
        <v>0</v>
      </c>
      <c r="L74" s="5">
        <f t="shared" si="29"/>
        <v>0</v>
      </c>
      <c r="M74" s="5">
        <f t="shared" si="29"/>
        <v>0</v>
      </c>
      <c r="N74" s="5">
        <f t="shared" si="29"/>
        <v>0.58333333333333337</v>
      </c>
      <c r="O74" s="5">
        <f t="shared" si="29"/>
        <v>1</v>
      </c>
      <c r="P74" s="5">
        <f t="shared" si="29"/>
        <v>1</v>
      </c>
      <c r="Q74" s="5">
        <f t="shared" si="29"/>
        <v>1</v>
      </c>
      <c r="R74" s="5">
        <f t="shared" si="29"/>
        <v>1</v>
      </c>
      <c r="S74" s="5">
        <f t="shared" si="29"/>
        <v>1</v>
      </c>
      <c r="T74" s="5">
        <f t="shared" si="29"/>
        <v>1</v>
      </c>
      <c r="U74" s="5">
        <f t="shared" si="29"/>
        <v>1</v>
      </c>
      <c r="V74" s="5">
        <f t="shared" si="29"/>
        <v>1</v>
      </c>
      <c r="W74" s="5">
        <f t="shared" si="28"/>
        <v>1</v>
      </c>
      <c r="X74" s="5">
        <f t="shared" si="28"/>
        <v>1</v>
      </c>
      <c r="Y74" s="5">
        <f t="shared" si="28"/>
        <v>1</v>
      </c>
      <c r="Z74" s="5">
        <f t="shared" si="28"/>
        <v>1</v>
      </c>
      <c r="AA74" s="5">
        <f t="shared" si="28"/>
        <v>1</v>
      </c>
      <c r="AB74" s="5">
        <f t="shared" si="28"/>
        <v>1</v>
      </c>
      <c r="AC74" s="5">
        <f t="shared" si="28"/>
        <v>1</v>
      </c>
      <c r="AD74" s="5">
        <f t="shared" si="28"/>
        <v>1</v>
      </c>
      <c r="AE74" s="5">
        <f t="shared" si="28"/>
        <v>1</v>
      </c>
      <c r="AF74" s="5">
        <f t="shared" si="28"/>
        <v>1</v>
      </c>
      <c r="AG74" s="5">
        <f t="shared" si="28"/>
        <v>1</v>
      </c>
      <c r="AH74" s="5">
        <f t="shared" si="28"/>
        <v>1</v>
      </c>
      <c r="AI74" s="5">
        <f t="shared" si="28"/>
        <v>1</v>
      </c>
      <c r="AJ74" s="5">
        <f t="shared" si="28"/>
        <v>1</v>
      </c>
      <c r="AK74" s="5">
        <f t="shared" si="28"/>
        <v>1</v>
      </c>
      <c r="AL74" s="5">
        <f t="shared" si="27"/>
        <v>1</v>
      </c>
      <c r="AM74" s="5">
        <f t="shared" si="27"/>
        <v>1</v>
      </c>
      <c r="AN74" s="5">
        <f t="shared" si="27"/>
        <v>1</v>
      </c>
      <c r="AO74" s="5">
        <f t="shared" si="27"/>
        <v>1</v>
      </c>
      <c r="AP74" s="5">
        <f t="shared" si="27"/>
        <v>1</v>
      </c>
      <c r="AQ74" s="5">
        <f t="shared" si="27"/>
        <v>1</v>
      </c>
      <c r="AR74" s="5">
        <f t="shared" si="27"/>
        <v>1</v>
      </c>
      <c r="AS74" s="5">
        <f t="shared" si="27"/>
        <v>1</v>
      </c>
      <c r="AT74" s="5">
        <f t="shared" si="27"/>
        <v>1</v>
      </c>
      <c r="AU74" s="5">
        <f t="shared" si="27"/>
        <v>1</v>
      </c>
      <c r="AV74" s="5">
        <f t="shared" si="27"/>
        <v>1</v>
      </c>
      <c r="AW74" s="5">
        <f t="shared" si="27"/>
        <v>1</v>
      </c>
      <c r="AX74" s="5">
        <f t="shared" si="27"/>
        <v>1</v>
      </c>
      <c r="AY74" s="5">
        <f t="shared" si="27"/>
        <v>0.66666666666666663</v>
      </c>
      <c r="AZ74" s="5">
        <f t="shared" si="27"/>
        <v>0</v>
      </c>
      <c r="BA74" s="5">
        <f t="shared" si="27"/>
        <v>0</v>
      </c>
      <c r="BB74" s="5">
        <f>ROUNDDOWN(ROUND((12*IF((DATE(BB$1,12,31))&lt;$C74,0,IF(YEAR($C74)=BB$1,(DATE(((BB$1)+1),1,1)-$C74)/365.25,IF(BB$1=YEAR($D74),($D74-(DATE(((BB$1)-1),12,31)))/365.25,IF(YEAR($D74)&lt;BB$1,0,1))))),1),0)/12</f>
        <v>0</v>
      </c>
      <c r="BC74" s="5">
        <f>ROUNDDOWN(ROUND((12*IF((DATE(BC$1,12,31))&lt;$C74,0,IF(YEAR($C74)=BC$1,(DATE(((BC$1)+1),1,1)-$C74)/365.25,IF(BC$1=YEAR($D74),($D74-(DATE(((BC$1)-1),12,31)))/365.25,IF(YEAR($D74)&lt;BC$1,0,1))))),1),0)/12</f>
        <v>0</v>
      </c>
    </row>
    <row r="75" spans="1:55" x14ac:dyDescent="0.25">
      <c r="A75" s="132">
        <v>600</v>
      </c>
      <c r="B75" s="133">
        <v>474</v>
      </c>
      <c r="C75" s="134">
        <v>30684</v>
      </c>
      <c r="D75" s="161">
        <v>46539</v>
      </c>
      <c r="G75" s="5">
        <f t="shared" si="29"/>
        <v>0</v>
      </c>
      <c r="H75" s="5">
        <f t="shared" si="29"/>
        <v>0</v>
      </c>
      <c r="I75" s="5">
        <f t="shared" si="29"/>
        <v>0</v>
      </c>
      <c r="J75" s="5">
        <f t="shared" si="29"/>
        <v>0</v>
      </c>
      <c r="K75" s="5">
        <f t="shared" si="29"/>
        <v>0</v>
      </c>
      <c r="L75" s="5">
        <f t="shared" si="29"/>
        <v>0</v>
      </c>
      <c r="M75" s="5">
        <f t="shared" si="29"/>
        <v>0</v>
      </c>
      <c r="N75" s="5">
        <f t="shared" si="29"/>
        <v>1</v>
      </c>
      <c r="O75" s="5">
        <f t="shared" si="29"/>
        <v>1</v>
      </c>
      <c r="P75" s="5">
        <f t="shared" si="29"/>
        <v>1</v>
      </c>
      <c r="Q75" s="5">
        <f t="shared" si="29"/>
        <v>1</v>
      </c>
      <c r="R75" s="5">
        <f t="shared" si="29"/>
        <v>1</v>
      </c>
      <c r="S75" s="5">
        <f t="shared" si="29"/>
        <v>1</v>
      </c>
      <c r="T75" s="5">
        <f t="shared" si="29"/>
        <v>1</v>
      </c>
      <c r="U75" s="5">
        <f t="shared" si="29"/>
        <v>1</v>
      </c>
      <c r="V75" s="5">
        <f t="shared" si="29"/>
        <v>1</v>
      </c>
      <c r="W75" s="5">
        <f t="shared" si="28"/>
        <v>1</v>
      </c>
      <c r="X75" s="5">
        <f t="shared" si="28"/>
        <v>1</v>
      </c>
      <c r="Y75" s="5">
        <f t="shared" si="28"/>
        <v>1</v>
      </c>
      <c r="Z75" s="5">
        <f t="shared" si="28"/>
        <v>1</v>
      </c>
      <c r="AA75" s="5">
        <f t="shared" si="28"/>
        <v>1</v>
      </c>
      <c r="AB75" s="5">
        <f t="shared" si="28"/>
        <v>1</v>
      </c>
      <c r="AC75" s="5">
        <f t="shared" si="28"/>
        <v>1</v>
      </c>
      <c r="AD75" s="5">
        <f t="shared" si="28"/>
        <v>1</v>
      </c>
      <c r="AE75" s="5">
        <f t="shared" si="28"/>
        <v>1</v>
      </c>
      <c r="AF75" s="5">
        <f t="shared" si="28"/>
        <v>1</v>
      </c>
      <c r="AG75" s="5">
        <f t="shared" si="28"/>
        <v>1</v>
      </c>
      <c r="AH75" s="5">
        <f t="shared" si="28"/>
        <v>1</v>
      </c>
      <c r="AI75" s="5">
        <f t="shared" si="28"/>
        <v>1</v>
      </c>
      <c r="AJ75" s="5">
        <f t="shared" si="28"/>
        <v>1</v>
      </c>
      <c r="AK75" s="5">
        <f t="shared" si="28"/>
        <v>1</v>
      </c>
      <c r="AL75" s="5">
        <f t="shared" si="27"/>
        <v>1</v>
      </c>
      <c r="AM75" s="5">
        <f t="shared" si="27"/>
        <v>1</v>
      </c>
      <c r="AN75" s="5">
        <f t="shared" si="27"/>
        <v>1</v>
      </c>
      <c r="AO75" s="5">
        <f t="shared" si="27"/>
        <v>1</v>
      </c>
      <c r="AP75" s="5">
        <f t="shared" si="27"/>
        <v>1</v>
      </c>
      <c r="AQ75" s="5">
        <f t="shared" si="27"/>
        <v>1</v>
      </c>
      <c r="AR75" s="5">
        <f t="shared" si="27"/>
        <v>1</v>
      </c>
      <c r="AS75" s="5">
        <f t="shared" si="27"/>
        <v>1</v>
      </c>
      <c r="AT75" s="5">
        <f t="shared" si="27"/>
        <v>1</v>
      </c>
      <c r="AU75" s="5">
        <f t="shared" si="27"/>
        <v>1</v>
      </c>
      <c r="AV75" s="5">
        <f t="shared" si="27"/>
        <v>1</v>
      </c>
      <c r="AW75" s="5">
        <f t="shared" si="27"/>
        <v>1</v>
      </c>
      <c r="AX75" s="5">
        <f t="shared" si="27"/>
        <v>1</v>
      </c>
      <c r="AY75" s="5">
        <f t="shared" si="27"/>
        <v>1</v>
      </c>
      <c r="AZ75" s="5">
        <f t="shared" si="27"/>
        <v>1</v>
      </c>
      <c r="BA75" s="5">
        <f t="shared" si="27"/>
        <v>1</v>
      </c>
      <c r="BB75" s="5">
        <f>ROUNDDOWN(ROUND((12*IF((DATE(BB$1,12,31))&lt;$C75,0,IF(YEAR($C75)=BB$1,(DATE(((BB$1)+1),1,1)-$C75)/365.25,IF(BB$1=YEAR($D75),($D75-(DATE(((BB$1)-1),12,31)))/365.25,IF(YEAR($D75)&lt;BB$1,0,1))))),1),0)/12</f>
        <v>1</v>
      </c>
      <c r="BC75" s="5">
        <f>ROUNDDOWN(ROUND((12*IF((DATE(BC$1,12,31))&lt;$C75,0,IF(YEAR($C75)=BC$1,(DATE(((BC$1)+1),1,1)-$C75)/365.25,IF(BC$1=YEAR($D75),($D75-(DATE(((BC$1)-1),12,31)))/365.25,IF(YEAR($D75)&lt;BC$1,0,1))))),1),0)/12</f>
        <v>1</v>
      </c>
    </row>
    <row r="76" spans="1:55" x14ac:dyDescent="0.25">
      <c r="A76" s="132">
        <v>600</v>
      </c>
      <c r="B76" s="133">
        <v>452</v>
      </c>
      <c r="C76" s="134">
        <v>30187</v>
      </c>
      <c r="D76" s="161">
        <v>44743</v>
      </c>
      <c r="G76" s="5">
        <f t="shared" si="29"/>
        <v>0</v>
      </c>
      <c r="H76" s="5">
        <f t="shared" si="29"/>
        <v>0</v>
      </c>
      <c r="I76" s="5">
        <f t="shared" si="29"/>
        <v>0</v>
      </c>
      <c r="J76" s="5">
        <f t="shared" si="29"/>
        <v>0</v>
      </c>
      <c r="K76" s="5">
        <f t="shared" si="29"/>
        <v>0</v>
      </c>
      <c r="L76" s="5">
        <f t="shared" si="29"/>
        <v>0.33333333333333331</v>
      </c>
      <c r="M76" s="5">
        <f t="shared" si="29"/>
        <v>1</v>
      </c>
      <c r="N76" s="5">
        <f t="shared" si="29"/>
        <v>1</v>
      </c>
      <c r="O76" s="5">
        <f t="shared" si="29"/>
        <v>1</v>
      </c>
      <c r="P76" s="5">
        <f t="shared" si="29"/>
        <v>1</v>
      </c>
      <c r="Q76" s="5">
        <f t="shared" si="29"/>
        <v>1</v>
      </c>
      <c r="R76" s="5">
        <f t="shared" si="29"/>
        <v>1</v>
      </c>
      <c r="S76" s="5">
        <f t="shared" si="29"/>
        <v>1</v>
      </c>
      <c r="T76" s="5">
        <f t="shared" si="29"/>
        <v>1</v>
      </c>
      <c r="U76" s="5">
        <f t="shared" si="29"/>
        <v>1</v>
      </c>
      <c r="V76" s="5">
        <f t="shared" si="29"/>
        <v>1</v>
      </c>
      <c r="W76" s="5">
        <f t="shared" si="28"/>
        <v>1</v>
      </c>
      <c r="X76" s="5">
        <f t="shared" si="28"/>
        <v>1</v>
      </c>
      <c r="Y76" s="5">
        <f t="shared" si="28"/>
        <v>1</v>
      </c>
      <c r="Z76" s="5">
        <f t="shared" si="28"/>
        <v>1</v>
      </c>
      <c r="AA76" s="5">
        <f t="shared" si="28"/>
        <v>1</v>
      </c>
      <c r="AB76" s="5">
        <f t="shared" si="28"/>
        <v>1</v>
      </c>
      <c r="AC76" s="5">
        <f t="shared" si="28"/>
        <v>1</v>
      </c>
      <c r="AD76" s="5">
        <f t="shared" si="28"/>
        <v>1</v>
      </c>
      <c r="AE76" s="5">
        <f t="shared" si="28"/>
        <v>1</v>
      </c>
      <c r="AF76" s="5">
        <f t="shared" si="28"/>
        <v>1</v>
      </c>
      <c r="AG76" s="5">
        <f t="shared" si="28"/>
        <v>1</v>
      </c>
      <c r="AH76" s="5">
        <f t="shared" si="28"/>
        <v>1</v>
      </c>
      <c r="AI76" s="5">
        <f t="shared" si="28"/>
        <v>1</v>
      </c>
      <c r="AJ76" s="5">
        <f t="shared" si="28"/>
        <v>1</v>
      </c>
      <c r="AK76" s="5">
        <f t="shared" si="28"/>
        <v>1</v>
      </c>
      <c r="AL76" s="5">
        <f t="shared" si="27"/>
        <v>1</v>
      </c>
      <c r="AM76" s="5">
        <f t="shared" si="27"/>
        <v>1</v>
      </c>
      <c r="AN76" s="5">
        <f t="shared" si="27"/>
        <v>1</v>
      </c>
      <c r="AO76" s="5">
        <f t="shared" si="27"/>
        <v>1</v>
      </c>
      <c r="AP76" s="5">
        <f t="shared" si="27"/>
        <v>1</v>
      </c>
      <c r="AQ76" s="5">
        <f t="shared" si="27"/>
        <v>1</v>
      </c>
      <c r="AR76" s="5">
        <f t="shared" si="27"/>
        <v>1</v>
      </c>
      <c r="AS76" s="5">
        <f t="shared" si="27"/>
        <v>1</v>
      </c>
      <c r="AT76" s="5">
        <f t="shared" si="27"/>
        <v>1</v>
      </c>
      <c r="AU76" s="5">
        <f t="shared" si="27"/>
        <v>1</v>
      </c>
      <c r="AV76" s="5">
        <f t="shared" si="27"/>
        <v>1</v>
      </c>
      <c r="AW76" s="5">
        <f t="shared" si="27"/>
        <v>1</v>
      </c>
      <c r="AX76" s="5">
        <f t="shared" si="27"/>
        <v>1</v>
      </c>
      <c r="AY76" s="5">
        <f t="shared" si="27"/>
        <v>1</v>
      </c>
      <c r="AZ76" s="5">
        <f t="shared" si="27"/>
        <v>0.5</v>
      </c>
      <c r="BA76" s="5">
        <f>ROUNDDOWN(ROUND((12*IF((DATE(BA$1,12,31))&lt;$C76,0,IF(YEAR($C76)=BA$1,(DATE(((BA$1)+1),1,1)-$C76)/365.25,IF(BA$1=YEAR($D76),($D76-(DATE(((BA$1)-1),12,31)))/365.25,IF(YEAR($D76)&lt;BA$1,0,1))))),1),0)/12</f>
        <v>0</v>
      </c>
      <c r="BB76" s="5">
        <f>ROUNDDOWN(ROUND((12*IF((DATE(BB$1,12,31))&lt;$C76,0,IF(YEAR($C76)=BB$1,(DATE(((BB$1)+1),1,1)-$C76)/365.25,IF(BB$1=YEAR($D76),($D76-(DATE(((BB$1)-1),12,31)))/365.25,IF(YEAR($D76)&lt;BB$1,0,1))))),1),0)/12</f>
        <v>0</v>
      </c>
      <c r="BC76" s="5">
        <f>ROUNDDOWN(ROUND((12*IF((DATE(BC$1,12,31))&lt;$C76,0,IF(YEAR($C76)=BC$1,(DATE(((BC$1)+1),1,1)-$C76)/365.25,IF(BC$1=YEAR($D76),($D76-(DATE(((BC$1)-1),12,31)))/365.25,IF(YEAR($D76)&lt;BC$1,0,1))))),1),0)/12</f>
        <v>0</v>
      </c>
    </row>
    <row r="77" spans="1:55" x14ac:dyDescent="0.25">
      <c r="A77" s="132">
        <v>600</v>
      </c>
      <c r="B77" s="133">
        <v>391</v>
      </c>
      <c r="C77" s="134">
        <v>29619</v>
      </c>
      <c r="D77" s="161">
        <v>45778</v>
      </c>
      <c r="G77" s="5">
        <f t="shared" si="29"/>
        <v>0</v>
      </c>
      <c r="H77" s="5">
        <f t="shared" si="29"/>
        <v>0</v>
      </c>
      <c r="I77" s="5">
        <f t="shared" si="29"/>
        <v>0</v>
      </c>
      <c r="J77" s="5">
        <f t="shared" si="29"/>
        <v>0</v>
      </c>
      <c r="K77" s="5">
        <f t="shared" si="29"/>
        <v>0.83333333333333337</v>
      </c>
      <c r="L77" s="5">
        <f t="shared" si="29"/>
        <v>1</v>
      </c>
      <c r="M77" s="5">
        <f t="shared" si="29"/>
        <v>1</v>
      </c>
      <c r="N77" s="5">
        <f t="shared" si="29"/>
        <v>1</v>
      </c>
      <c r="O77" s="5">
        <f t="shared" si="29"/>
        <v>1</v>
      </c>
      <c r="P77" s="5">
        <f t="shared" si="29"/>
        <v>1</v>
      </c>
      <c r="Q77" s="5">
        <f t="shared" si="29"/>
        <v>1</v>
      </c>
      <c r="R77" s="5">
        <f t="shared" si="29"/>
        <v>1</v>
      </c>
      <c r="S77" s="5">
        <f t="shared" si="29"/>
        <v>1</v>
      </c>
      <c r="T77" s="5">
        <f t="shared" si="29"/>
        <v>1</v>
      </c>
      <c r="U77" s="5">
        <f t="shared" si="29"/>
        <v>1</v>
      </c>
      <c r="V77" s="5">
        <f t="shared" si="29"/>
        <v>1</v>
      </c>
      <c r="W77" s="5">
        <f t="shared" si="28"/>
        <v>1</v>
      </c>
      <c r="X77" s="5">
        <f t="shared" si="28"/>
        <v>1</v>
      </c>
      <c r="Y77" s="5">
        <f t="shared" si="28"/>
        <v>1</v>
      </c>
      <c r="Z77" s="5">
        <f t="shared" si="28"/>
        <v>1</v>
      </c>
      <c r="AA77" s="5">
        <f t="shared" si="28"/>
        <v>1</v>
      </c>
      <c r="AB77" s="5">
        <f t="shared" si="28"/>
        <v>1</v>
      </c>
      <c r="AC77" s="5">
        <f t="shared" si="28"/>
        <v>1</v>
      </c>
      <c r="AD77" s="5">
        <f t="shared" si="28"/>
        <v>1</v>
      </c>
      <c r="AE77" s="5">
        <f t="shared" si="28"/>
        <v>1</v>
      </c>
      <c r="AF77" s="5">
        <f t="shared" si="28"/>
        <v>1</v>
      </c>
      <c r="AG77" s="5">
        <f t="shared" si="28"/>
        <v>1</v>
      </c>
      <c r="AH77" s="5">
        <f t="shared" si="28"/>
        <v>1</v>
      </c>
      <c r="AI77" s="5">
        <f t="shared" si="28"/>
        <v>1</v>
      </c>
      <c r="AJ77" s="5">
        <f t="shared" si="28"/>
        <v>1</v>
      </c>
      <c r="AK77" s="5">
        <f t="shared" si="28"/>
        <v>1</v>
      </c>
      <c r="AL77" s="5">
        <f t="shared" ref="AL77:BA80" si="30">ROUNDDOWN(ROUND((12*IF((DATE(AL$1,12,31))&lt;$C77,0,IF(YEAR($C77)=AL$1,(DATE(((AL$1)+1),1,1)-$C77)/365.25,IF(AL$1=YEAR($D77),($D77-(DATE(((AL$1)-1),12,31)))/365.25,IF(YEAR($D77)&lt;AL$1,0,1))))),1),0)/12</f>
        <v>1</v>
      </c>
      <c r="AM77" s="5">
        <f t="shared" si="30"/>
        <v>1</v>
      </c>
      <c r="AN77" s="5">
        <f t="shared" si="30"/>
        <v>1</v>
      </c>
      <c r="AO77" s="5">
        <f t="shared" si="30"/>
        <v>1</v>
      </c>
      <c r="AP77" s="5">
        <f t="shared" si="30"/>
        <v>1</v>
      </c>
      <c r="AQ77" s="5">
        <f t="shared" si="30"/>
        <v>1</v>
      </c>
      <c r="AR77" s="5">
        <f t="shared" si="30"/>
        <v>1</v>
      </c>
      <c r="AS77" s="5">
        <f t="shared" si="30"/>
        <v>1</v>
      </c>
      <c r="AT77" s="5">
        <f t="shared" si="30"/>
        <v>1</v>
      </c>
      <c r="AU77" s="5">
        <f t="shared" si="30"/>
        <v>1</v>
      </c>
      <c r="AV77" s="5">
        <f t="shared" si="30"/>
        <v>1</v>
      </c>
      <c r="AW77" s="5">
        <f t="shared" si="30"/>
        <v>1</v>
      </c>
      <c r="AX77" s="5">
        <f t="shared" si="30"/>
        <v>1</v>
      </c>
      <c r="AY77" s="5">
        <f t="shared" si="30"/>
        <v>1</v>
      </c>
      <c r="AZ77" s="5">
        <f t="shared" si="30"/>
        <v>1</v>
      </c>
      <c r="BA77" s="5">
        <f t="shared" si="30"/>
        <v>1</v>
      </c>
      <c r="BB77" s="5">
        <f>ROUNDDOWN(ROUND((12*IF((DATE(BB$1,12,31))&lt;$C77,0,IF(YEAR($C77)=BB$1,(DATE(((BB$1)+1),1,1)-$C77)/365.25,IF(BB$1=YEAR($D77),($D77-(DATE(((BB$1)-1),12,31)))/365.25,IF(YEAR($D77)&lt;BB$1,0,1))))),1),0)/12</f>
        <v>1</v>
      </c>
      <c r="BC77" s="5">
        <f>ROUNDDOWN(ROUND((12*IF((DATE(BC$1,12,31))&lt;$C77,0,IF(YEAR($C77)=BC$1,(DATE(((BC$1)+1),1,1)-$C77)/365.25,IF(BC$1=YEAR($D77),($D77-(DATE(((BC$1)-1),12,31)))/365.25,IF(YEAR($D77)&lt;BC$1,0,1))))),1),0)/12</f>
        <v>0.33333333333333331</v>
      </c>
    </row>
    <row r="78" spans="1:55" x14ac:dyDescent="0.25">
      <c r="A78" s="132">
        <v>600</v>
      </c>
      <c r="B78" s="133">
        <v>386</v>
      </c>
      <c r="C78" s="134">
        <v>29557</v>
      </c>
      <c r="D78" s="161">
        <v>44774</v>
      </c>
      <c r="G78" s="5">
        <f t="shared" si="29"/>
        <v>0</v>
      </c>
      <c r="H78" s="5">
        <f t="shared" si="29"/>
        <v>0</v>
      </c>
      <c r="I78" s="5">
        <f t="shared" si="29"/>
        <v>0</v>
      </c>
      <c r="J78" s="5">
        <f t="shared" si="29"/>
        <v>8.3333333333333329E-2</v>
      </c>
      <c r="K78" s="5">
        <f t="shared" si="29"/>
        <v>1</v>
      </c>
      <c r="L78" s="5">
        <f t="shared" si="29"/>
        <v>1</v>
      </c>
      <c r="M78" s="5">
        <f t="shared" si="29"/>
        <v>1</v>
      </c>
      <c r="N78" s="5">
        <f t="shared" si="29"/>
        <v>1</v>
      </c>
      <c r="O78" s="5">
        <f t="shared" si="29"/>
        <v>1</v>
      </c>
      <c r="P78" s="5">
        <f t="shared" si="29"/>
        <v>1</v>
      </c>
      <c r="Q78" s="5">
        <f t="shared" si="29"/>
        <v>1</v>
      </c>
      <c r="R78" s="5">
        <f t="shared" si="29"/>
        <v>1</v>
      </c>
      <c r="S78" s="5">
        <f t="shared" si="29"/>
        <v>1</v>
      </c>
      <c r="T78" s="5">
        <f t="shared" si="29"/>
        <v>1</v>
      </c>
      <c r="U78" s="5">
        <f t="shared" si="29"/>
        <v>1</v>
      </c>
      <c r="V78" s="5">
        <f t="shared" si="29"/>
        <v>1</v>
      </c>
      <c r="W78" s="5">
        <f t="shared" si="28"/>
        <v>1</v>
      </c>
      <c r="X78" s="5">
        <f t="shared" si="28"/>
        <v>1</v>
      </c>
      <c r="Y78" s="5">
        <f t="shared" si="28"/>
        <v>1</v>
      </c>
      <c r="Z78" s="5">
        <f t="shared" si="28"/>
        <v>1</v>
      </c>
      <c r="AA78" s="5">
        <f t="shared" si="28"/>
        <v>1</v>
      </c>
      <c r="AB78" s="5">
        <f t="shared" si="28"/>
        <v>1</v>
      </c>
      <c r="AC78" s="5">
        <f t="shared" si="28"/>
        <v>1</v>
      </c>
      <c r="AD78" s="5">
        <f t="shared" si="28"/>
        <v>1</v>
      </c>
      <c r="AE78" s="5">
        <f t="shared" si="28"/>
        <v>1</v>
      </c>
      <c r="AF78" s="5">
        <f t="shared" si="28"/>
        <v>1</v>
      </c>
      <c r="AG78" s="5">
        <f t="shared" si="28"/>
        <v>1</v>
      </c>
      <c r="AH78" s="5">
        <f t="shared" si="28"/>
        <v>1</v>
      </c>
      <c r="AI78" s="5">
        <f t="shared" si="28"/>
        <v>1</v>
      </c>
      <c r="AJ78" s="5">
        <f t="shared" si="28"/>
        <v>1</v>
      </c>
      <c r="AK78" s="5">
        <f t="shared" si="28"/>
        <v>1</v>
      </c>
      <c r="AL78" s="5">
        <f t="shared" si="30"/>
        <v>1</v>
      </c>
      <c r="AM78" s="5">
        <f t="shared" si="30"/>
        <v>1</v>
      </c>
      <c r="AN78" s="5">
        <f t="shared" si="30"/>
        <v>1</v>
      </c>
      <c r="AO78" s="5">
        <f t="shared" si="30"/>
        <v>1</v>
      </c>
      <c r="AP78" s="5">
        <f t="shared" si="30"/>
        <v>1</v>
      </c>
      <c r="AQ78" s="5">
        <f t="shared" si="30"/>
        <v>1</v>
      </c>
      <c r="AR78" s="5">
        <f t="shared" si="30"/>
        <v>1</v>
      </c>
      <c r="AS78" s="5">
        <f t="shared" si="30"/>
        <v>1</v>
      </c>
      <c r="AT78" s="5">
        <f t="shared" si="30"/>
        <v>1</v>
      </c>
      <c r="AU78" s="5">
        <f t="shared" si="30"/>
        <v>1</v>
      </c>
      <c r="AV78" s="5">
        <f t="shared" si="30"/>
        <v>1</v>
      </c>
      <c r="AW78" s="5">
        <f t="shared" si="30"/>
        <v>1</v>
      </c>
      <c r="AX78" s="5">
        <f t="shared" si="30"/>
        <v>1</v>
      </c>
      <c r="AY78" s="5">
        <f t="shared" si="30"/>
        <v>1</v>
      </c>
      <c r="AZ78" s="5">
        <f t="shared" si="30"/>
        <v>0.58333333333333337</v>
      </c>
      <c r="BA78" s="5">
        <f t="shared" si="30"/>
        <v>0</v>
      </c>
      <c r="BB78" s="5">
        <f>ROUNDDOWN(ROUND((12*IF((DATE(BB$1,12,31))&lt;$C78,0,IF(YEAR($C78)=BB$1,(DATE(((BB$1)+1),1,1)-$C78)/365.25,IF(BB$1=YEAR($D78),($D78-(DATE(((BB$1)-1),12,31)))/365.25,IF(YEAR($D78)&lt;BB$1,0,1))))),1),0)/12</f>
        <v>0</v>
      </c>
      <c r="BC78" s="5">
        <f>ROUNDDOWN(ROUND((12*IF((DATE(BC$1,12,31))&lt;$C78,0,IF(YEAR($C78)=BC$1,(DATE(((BC$1)+1),1,1)-$C78)/365.25,IF(BC$1=YEAR($D78),($D78-(DATE(((BC$1)-1),12,31)))/365.25,IF(YEAR($D78)&lt;BC$1,0,1))))),1),0)/12</f>
        <v>0</v>
      </c>
    </row>
    <row r="79" spans="1:55" x14ac:dyDescent="0.25">
      <c r="A79" s="132">
        <v>600</v>
      </c>
      <c r="B79" s="133">
        <v>360</v>
      </c>
      <c r="C79" s="134">
        <v>29373</v>
      </c>
      <c r="D79" s="161">
        <v>44409</v>
      </c>
      <c r="G79" s="5">
        <f t="shared" si="29"/>
        <v>0</v>
      </c>
      <c r="H79" s="5">
        <f t="shared" si="29"/>
        <v>0</v>
      </c>
      <c r="I79" s="5">
        <f t="shared" si="29"/>
        <v>0</v>
      </c>
      <c r="J79" s="5">
        <f t="shared" si="29"/>
        <v>0.58333333333333337</v>
      </c>
      <c r="K79" s="5">
        <f t="shared" si="29"/>
        <v>1</v>
      </c>
      <c r="L79" s="5">
        <f t="shared" si="29"/>
        <v>1</v>
      </c>
      <c r="M79" s="5">
        <f t="shared" si="29"/>
        <v>1</v>
      </c>
      <c r="N79" s="5">
        <f t="shared" si="29"/>
        <v>1</v>
      </c>
      <c r="O79" s="5">
        <f t="shared" si="29"/>
        <v>1</v>
      </c>
      <c r="P79" s="5">
        <f t="shared" si="29"/>
        <v>1</v>
      </c>
      <c r="Q79" s="5">
        <f t="shared" si="29"/>
        <v>1</v>
      </c>
      <c r="R79" s="5">
        <f t="shared" si="29"/>
        <v>1</v>
      </c>
      <c r="S79" s="5">
        <f t="shared" si="29"/>
        <v>1</v>
      </c>
      <c r="T79" s="5">
        <f t="shared" si="29"/>
        <v>1</v>
      </c>
      <c r="U79" s="5">
        <f t="shared" si="29"/>
        <v>1</v>
      </c>
      <c r="V79" s="5">
        <f t="shared" si="29"/>
        <v>1</v>
      </c>
      <c r="W79" s="5">
        <f t="shared" si="28"/>
        <v>1</v>
      </c>
      <c r="X79" s="5">
        <f t="shared" si="28"/>
        <v>1</v>
      </c>
      <c r="Y79" s="5">
        <f t="shared" si="28"/>
        <v>1</v>
      </c>
      <c r="Z79" s="5">
        <f t="shared" si="28"/>
        <v>1</v>
      </c>
      <c r="AA79" s="5">
        <f t="shared" si="28"/>
        <v>1</v>
      </c>
      <c r="AB79" s="5">
        <f t="shared" si="28"/>
        <v>1</v>
      </c>
      <c r="AC79" s="5">
        <f t="shared" si="28"/>
        <v>1</v>
      </c>
      <c r="AD79" s="5">
        <f t="shared" si="28"/>
        <v>1</v>
      </c>
      <c r="AE79" s="5">
        <f t="shared" si="28"/>
        <v>1</v>
      </c>
      <c r="AF79" s="5">
        <f t="shared" si="28"/>
        <v>1</v>
      </c>
      <c r="AG79" s="5">
        <f t="shared" si="28"/>
        <v>1</v>
      </c>
      <c r="AH79" s="5">
        <f t="shared" si="28"/>
        <v>1</v>
      </c>
      <c r="AI79" s="5">
        <f t="shared" si="28"/>
        <v>1</v>
      </c>
      <c r="AJ79" s="5">
        <f t="shared" si="28"/>
        <v>1</v>
      </c>
      <c r="AK79" s="5">
        <f t="shared" si="28"/>
        <v>1</v>
      </c>
      <c r="AL79" s="5">
        <f t="shared" si="30"/>
        <v>1</v>
      </c>
      <c r="AM79" s="5">
        <f t="shared" si="30"/>
        <v>1</v>
      </c>
      <c r="AN79" s="5">
        <f t="shared" si="30"/>
        <v>1</v>
      </c>
      <c r="AO79" s="5">
        <f t="shared" si="30"/>
        <v>1</v>
      </c>
      <c r="AP79" s="5">
        <f t="shared" si="30"/>
        <v>1</v>
      </c>
      <c r="AQ79" s="5">
        <f t="shared" si="30"/>
        <v>1</v>
      </c>
      <c r="AR79" s="5">
        <f t="shared" si="30"/>
        <v>1</v>
      </c>
      <c r="AS79" s="5">
        <f t="shared" si="30"/>
        <v>1</v>
      </c>
      <c r="AT79" s="5">
        <f t="shared" si="30"/>
        <v>1</v>
      </c>
      <c r="AU79" s="5">
        <f t="shared" si="30"/>
        <v>1</v>
      </c>
      <c r="AV79" s="5">
        <f t="shared" si="30"/>
        <v>1</v>
      </c>
      <c r="AW79" s="5">
        <f t="shared" si="30"/>
        <v>1</v>
      </c>
      <c r="AX79" s="5">
        <f t="shared" si="30"/>
        <v>1</v>
      </c>
      <c r="AY79" s="5">
        <f t="shared" si="30"/>
        <v>0.58333333333333337</v>
      </c>
      <c r="AZ79" s="5">
        <f t="shared" si="30"/>
        <v>0</v>
      </c>
      <c r="BA79" s="5">
        <f t="shared" si="30"/>
        <v>0</v>
      </c>
      <c r="BB79" s="5">
        <f>ROUNDDOWN(ROUND((12*IF((DATE(BB$1,12,31))&lt;$C79,0,IF(YEAR($C79)=BB$1,(DATE(((BB$1)+1),1,1)-$C79)/365.25,IF(BB$1=YEAR($D79),($D79-(DATE(((BB$1)-1),12,31)))/365.25,IF(YEAR($D79)&lt;BB$1,0,1))))),1),0)/12</f>
        <v>0</v>
      </c>
      <c r="BC79" s="5">
        <f>ROUNDDOWN(ROUND((12*IF((DATE(BC$1,12,31))&lt;$C79,0,IF(YEAR($C79)=BC$1,(DATE(((BC$1)+1),1,1)-$C79)/365.25,IF(BC$1=YEAR($D79),($D79-(DATE(((BC$1)-1),12,31)))/365.25,IF(YEAR($D79)&lt;BC$1,0,1))))),1),0)/12</f>
        <v>0</v>
      </c>
    </row>
    <row r="80" spans="1:55" ht="13.8" thickBot="1" x14ac:dyDescent="0.3">
      <c r="A80" s="136">
        <v>600</v>
      </c>
      <c r="B80" s="137">
        <v>316</v>
      </c>
      <c r="C80" s="138">
        <v>28185</v>
      </c>
      <c r="D80" s="162">
        <v>45078</v>
      </c>
      <c r="G80" s="5">
        <f t="shared" si="29"/>
        <v>0.83333333333333337</v>
      </c>
      <c r="H80" s="5">
        <f t="shared" si="29"/>
        <v>1</v>
      </c>
      <c r="I80" s="5">
        <f t="shared" si="29"/>
        <v>1</v>
      </c>
      <c r="J80" s="5">
        <f t="shared" si="29"/>
        <v>1</v>
      </c>
      <c r="K80" s="5">
        <f t="shared" si="29"/>
        <v>1</v>
      </c>
      <c r="L80" s="5">
        <f t="shared" si="29"/>
        <v>1</v>
      </c>
      <c r="M80" s="5">
        <f t="shared" si="29"/>
        <v>1</v>
      </c>
      <c r="N80" s="5">
        <f t="shared" si="29"/>
        <v>1</v>
      </c>
      <c r="O80" s="5">
        <f t="shared" si="29"/>
        <v>1</v>
      </c>
      <c r="P80" s="5">
        <f t="shared" si="29"/>
        <v>1</v>
      </c>
      <c r="Q80" s="5">
        <f t="shared" si="29"/>
        <v>1</v>
      </c>
      <c r="R80" s="5">
        <f t="shared" si="29"/>
        <v>1</v>
      </c>
      <c r="S80" s="5">
        <f t="shared" si="29"/>
        <v>1</v>
      </c>
      <c r="T80" s="5">
        <f t="shared" si="29"/>
        <v>1</v>
      </c>
      <c r="U80" s="5">
        <f t="shared" si="29"/>
        <v>1</v>
      </c>
      <c r="V80" s="5">
        <f t="shared" si="29"/>
        <v>1</v>
      </c>
      <c r="W80" s="5">
        <f t="shared" si="28"/>
        <v>1</v>
      </c>
      <c r="X80" s="5">
        <f t="shared" si="28"/>
        <v>1</v>
      </c>
      <c r="Y80" s="5">
        <f t="shared" si="28"/>
        <v>1</v>
      </c>
      <c r="Z80" s="5">
        <f t="shared" si="28"/>
        <v>1</v>
      </c>
      <c r="AA80" s="5">
        <f t="shared" si="28"/>
        <v>1</v>
      </c>
      <c r="AB80" s="5">
        <f t="shared" si="28"/>
        <v>1</v>
      </c>
      <c r="AC80" s="5">
        <f t="shared" si="28"/>
        <v>1</v>
      </c>
      <c r="AD80" s="5">
        <f t="shared" si="28"/>
        <v>1</v>
      </c>
      <c r="AE80" s="5">
        <f t="shared" si="28"/>
        <v>1</v>
      </c>
      <c r="AF80" s="5">
        <f t="shared" si="28"/>
        <v>1</v>
      </c>
      <c r="AG80" s="5">
        <f t="shared" si="28"/>
        <v>1</v>
      </c>
      <c r="AH80" s="5">
        <f t="shared" si="28"/>
        <v>1</v>
      </c>
      <c r="AI80" s="5">
        <f t="shared" si="28"/>
        <v>1</v>
      </c>
      <c r="AJ80" s="5">
        <f t="shared" si="28"/>
        <v>1</v>
      </c>
      <c r="AK80" s="5">
        <f t="shared" si="28"/>
        <v>1</v>
      </c>
      <c r="AL80" s="5">
        <f t="shared" si="30"/>
        <v>1</v>
      </c>
      <c r="AM80" s="5">
        <f t="shared" si="30"/>
        <v>1</v>
      </c>
      <c r="AN80" s="5">
        <f t="shared" si="30"/>
        <v>1</v>
      </c>
      <c r="AO80" s="5">
        <f t="shared" si="30"/>
        <v>1</v>
      </c>
      <c r="AP80" s="5">
        <f t="shared" si="30"/>
        <v>1</v>
      </c>
      <c r="AQ80" s="5">
        <f t="shared" si="30"/>
        <v>1</v>
      </c>
      <c r="AR80" s="5">
        <f t="shared" si="30"/>
        <v>1</v>
      </c>
      <c r="AS80" s="5">
        <f t="shared" si="30"/>
        <v>1</v>
      </c>
      <c r="AT80" s="5">
        <f t="shared" si="30"/>
        <v>1</v>
      </c>
      <c r="AU80" s="5">
        <f t="shared" si="30"/>
        <v>1</v>
      </c>
      <c r="AV80" s="5">
        <f t="shared" si="30"/>
        <v>1</v>
      </c>
      <c r="AW80" s="5">
        <f t="shared" si="30"/>
        <v>1</v>
      </c>
      <c r="AX80" s="5">
        <f t="shared" si="30"/>
        <v>1</v>
      </c>
      <c r="AY80" s="5">
        <f t="shared" si="30"/>
        <v>1</v>
      </c>
      <c r="AZ80" s="5">
        <f t="shared" si="30"/>
        <v>1</v>
      </c>
      <c r="BA80" s="5">
        <f t="shared" si="30"/>
        <v>0.41666666666666669</v>
      </c>
      <c r="BB80" s="5">
        <f>ROUNDDOWN(ROUND((12*IF((DATE(BB$1,12,31))&lt;$C80,0,IF(YEAR($C80)=BB$1,(DATE(((BB$1)+1),1,1)-$C80)/365.25,IF(BB$1=YEAR($D80),($D80-(DATE(((BB$1)-1),12,31)))/365.25,IF(YEAR($D80)&lt;BB$1,0,1))))),1),0)/12</f>
        <v>0</v>
      </c>
      <c r="BC80" s="5">
        <f>ROUNDDOWN(ROUND((12*IF((DATE(BC$1,12,31))&lt;$C80,0,IF(YEAR($C80)=BC$1,(DATE(((BC$1)+1),1,1)-$C80)/365.25,IF(BC$1=YEAR($D80),($D80-(DATE(((BC$1)-1),12,31)))/365.25,IF(YEAR($D80)&lt;BC$1,0,1))))),1),0)/12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81"/>
  <sheetViews>
    <sheetView showGridLines="0" zoomScaleNormal="100" workbookViewId="0">
      <pane xSplit="6" ySplit="2" topLeftCell="AA6" activePane="bottomRight" state="frozen"/>
      <selection pane="topRight" activeCell="K1" sqref="K1"/>
      <selection pane="bottomLeft" activeCell="A3" sqref="A3"/>
      <selection pane="bottomRight" activeCell="AW27" sqref="AW27"/>
    </sheetView>
  </sheetViews>
  <sheetFormatPr defaultColWidth="11.5546875" defaultRowHeight="13.2" x14ac:dyDescent="0.25"/>
  <cols>
    <col min="1" max="1" width="7.77734375" bestFit="1" customWidth="1"/>
    <col min="2" max="2" width="12.77734375" bestFit="1" customWidth="1"/>
    <col min="3" max="3" width="18.44140625" bestFit="1" customWidth="1"/>
    <col min="4" max="4" width="23.33203125" style="1" bestFit="1" customWidth="1"/>
    <col min="5" max="5" width="13.44140625" style="1" bestFit="1" customWidth="1"/>
    <col min="6" max="6" width="8.77734375" customWidth="1"/>
    <col min="7" max="7" width="11.44140625" bestFit="1" customWidth="1"/>
    <col min="8" max="39" width="12.21875" bestFit="1" customWidth="1"/>
    <col min="40" max="43" width="12.44140625" bestFit="1" customWidth="1"/>
    <col min="44" max="44" width="12.88671875" bestFit="1" customWidth="1"/>
    <col min="45" max="49" width="12.44140625" bestFit="1" customWidth="1"/>
    <col min="50" max="55" width="12.77734375" customWidth="1"/>
    <col min="56" max="226" width="8.77734375" customWidth="1"/>
  </cols>
  <sheetData>
    <row r="1" spans="1:55" x14ac:dyDescent="0.25">
      <c r="A1" s="141" t="s">
        <v>0</v>
      </c>
      <c r="B1" s="142" t="s">
        <v>4</v>
      </c>
      <c r="C1" s="142" t="s">
        <v>28</v>
      </c>
      <c r="D1" s="142" t="s">
        <v>2</v>
      </c>
      <c r="E1" s="142" t="s">
        <v>5</v>
      </c>
      <c r="F1" s="154" t="s">
        <v>17</v>
      </c>
      <c r="G1" s="149">
        <v>9300</v>
      </c>
      <c r="H1" s="149">
        <v>10400</v>
      </c>
      <c r="I1" s="149">
        <v>11700</v>
      </c>
      <c r="J1" s="149">
        <v>13100</v>
      </c>
      <c r="K1" s="149">
        <v>14700</v>
      </c>
      <c r="L1" s="149">
        <v>16500</v>
      </c>
      <c r="M1" s="149">
        <v>18500</v>
      </c>
      <c r="N1" s="149">
        <v>20800</v>
      </c>
      <c r="O1" s="149">
        <v>23400</v>
      </c>
      <c r="P1" s="149">
        <v>25800</v>
      </c>
      <c r="Q1" s="149">
        <v>25900</v>
      </c>
      <c r="R1" s="149">
        <v>26500</v>
      </c>
      <c r="S1" s="149">
        <v>27700</v>
      </c>
      <c r="T1" s="149">
        <v>28900</v>
      </c>
      <c r="U1" s="149">
        <v>30500</v>
      </c>
      <c r="V1" s="149">
        <v>32200</v>
      </c>
      <c r="W1" s="149">
        <v>33400</v>
      </c>
      <c r="X1" s="149">
        <v>34400</v>
      </c>
      <c r="Y1" s="149">
        <v>34900</v>
      </c>
      <c r="Z1" s="149">
        <v>35400</v>
      </c>
      <c r="AA1" s="149">
        <v>35800</v>
      </c>
      <c r="AB1" s="149">
        <v>36900</v>
      </c>
      <c r="AC1" s="149">
        <v>37400</v>
      </c>
      <c r="AD1" s="149">
        <v>37600</v>
      </c>
      <c r="AE1" s="149">
        <v>38300</v>
      </c>
      <c r="AF1" s="149">
        <v>39100</v>
      </c>
      <c r="AG1" s="149">
        <v>39900</v>
      </c>
      <c r="AH1" s="149">
        <v>40500</v>
      </c>
      <c r="AI1" s="149">
        <v>41100</v>
      </c>
      <c r="AJ1" s="149">
        <v>42100</v>
      </c>
      <c r="AK1" s="149">
        <v>43700</v>
      </c>
      <c r="AL1" s="149">
        <v>44900</v>
      </c>
      <c r="AM1" s="149">
        <v>46300</v>
      </c>
      <c r="AN1" s="149">
        <v>47200</v>
      </c>
      <c r="AO1" s="149">
        <v>48300</v>
      </c>
      <c r="AP1" s="149">
        <v>50100</v>
      </c>
      <c r="AQ1" s="149">
        <v>51100</v>
      </c>
      <c r="AR1" s="149">
        <v>52500</v>
      </c>
      <c r="AS1" s="149">
        <v>53600</v>
      </c>
      <c r="AT1" s="149">
        <v>54900</v>
      </c>
      <c r="AU1" s="149">
        <v>55300</v>
      </c>
      <c r="AV1" s="149">
        <v>55900</v>
      </c>
      <c r="AW1" s="149">
        <v>57400</v>
      </c>
      <c r="AX1" s="150">
        <f>AW1*(1+Assumptions!$B$16)</f>
        <v>59696</v>
      </c>
      <c r="AY1" s="150">
        <f>AX1*(1+Assumptions!$B$16)</f>
        <v>62083.840000000004</v>
      </c>
      <c r="AZ1" s="150">
        <f>AY1*(1+Assumptions!$B$16)</f>
        <v>64567.193600000006</v>
      </c>
      <c r="BA1" s="150">
        <f>AZ1*(1+Assumptions!$B$16)</f>
        <v>67149.881344000009</v>
      </c>
      <c r="BB1" s="150">
        <f>BA1*(1+Assumptions!$B$16)</f>
        <v>69835.876597760012</v>
      </c>
      <c r="BC1" s="151">
        <f>BB1*(1+Assumptions!$B$16)</f>
        <v>72629.311661670421</v>
      </c>
    </row>
    <row r="2" spans="1:55" ht="13.8" thickBot="1" x14ac:dyDescent="0.3">
      <c r="A2" s="145"/>
      <c r="B2" s="140"/>
      <c r="C2" s="140"/>
      <c r="D2" s="140"/>
      <c r="E2" s="140"/>
      <c r="F2" s="155" t="s">
        <v>16</v>
      </c>
      <c r="G2" s="152">
        <v>1977</v>
      </c>
      <c r="H2" s="152">
        <v>1978</v>
      </c>
      <c r="I2" s="152">
        <v>1979</v>
      </c>
      <c r="J2" s="152">
        <v>1980</v>
      </c>
      <c r="K2" s="152">
        <v>1981</v>
      </c>
      <c r="L2" s="152">
        <v>1982</v>
      </c>
      <c r="M2" s="152">
        <v>1983</v>
      </c>
      <c r="N2" s="152">
        <v>1984</v>
      </c>
      <c r="O2" s="152">
        <v>1985</v>
      </c>
      <c r="P2" s="152">
        <v>1986</v>
      </c>
      <c r="Q2" s="152">
        <v>1987</v>
      </c>
      <c r="R2" s="152">
        <v>1988</v>
      </c>
      <c r="S2" s="152">
        <v>1989</v>
      </c>
      <c r="T2" s="152">
        <v>1990</v>
      </c>
      <c r="U2" s="152">
        <v>1991</v>
      </c>
      <c r="V2" s="152">
        <v>1992</v>
      </c>
      <c r="W2" s="152">
        <v>1993</v>
      </c>
      <c r="X2" s="152">
        <v>1994</v>
      </c>
      <c r="Y2" s="152">
        <v>1995</v>
      </c>
      <c r="Z2" s="152">
        <v>1996</v>
      </c>
      <c r="AA2" s="152">
        <v>1997</v>
      </c>
      <c r="AB2" s="152">
        <v>1998</v>
      </c>
      <c r="AC2" s="152">
        <v>1999</v>
      </c>
      <c r="AD2" s="152">
        <v>2000</v>
      </c>
      <c r="AE2" s="152">
        <v>2001</v>
      </c>
      <c r="AF2" s="152">
        <v>2002</v>
      </c>
      <c r="AG2" s="152">
        <v>2003</v>
      </c>
      <c r="AH2" s="152">
        <v>2004</v>
      </c>
      <c r="AI2" s="152">
        <v>2005</v>
      </c>
      <c r="AJ2" s="152">
        <v>2006</v>
      </c>
      <c r="AK2" s="152">
        <v>2007</v>
      </c>
      <c r="AL2" s="152">
        <v>2008</v>
      </c>
      <c r="AM2" s="152">
        <v>2009</v>
      </c>
      <c r="AN2" s="152">
        <v>2010</v>
      </c>
      <c r="AO2" s="152">
        <v>2011</v>
      </c>
      <c r="AP2" s="152">
        <v>2012</v>
      </c>
      <c r="AQ2" s="152">
        <v>2013</v>
      </c>
      <c r="AR2" s="152">
        <v>2014</v>
      </c>
      <c r="AS2" s="152">
        <v>2015</v>
      </c>
      <c r="AT2" s="152">
        <v>2016</v>
      </c>
      <c r="AU2" s="152">
        <v>2017</v>
      </c>
      <c r="AV2" s="152">
        <v>2018</v>
      </c>
      <c r="AW2" s="152">
        <v>2019</v>
      </c>
      <c r="AX2" s="152">
        <v>2020</v>
      </c>
      <c r="AY2" s="152">
        <v>2021</v>
      </c>
      <c r="AZ2" s="152">
        <v>2022</v>
      </c>
      <c r="BA2" s="152">
        <v>2023</v>
      </c>
      <c r="BB2" s="152">
        <v>2024</v>
      </c>
      <c r="BC2" s="153">
        <v>2025</v>
      </c>
    </row>
    <row r="3" spans="1:55" x14ac:dyDescent="0.25">
      <c r="A3" s="146">
        <v>500</v>
      </c>
      <c r="B3" s="131">
        <v>761</v>
      </c>
      <c r="C3" s="147">
        <v>37974</v>
      </c>
      <c r="D3" s="147">
        <v>49400</v>
      </c>
      <c r="E3" s="148">
        <v>48449.49</v>
      </c>
      <c r="F3" s="156"/>
      <c r="G3" s="6">
        <f>IF($C3&lt;(DATE(G$2,12,31)),H3/(1+(Assumptions!$B$14)),0)</f>
        <v>0</v>
      </c>
      <c r="H3" s="6">
        <f>IF($C3&lt;(DATE(H$2,12,31)),I3/(1+(Assumptions!$B$14)),0)</f>
        <v>0</v>
      </c>
      <c r="I3" s="6">
        <f>IF($C3&lt;(DATE(I$2,12,31)),J3/(1+(Assumptions!$B$14)),0)</f>
        <v>0</v>
      </c>
      <c r="J3" s="6">
        <f>IF($C3&lt;(DATE(J$2,12,31)),K3/(1+(Assumptions!$B$14)),0)</f>
        <v>0</v>
      </c>
      <c r="K3" s="6">
        <f>IF($C3&lt;(DATE(K$2,12,31)),L3/(1+(Assumptions!$B$14)),0)</f>
        <v>0</v>
      </c>
      <c r="L3" s="6">
        <f>IF($C3&lt;(DATE(L$2,12,31)),M3/(1+(Assumptions!$B$14)),0)</f>
        <v>0</v>
      </c>
      <c r="M3" s="6">
        <f>IF($C3&lt;(DATE(M$2,12,31)),N3/(1+(Assumptions!$B$14)),0)</f>
        <v>0</v>
      </c>
      <c r="N3" s="6">
        <f>IF($C3&lt;(DATE(N$2,12,31)),O3/(1+(Assumptions!$B$14)),0)</f>
        <v>0</v>
      </c>
      <c r="O3" s="6">
        <f>IF($C3&lt;(DATE(O$2,12,31)),P3/(1+(Assumptions!$B$14)),0)</f>
        <v>0</v>
      </c>
      <c r="P3" s="6">
        <f>IF($C3&lt;(DATE(P$2,12,31)),Q3/(1+(Assumptions!$B$14)),0)</f>
        <v>0</v>
      </c>
      <c r="Q3" s="6">
        <f>IF($C3&lt;(DATE(Q$2,12,31)),R3/(1+(Assumptions!$B$14)),0)</f>
        <v>0</v>
      </c>
      <c r="R3" s="6">
        <f>IF($C3&lt;(DATE(R$2,12,31)),S3/(1+(Assumptions!$B$14)),0)</f>
        <v>0</v>
      </c>
      <c r="S3" s="6">
        <f>IF($C3&lt;(DATE(S$2,12,31)),T3/(1+(Assumptions!$B$14)),0)</f>
        <v>0</v>
      </c>
      <c r="T3" s="6">
        <f>IF($C3&lt;(DATE(T$2,12,31)),U3/(1+(Assumptions!$B$14)),0)</f>
        <v>0</v>
      </c>
      <c r="U3" s="6">
        <f>IF($C3&lt;(DATE(U$2,12,31)),V3/(1+(Assumptions!$B$14)),0)</f>
        <v>0</v>
      </c>
      <c r="V3" s="6">
        <f>IF($C3&lt;(DATE(V$2,12,31)),W3/(1+(Assumptions!$B$14)),0)</f>
        <v>0</v>
      </c>
      <c r="W3" s="6">
        <f>IF($C3&lt;(DATE(W$2,12,31)),X3/(1+(Assumptions!$B$14)),0)</f>
        <v>0</v>
      </c>
      <c r="X3" s="6">
        <f>IF($C3&lt;(DATE(X$2,12,31)),Y3/(1+(Assumptions!$B$14)),0)</f>
        <v>0</v>
      </c>
      <c r="Y3" s="6">
        <f>IF($C3&lt;(DATE(Y$2,12,31)),Z3/(1+(Assumptions!$B$14)),0)</f>
        <v>0</v>
      </c>
      <c r="Z3" s="6">
        <f>IF($C3&lt;(DATE(Z$2,12,31)),AA3/(1+(Assumptions!$B$14)),0)</f>
        <v>0</v>
      </c>
      <c r="AA3" s="6">
        <f>IF($C3&lt;(DATE(AA$2,12,31)),AB3/(1+(Assumptions!$B$14)),0)</f>
        <v>0</v>
      </c>
      <c r="AB3" s="6">
        <f>IF($C3&lt;(DATE(AB$2,12,31)),AC3/(1+(Assumptions!$B$14)),0)</f>
        <v>0</v>
      </c>
      <c r="AC3" s="6">
        <f>IF($C3&lt;(DATE(AC$2,12,31)),AD3/(1+(Assumptions!$B$14)),0)</f>
        <v>0</v>
      </c>
      <c r="AD3" s="6">
        <f>IF($C3&lt;(DATE(AD$2,12,31)),AE3/(1+(Assumptions!$B$14)),0)</f>
        <v>0</v>
      </c>
      <c r="AE3" s="6">
        <f>IF($C3&lt;(DATE(AE$2,12,31)),AF3/(1+(Assumptions!$B$14)),0)</f>
        <v>0</v>
      </c>
      <c r="AF3" s="6">
        <f>IF($C3&lt;(DATE(AF$2,12,31)),AG3/(1+(Assumptions!$B$14)),0)</f>
        <v>0</v>
      </c>
      <c r="AG3" s="6">
        <f>IF($C3&lt;(DATE(AG$2,12,31)),AH3/(1+(Assumptions!$B$14)),0)</f>
        <v>31471.864847965229</v>
      </c>
      <c r="AH3" s="6">
        <f>IF($C3&lt;(DATE(AH$2,12,31)),AI3/(1+(Assumptions!$B$14)),0)</f>
        <v>32730.739441883841</v>
      </c>
      <c r="AI3" s="6">
        <f>IF($C3&lt;(DATE(AI$2,12,31)),AJ3/(1+(Assumptions!$B$14)),0)</f>
        <v>34039.969019559197</v>
      </c>
      <c r="AJ3" s="6">
        <f>IF($C3&lt;(DATE(AJ$2,12,31)),AK3/(1+(Assumptions!$B$14)),0)</f>
        <v>35401.567780341567</v>
      </c>
      <c r="AK3" s="6">
        <f>IF($C3&lt;(DATE(AK$2,12,31)),AL3/(1+(Assumptions!$B$14)),0)</f>
        <v>36817.630491555232</v>
      </c>
      <c r="AL3" s="6">
        <f>IF($C3&lt;(DATE(AL$2,12,31)),AM3/(1+(Assumptions!$B$14)),0)</f>
        <v>38290.335711217442</v>
      </c>
      <c r="AM3" s="6">
        <f>IF($C3&lt;(DATE(AM$2,12,31)),AN3/(1+(Assumptions!$B$14)),0)</f>
        <v>39821.94913966614</v>
      </c>
      <c r="AN3" s="6">
        <f>IF($C3&lt;(DATE(AN$2,12,31)),AO3/(1+(Assumptions!$B$14)),0)</f>
        <v>41414.827105252785</v>
      </c>
      <c r="AO3" s="6">
        <f>IF($C3&lt;(DATE(AO$2,12,31)),AP3/(1+(Assumptions!$B$14)),0)</f>
        <v>43071.4201894629</v>
      </c>
      <c r="AP3" s="6">
        <f>IF($C3&lt;(DATE(AP$2,12,31)),AQ3/(1+(Assumptions!$B$14)),0)</f>
        <v>44794.276997041416</v>
      </c>
      <c r="AQ3" s="6">
        <f>IF($C3&lt;(DATE(AQ$2,12,31)),AR3/(1+(Assumptions!$B$14)),0)</f>
        <v>46586.048076923071</v>
      </c>
      <c r="AR3" s="6">
        <f>VLOOKUP(B3,$B$3:$E$81,4, FALSE)</f>
        <v>48449.49</v>
      </c>
      <c r="AS3" s="6">
        <f>IF((DATE(AS$2,12,31))&gt;$C3,AR3*(1+(Assumptions!$B$15)), 0)</f>
        <v>49902.974699999999</v>
      </c>
      <c r="AT3" s="6">
        <f>IF((DATE(AT$2,12,31))&gt;$C3,AS3*(1+(Assumptions!$B$15)), 0)</f>
        <v>51400.063941</v>
      </c>
      <c r="AU3" s="6">
        <f>IF((DATE(AU$2,12,31))&gt;$C3,AT3*(1+(Assumptions!$B$15)), 0)</f>
        <v>52942.065859230002</v>
      </c>
      <c r="AV3" s="6">
        <f>IF((DATE(AV$2,12,31))&gt;$C3,AU3*(1+(Assumptions!$B$15)), 0)</f>
        <v>54530.327835006901</v>
      </c>
      <c r="AW3" s="6">
        <f>IF((DATE(AW$2,12,31))&gt;$C3,AV3*(1+(Assumptions!$B$15)), 0)</f>
        <v>56166.237670057111</v>
      </c>
      <c r="AX3" s="6">
        <f>IF((DATE(AX$2,12,31))&gt;$C3,AW3*(1+(Assumptions!$B$15)), 0)</f>
        <v>57851.224800158823</v>
      </c>
      <c r="AY3" s="6">
        <f>IF((DATE(AY$2,12,31))&gt;$C3,AX3*(1+(Assumptions!$B$15)), 0)</f>
        <v>59586.761544163586</v>
      </c>
      <c r="AZ3" s="6">
        <f>IF((DATE(AZ$2,12,31))&gt;$C3,AY3*(1+(Assumptions!$B$15)), 0)</f>
        <v>61374.364390488496</v>
      </c>
      <c r="BA3" s="6">
        <f>IF((DATE(BA$2,12,31))&gt;$C3,AZ3*(1+(Assumptions!$B$15)), 0)</f>
        <v>63215.595322203153</v>
      </c>
      <c r="BB3" s="6">
        <f>IF((DATE(BB$2,12,31))&gt;$C3,BA3*(1+(Assumptions!$B$15)), 0)</f>
        <v>65112.063181869249</v>
      </c>
      <c r="BC3" s="6">
        <f>IF((DATE(BC$2,12,31))&gt;$C3,BB3*(1+(Assumptions!$B$15)), 0)</f>
        <v>67065.42507732533</v>
      </c>
    </row>
    <row r="4" spans="1:55" x14ac:dyDescent="0.25">
      <c r="A4" s="132">
        <v>500</v>
      </c>
      <c r="B4" s="133">
        <v>735</v>
      </c>
      <c r="C4" s="134">
        <v>37004</v>
      </c>
      <c r="D4" s="134">
        <v>50587</v>
      </c>
      <c r="E4" s="135">
        <v>49274.3</v>
      </c>
      <c r="F4" s="157"/>
      <c r="G4" s="6">
        <f>IF($C4&lt;(DATE(G$2,12,31)),H4/(1+(Assumptions!$B$14)),0)</f>
        <v>0</v>
      </c>
      <c r="H4" s="6">
        <f>IF($C4&lt;(DATE(H$2,12,31)),I4/(1+(Assumptions!$B$14)),0)</f>
        <v>0</v>
      </c>
      <c r="I4" s="6">
        <f>IF($C4&lt;(DATE(I$2,12,31)),J4/(1+(Assumptions!$B$14)),0)</f>
        <v>0</v>
      </c>
      <c r="J4" s="6">
        <f>IF($C4&lt;(DATE(J$2,12,31)),K4/(1+(Assumptions!$B$14)),0)</f>
        <v>0</v>
      </c>
      <c r="K4" s="6">
        <f>IF($C4&lt;(DATE(K$2,12,31)),L4/(1+(Assumptions!$B$14)),0)</f>
        <v>0</v>
      </c>
      <c r="L4" s="6">
        <f>IF($C4&lt;(DATE(L$2,12,31)),M4/(1+(Assumptions!$B$14)),0)</f>
        <v>0</v>
      </c>
      <c r="M4" s="6">
        <f>IF($C4&lt;(DATE(M$2,12,31)),N4/(1+(Assumptions!$B$14)),0)</f>
        <v>0</v>
      </c>
      <c r="N4" s="6">
        <f>IF($C4&lt;(DATE(N$2,12,31)),O4/(1+(Assumptions!$B$14)),0)</f>
        <v>0</v>
      </c>
      <c r="O4" s="6">
        <f>IF($C4&lt;(DATE(O$2,12,31)),P4/(1+(Assumptions!$B$14)),0)</f>
        <v>0</v>
      </c>
      <c r="P4" s="6">
        <f>IF($C4&lt;(DATE(P$2,12,31)),Q4/(1+(Assumptions!$B$14)),0)</f>
        <v>0</v>
      </c>
      <c r="Q4" s="6">
        <f>IF($C4&lt;(DATE(Q$2,12,31)),R4/(1+(Assumptions!$B$14)),0)</f>
        <v>0</v>
      </c>
      <c r="R4" s="6">
        <f>IF($C4&lt;(DATE(R$2,12,31)),S4/(1+(Assumptions!$B$14)),0)</f>
        <v>0</v>
      </c>
      <c r="S4" s="6">
        <f>IF($C4&lt;(DATE(S$2,12,31)),T4/(1+(Assumptions!$B$14)),0)</f>
        <v>0</v>
      </c>
      <c r="T4" s="6">
        <f>IF($C4&lt;(DATE(T$2,12,31)),U4/(1+(Assumptions!$B$14)),0)</f>
        <v>0</v>
      </c>
      <c r="U4" s="6">
        <f>IF($C4&lt;(DATE(U$2,12,31)),V4/(1+(Assumptions!$B$14)),0)</f>
        <v>0</v>
      </c>
      <c r="V4" s="6">
        <f>IF($C4&lt;(DATE(V$2,12,31)),W4/(1+(Assumptions!$B$14)),0)</f>
        <v>0</v>
      </c>
      <c r="W4" s="6">
        <f>IF($C4&lt;(DATE(W$2,12,31)),X4/(1+(Assumptions!$B$14)),0)</f>
        <v>0</v>
      </c>
      <c r="X4" s="6">
        <f>IF($C4&lt;(DATE(X$2,12,31)),Y4/(1+(Assumptions!$B$14)),0)</f>
        <v>0</v>
      </c>
      <c r="Y4" s="6">
        <f>IF($C4&lt;(DATE(Y$2,12,31)),Z4/(1+(Assumptions!$B$14)),0)</f>
        <v>0</v>
      </c>
      <c r="Z4" s="6">
        <f>IF($C4&lt;(DATE(Z$2,12,31)),AA4/(1+(Assumptions!$B$14)),0)</f>
        <v>0</v>
      </c>
      <c r="AA4" s="6">
        <f>IF($C4&lt;(DATE(AA$2,12,31)),AB4/(1+(Assumptions!$B$14)),0)</f>
        <v>0</v>
      </c>
      <c r="AB4" s="6">
        <f>IF($C4&lt;(DATE(AB$2,12,31)),AC4/(1+(Assumptions!$B$14)),0)</f>
        <v>0</v>
      </c>
      <c r="AC4" s="6">
        <f>IF($C4&lt;(DATE(AC$2,12,31)),AD4/(1+(Assumptions!$B$14)),0)</f>
        <v>0</v>
      </c>
      <c r="AD4" s="6">
        <f>IF($C4&lt;(DATE(AD$2,12,31)),AE4/(1+(Assumptions!$B$14)),0)</f>
        <v>0</v>
      </c>
      <c r="AE4" s="6">
        <f>IF($C4&lt;(DATE(AE$2,12,31)),AF4/(1+(Assumptions!$B$14)),0)</f>
        <v>29592.867692425967</v>
      </c>
      <c r="AF4" s="6">
        <f>IF($C4&lt;(DATE(AF$2,12,31)),AG4/(1+(Assumptions!$B$14)),0)</f>
        <v>30776.582400123007</v>
      </c>
      <c r="AG4" s="6">
        <f>IF($C4&lt;(DATE(AG$2,12,31)),AH4/(1+(Assumptions!$B$14)),0)</f>
        <v>32007.645696127929</v>
      </c>
      <c r="AH4" s="6">
        <f>IF($C4&lt;(DATE(AH$2,12,31)),AI4/(1+(Assumptions!$B$14)),0)</f>
        <v>33287.951523973046</v>
      </c>
      <c r="AI4" s="6">
        <f>IF($C4&lt;(DATE(AI$2,12,31)),AJ4/(1+(Assumptions!$B$14)),0)</f>
        <v>34619.469584931969</v>
      </c>
      <c r="AJ4" s="6">
        <f>IF($C4&lt;(DATE(AJ$2,12,31)),AK4/(1+(Assumptions!$B$14)),0)</f>
        <v>36004.248368329252</v>
      </c>
      <c r="AK4" s="6">
        <f>IF($C4&lt;(DATE(AK$2,12,31)),AL4/(1+(Assumptions!$B$14)),0)</f>
        <v>37444.418303062426</v>
      </c>
      <c r="AL4" s="6">
        <f>IF($C4&lt;(DATE(AL$2,12,31)),AM4/(1+(Assumptions!$B$14)),0)</f>
        <v>38942.195035184923</v>
      </c>
      <c r="AM4" s="6">
        <f>IF($C4&lt;(DATE(AM$2,12,31)),AN4/(1+(Assumptions!$B$14)),0)</f>
        <v>40499.882836592318</v>
      </c>
      <c r="AN4" s="6">
        <f>IF($C4&lt;(DATE(AN$2,12,31)),AO4/(1+(Assumptions!$B$14)),0)</f>
        <v>42119.878150056014</v>
      </c>
      <c r="AO4" s="6">
        <f>IF($C4&lt;(DATE(AO$2,12,31)),AP4/(1+(Assumptions!$B$14)),0)</f>
        <v>43804.67327605826</v>
      </c>
      <c r="AP4" s="6">
        <f>IF($C4&lt;(DATE(AP$2,12,31)),AQ4/(1+(Assumptions!$B$14)),0)</f>
        <v>45556.860207100595</v>
      </c>
      <c r="AQ4" s="6">
        <f>IF($C4&lt;(DATE(AQ$2,12,31)),AR4/(1+(Assumptions!$B$14)),0)</f>
        <v>47379.134615384617</v>
      </c>
      <c r="AR4" s="6">
        <f t="shared" ref="AR4:AR67" si="0">VLOOKUP(B4,$B$3:$E$81,4, FALSE)</f>
        <v>49274.3</v>
      </c>
      <c r="AS4" s="6">
        <f>AR4*(1+(Assumptions!$B$15))</f>
        <v>50752.529000000002</v>
      </c>
      <c r="AT4" s="6">
        <f>AS4*(1+(Assumptions!$B$15))</f>
        <v>52275.104870000003</v>
      </c>
      <c r="AU4" s="6">
        <f>AT4*(1+(Assumptions!$B$15))</f>
        <v>53843.358016100006</v>
      </c>
      <c r="AV4" s="6">
        <f>AU4*(1+(Assumptions!$B$15))</f>
        <v>55458.658756583005</v>
      </c>
      <c r="AW4" s="6">
        <f>AV4*(1+(Assumptions!$B$15))</f>
        <v>57122.418519280494</v>
      </c>
      <c r="AX4" s="6">
        <f>AW4*(1+(Assumptions!$B$15))</f>
        <v>58836.091074858909</v>
      </c>
      <c r="AY4" s="6">
        <f>AX4*(1+(Assumptions!$B$15))</f>
        <v>60601.173807104678</v>
      </c>
      <c r="AZ4" s="6">
        <f>AY4*(1+(Assumptions!$B$15))</f>
        <v>62419.209021317823</v>
      </c>
      <c r="BA4" s="6">
        <f>AZ4*(1+(Assumptions!$B$15))</f>
        <v>64291.785291957363</v>
      </c>
      <c r="BB4" s="6">
        <f>BA4*(1+(Assumptions!$B$15))</f>
        <v>66220.538850716082</v>
      </c>
      <c r="BC4" s="6">
        <f>BB4*(1+(Assumptions!$B$15))</f>
        <v>68207.155016237564</v>
      </c>
    </row>
    <row r="5" spans="1:55" x14ac:dyDescent="0.25">
      <c r="A5" s="132">
        <v>500</v>
      </c>
      <c r="B5" s="133">
        <v>769</v>
      </c>
      <c r="C5" s="134">
        <v>38148</v>
      </c>
      <c r="D5" s="134">
        <v>51441</v>
      </c>
      <c r="E5" s="135">
        <v>50099.11</v>
      </c>
      <c r="F5" s="157"/>
      <c r="G5" s="6">
        <f>IF($C5&lt;(DATE(G$2,12,31)),H5/(1+(Assumptions!$B$14)),0)</f>
        <v>0</v>
      </c>
      <c r="H5" s="6">
        <f>IF($C5&lt;(DATE(H$2,12,31)),I5/(1+(Assumptions!$B$14)),0)</f>
        <v>0</v>
      </c>
      <c r="I5" s="6">
        <f>IF($C5&lt;(DATE(I$2,12,31)),J5/(1+(Assumptions!$B$14)),0)</f>
        <v>0</v>
      </c>
      <c r="J5" s="6">
        <f>IF($C5&lt;(DATE(J$2,12,31)),K5/(1+(Assumptions!$B$14)),0)</f>
        <v>0</v>
      </c>
      <c r="K5" s="6">
        <f>IF($C5&lt;(DATE(K$2,12,31)),L5/(1+(Assumptions!$B$14)),0)</f>
        <v>0</v>
      </c>
      <c r="L5" s="6">
        <f>IF($C5&lt;(DATE(L$2,12,31)),M5/(1+(Assumptions!$B$14)),0)</f>
        <v>0</v>
      </c>
      <c r="M5" s="6">
        <f>IF($C5&lt;(DATE(M$2,12,31)),N5/(1+(Assumptions!$B$14)),0)</f>
        <v>0</v>
      </c>
      <c r="N5" s="6">
        <f>IF($C5&lt;(DATE(N$2,12,31)),O5/(1+(Assumptions!$B$14)),0)</f>
        <v>0</v>
      </c>
      <c r="O5" s="6">
        <f>IF($C5&lt;(DATE(O$2,12,31)),P5/(1+(Assumptions!$B$14)),0)</f>
        <v>0</v>
      </c>
      <c r="P5" s="6">
        <f>IF($C5&lt;(DATE(P$2,12,31)),Q5/(1+(Assumptions!$B$14)),0)</f>
        <v>0</v>
      </c>
      <c r="Q5" s="6">
        <f>IF($C5&lt;(DATE(Q$2,12,31)),R5/(1+(Assumptions!$B$14)),0)</f>
        <v>0</v>
      </c>
      <c r="R5" s="6">
        <f>IF($C5&lt;(DATE(R$2,12,31)),S5/(1+(Assumptions!$B$14)),0)</f>
        <v>0</v>
      </c>
      <c r="S5" s="6">
        <f>IF($C5&lt;(DATE(S$2,12,31)),T5/(1+(Assumptions!$B$14)),0)</f>
        <v>0</v>
      </c>
      <c r="T5" s="6">
        <f>IF($C5&lt;(DATE(T$2,12,31)),U5/(1+(Assumptions!$B$14)),0)</f>
        <v>0</v>
      </c>
      <c r="U5" s="6">
        <f>IF($C5&lt;(DATE(U$2,12,31)),V5/(1+(Assumptions!$B$14)),0)</f>
        <v>0</v>
      </c>
      <c r="V5" s="6">
        <f>IF($C5&lt;(DATE(V$2,12,31)),W5/(1+(Assumptions!$B$14)),0)</f>
        <v>0</v>
      </c>
      <c r="W5" s="6">
        <f>IF($C5&lt;(DATE(W$2,12,31)),X5/(1+(Assumptions!$B$14)),0)</f>
        <v>0</v>
      </c>
      <c r="X5" s="6">
        <f>IF($C5&lt;(DATE(X$2,12,31)),Y5/(1+(Assumptions!$B$14)),0)</f>
        <v>0</v>
      </c>
      <c r="Y5" s="6">
        <f>IF($C5&lt;(DATE(Y$2,12,31)),Z5/(1+(Assumptions!$B$14)),0)</f>
        <v>0</v>
      </c>
      <c r="Z5" s="6">
        <f>IF($C5&lt;(DATE(Z$2,12,31)),AA5/(1+(Assumptions!$B$14)),0)</f>
        <v>0</v>
      </c>
      <c r="AA5" s="6">
        <f>IF($C5&lt;(DATE(AA$2,12,31)),AB5/(1+(Assumptions!$B$14)),0)</f>
        <v>0</v>
      </c>
      <c r="AB5" s="6">
        <f>IF($C5&lt;(DATE(AB$2,12,31)),AC5/(1+(Assumptions!$B$14)),0)</f>
        <v>0</v>
      </c>
      <c r="AC5" s="6">
        <f>IF($C5&lt;(DATE(AC$2,12,31)),AD5/(1+(Assumptions!$B$14)),0)</f>
        <v>0</v>
      </c>
      <c r="AD5" s="6">
        <f>IF($C5&lt;(DATE(AD$2,12,31)),AE5/(1+(Assumptions!$B$14)),0)</f>
        <v>0</v>
      </c>
      <c r="AE5" s="6">
        <f>IF($C5&lt;(DATE(AE$2,12,31)),AF5/(1+(Assumptions!$B$14)),0)</f>
        <v>0</v>
      </c>
      <c r="AF5" s="6">
        <f>IF($C5&lt;(DATE(AF$2,12,31)),AG5/(1+(Assumptions!$B$14)),0)</f>
        <v>0</v>
      </c>
      <c r="AG5" s="6">
        <f>IF($C5&lt;(DATE(AG$2,12,31)),AH5/(1+(Assumptions!$B$14)),0)</f>
        <v>0</v>
      </c>
      <c r="AH5" s="6">
        <f>IF($C5&lt;(DATE(AH$2,12,31)),AI5/(1+(Assumptions!$B$14)),0)</f>
        <v>33845.163606062262</v>
      </c>
      <c r="AI5" s="6">
        <f>IF($C5&lt;(DATE(AI$2,12,31)),AJ5/(1+(Assumptions!$B$14)),0)</f>
        <v>35198.970150304754</v>
      </c>
      <c r="AJ5" s="6">
        <f>IF($C5&lt;(DATE(AJ$2,12,31)),AK5/(1+(Assumptions!$B$14)),0)</f>
        <v>36606.928956316944</v>
      </c>
      <c r="AK5" s="6">
        <f>IF($C5&lt;(DATE(AK$2,12,31)),AL5/(1+(Assumptions!$B$14)),0)</f>
        <v>38071.206114569621</v>
      </c>
      <c r="AL5" s="6">
        <f>IF($C5&lt;(DATE(AL$2,12,31)),AM5/(1+(Assumptions!$B$14)),0)</f>
        <v>39594.054359152404</v>
      </c>
      <c r="AM5" s="6">
        <f>IF($C5&lt;(DATE(AM$2,12,31)),AN5/(1+(Assumptions!$B$14)),0)</f>
        <v>41177.816533518504</v>
      </c>
      <c r="AN5" s="6">
        <f>IF($C5&lt;(DATE(AN$2,12,31)),AO5/(1+(Assumptions!$B$14)),0)</f>
        <v>42824.929194859244</v>
      </c>
      <c r="AO5" s="6">
        <f>IF($C5&lt;(DATE(AO$2,12,31)),AP5/(1+(Assumptions!$B$14)),0)</f>
        <v>44537.926362653612</v>
      </c>
      <c r="AP5" s="6">
        <f>IF($C5&lt;(DATE(AP$2,12,31)),AQ5/(1+(Assumptions!$B$14)),0)</f>
        <v>46319.44341715976</v>
      </c>
      <c r="AQ5" s="6">
        <f>IF($C5&lt;(DATE(AQ$2,12,31)),AR5/(1+(Assumptions!$B$14)),0)</f>
        <v>48172.221153846156</v>
      </c>
      <c r="AR5" s="6">
        <f t="shared" si="0"/>
        <v>50099.11</v>
      </c>
      <c r="AS5" s="6">
        <f>AR5*(1+(Assumptions!$B$15))</f>
        <v>51602.083299999998</v>
      </c>
      <c r="AT5" s="6">
        <f>AS5*(1+(Assumptions!$B$15))</f>
        <v>53150.145798999998</v>
      </c>
      <c r="AU5" s="6">
        <f>AT5*(1+(Assumptions!$B$15))</f>
        <v>54744.650172970003</v>
      </c>
      <c r="AV5" s="6">
        <f>AU5*(1+(Assumptions!$B$15))</f>
        <v>56386.989678159101</v>
      </c>
      <c r="AW5" s="6">
        <f>AV5*(1+(Assumptions!$B$15))</f>
        <v>58078.599368503877</v>
      </c>
      <c r="AX5" s="6">
        <f>AW5*(1+(Assumptions!$B$15))</f>
        <v>59820.957349558994</v>
      </c>
      <c r="AY5" s="6">
        <f>AX5*(1+(Assumptions!$B$15))</f>
        <v>61615.586070045763</v>
      </c>
      <c r="AZ5" s="6">
        <f>AY5*(1+(Assumptions!$B$15))</f>
        <v>63464.053652147137</v>
      </c>
      <c r="BA5" s="6">
        <f>AZ5*(1+(Assumptions!$B$15))</f>
        <v>65367.975261711552</v>
      </c>
      <c r="BB5" s="6">
        <f>BA5*(1+(Assumptions!$B$15))</f>
        <v>67329.014519562901</v>
      </c>
      <c r="BC5" s="6">
        <f>BB5*(1+(Assumptions!$B$15))</f>
        <v>69348.884955149784</v>
      </c>
    </row>
    <row r="6" spans="1:55" x14ac:dyDescent="0.25">
      <c r="A6" s="132">
        <v>500</v>
      </c>
      <c r="B6" s="133">
        <v>786</v>
      </c>
      <c r="C6" s="134">
        <v>38621</v>
      </c>
      <c r="D6" s="134">
        <v>50010</v>
      </c>
      <c r="E6" s="135">
        <v>50923.92</v>
      </c>
      <c r="F6" s="157"/>
      <c r="G6" s="6">
        <f>IF($C6&lt;(DATE(G$2,12,31)),H6/(1+(Assumptions!$B$14)),0)</f>
        <v>0</v>
      </c>
      <c r="H6" s="6">
        <f>IF($C6&lt;(DATE(H$2,12,31)),I6/(1+(Assumptions!$B$14)),0)</f>
        <v>0</v>
      </c>
      <c r="I6" s="6">
        <f>IF($C6&lt;(DATE(I$2,12,31)),J6/(1+(Assumptions!$B$14)),0)</f>
        <v>0</v>
      </c>
      <c r="J6" s="6">
        <f>IF($C6&lt;(DATE(J$2,12,31)),K6/(1+(Assumptions!$B$14)),0)</f>
        <v>0</v>
      </c>
      <c r="K6" s="6">
        <f>IF($C6&lt;(DATE(K$2,12,31)),L6/(1+(Assumptions!$B$14)),0)</f>
        <v>0</v>
      </c>
      <c r="L6" s="6">
        <f>IF($C6&lt;(DATE(L$2,12,31)),M6/(1+(Assumptions!$B$14)),0)</f>
        <v>0</v>
      </c>
      <c r="M6" s="6">
        <f>IF($C6&lt;(DATE(M$2,12,31)),N6/(1+(Assumptions!$B$14)),0)</f>
        <v>0</v>
      </c>
      <c r="N6" s="6">
        <f>IF($C6&lt;(DATE(N$2,12,31)),O6/(1+(Assumptions!$B$14)),0)</f>
        <v>0</v>
      </c>
      <c r="O6" s="6">
        <f>IF($C6&lt;(DATE(O$2,12,31)),P6/(1+(Assumptions!$B$14)),0)</f>
        <v>0</v>
      </c>
      <c r="P6" s="6">
        <f>IF($C6&lt;(DATE(P$2,12,31)),Q6/(1+(Assumptions!$B$14)),0)</f>
        <v>0</v>
      </c>
      <c r="Q6" s="6">
        <f>IF($C6&lt;(DATE(Q$2,12,31)),R6/(1+(Assumptions!$B$14)),0)</f>
        <v>0</v>
      </c>
      <c r="R6" s="6">
        <f>IF($C6&lt;(DATE(R$2,12,31)),S6/(1+(Assumptions!$B$14)),0)</f>
        <v>0</v>
      </c>
      <c r="S6" s="6">
        <f>IF($C6&lt;(DATE(S$2,12,31)),T6/(1+(Assumptions!$B$14)),0)</f>
        <v>0</v>
      </c>
      <c r="T6" s="6">
        <f>IF($C6&lt;(DATE(T$2,12,31)),U6/(1+(Assumptions!$B$14)),0)</f>
        <v>0</v>
      </c>
      <c r="U6" s="6">
        <f>IF($C6&lt;(DATE(U$2,12,31)),V6/(1+(Assumptions!$B$14)),0)</f>
        <v>0</v>
      </c>
      <c r="V6" s="6">
        <f>IF($C6&lt;(DATE(V$2,12,31)),W6/(1+(Assumptions!$B$14)),0)</f>
        <v>0</v>
      </c>
      <c r="W6" s="6">
        <f>IF($C6&lt;(DATE(W$2,12,31)),X6/(1+(Assumptions!$B$14)),0)</f>
        <v>0</v>
      </c>
      <c r="X6" s="6">
        <f>IF($C6&lt;(DATE(X$2,12,31)),Y6/(1+(Assumptions!$B$14)),0)</f>
        <v>0</v>
      </c>
      <c r="Y6" s="6">
        <f>IF($C6&lt;(DATE(Y$2,12,31)),Z6/(1+(Assumptions!$B$14)),0)</f>
        <v>0</v>
      </c>
      <c r="Z6" s="6">
        <f>IF($C6&lt;(DATE(Z$2,12,31)),AA6/(1+(Assumptions!$B$14)),0)</f>
        <v>0</v>
      </c>
      <c r="AA6" s="6">
        <f>IF($C6&lt;(DATE(AA$2,12,31)),AB6/(1+(Assumptions!$B$14)),0)</f>
        <v>0</v>
      </c>
      <c r="AB6" s="6">
        <f>IF($C6&lt;(DATE(AB$2,12,31)),AC6/(1+(Assumptions!$B$14)),0)</f>
        <v>0</v>
      </c>
      <c r="AC6" s="6">
        <f>IF($C6&lt;(DATE(AC$2,12,31)),AD6/(1+(Assumptions!$B$14)),0)</f>
        <v>0</v>
      </c>
      <c r="AD6" s="6">
        <f>IF($C6&lt;(DATE(AD$2,12,31)),AE6/(1+(Assumptions!$B$14)),0)</f>
        <v>0</v>
      </c>
      <c r="AE6" s="6">
        <f>IF($C6&lt;(DATE(AE$2,12,31)),AF6/(1+(Assumptions!$B$14)),0)</f>
        <v>0</v>
      </c>
      <c r="AF6" s="6">
        <f>IF($C6&lt;(DATE(AF$2,12,31)),AG6/(1+(Assumptions!$B$14)),0)</f>
        <v>0</v>
      </c>
      <c r="AG6" s="6">
        <f>IF($C6&lt;(DATE(AG$2,12,31)),AH6/(1+(Assumptions!$B$14)),0)</f>
        <v>0</v>
      </c>
      <c r="AH6" s="6">
        <f>IF($C6&lt;(DATE(AH$2,12,31)),AI6/(1+(Assumptions!$B$14)),0)</f>
        <v>0</v>
      </c>
      <c r="AI6" s="6">
        <f>IF($C6&lt;(DATE(AI$2,12,31)),AJ6/(1+(Assumptions!$B$14)),0)</f>
        <v>35778.470715677511</v>
      </c>
      <c r="AJ6" s="6">
        <f>IF($C6&lt;(DATE(AJ$2,12,31)),AK6/(1+(Assumptions!$B$14)),0)</f>
        <v>37209.609544304614</v>
      </c>
      <c r="AK6" s="6">
        <f>IF($C6&lt;(DATE(AK$2,12,31)),AL6/(1+(Assumptions!$B$14)),0)</f>
        <v>38697.993926076801</v>
      </c>
      <c r="AL6" s="6">
        <f>IF($C6&lt;(DATE(AL$2,12,31)),AM6/(1+(Assumptions!$B$14)),0)</f>
        <v>40245.913683119878</v>
      </c>
      <c r="AM6" s="6">
        <f>IF($C6&lt;(DATE(AM$2,12,31)),AN6/(1+(Assumptions!$B$14)),0)</f>
        <v>41855.750230444675</v>
      </c>
      <c r="AN6" s="6">
        <f>IF($C6&lt;(DATE(AN$2,12,31)),AO6/(1+(Assumptions!$B$14)),0)</f>
        <v>43529.980239662465</v>
      </c>
      <c r="AO6" s="6">
        <f>IF($C6&lt;(DATE(AO$2,12,31)),AP6/(1+(Assumptions!$B$14)),0)</f>
        <v>45271.179449248964</v>
      </c>
      <c r="AP6" s="6">
        <f>IF($C6&lt;(DATE(AP$2,12,31)),AQ6/(1+(Assumptions!$B$14)),0)</f>
        <v>47082.026627218926</v>
      </c>
      <c r="AQ6" s="6">
        <f>IF($C6&lt;(DATE(AQ$2,12,31)),AR6/(1+(Assumptions!$B$14)),0)</f>
        <v>48965.307692307688</v>
      </c>
      <c r="AR6" s="6">
        <f t="shared" si="0"/>
        <v>50923.92</v>
      </c>
      <c r="AS6" s="6">
        <f>AR6*(1+(Assumptions!$B$15))</f>
        <v>52451.637600000002</v>
      </c>
      <c r="AT6" s="6">
        <f>AS6*(1+(Assumptions!$B$15))</f>
        <v>54025.186728000001</v>
      </c>
      <c r="AU6" s="6">
        <f>AT6*(1+(Assumptions!$B$15))</f>
        <v>55645.94232984</v>
      </c>
      <c r="AV6" s="6">
        <f>AU6*(1+(Assumptions!$B$15))</f>
        <v>57315.320599735198</v>
      </c>
      <c r="AW6" s="6">
        <f>AV6*(1+(Assumptions!$B$15))</f>
        <v>59034.780217727253</v>
      </c>
      <c r="AX6" s="6">
        <f>AW6*(1+(Assumptions!$B$15))</f>
        <v>60805.823624259072</v>
      </c>
      <c r="AY6" s="6">
        <f>AX6*(1+(Assumptions!$B$15))</f>
        <v>62629.998332986848</v>
      </c>
      <c r="AZ6" s="6">
        <f>AY6*(1+(Assumptions!$B$15))</f>
        <v>64508.898282976457</v>
      </c>
      <c r="BA6" s="6">
        <f>AZ6*(1+(Assumptions!$B$15))</f>
        <v>66444.165231465755</v>
      </c>
      <c r="BB6" s="6">
        <f>BA6*(1+(Assumptions!$B$15))</f>
        <v>68437.490188409734</v>
      </c>
      <c r="BC6" s="6">
        <f>BB6*(1+(Assumptions!$B$15))</f>
        <v>70490.614894062033</v>
      </c>
    </row>
    <row r="7" spans="1:55" x14ac:dyDescent="0.25">
      <c r="A7" s="132">
        <v>500</v>
      </c>
      <c r="B7" s="133">
        <v>785</v>
      </c>
      <c r="C7" s="134">
        <v>38621</v>
      </c>
      <c r="D7" s="134">
        <v>55274</v>
      </c>
      <c r="E7" s="135">
        <v>51748.74</v>
      </c>
      <c r="F7" s="157"/>
      <c r="G7" s="6">
        <f>IF($C7&lt;(DATE(G$2,12,31)),H7/(1+(Assumptions!$B$14)),0)</f>
        <v>0</v>
      </c>
      <c r="H7" s="6">
        <f>IF($C7&lt;(DATE(H$2,12,31)),I7/(1+(Assumptions!$B$14)),0)</f>
        <v>0</v>
      </c>
      <c r="I7" s="6">
        <f>IF($C7&lt;(DATE(I$2,12,31)),J7/(1+(Assumptions!$B$14)),0)</f>
        <v>0</v>
      </c>
      <c r="J7" s="6">
        <f>IF($C7&lt;(DATE(J$2,12,31)),K7/(1+(Assumptions!$B$14)),0)</f>
        <v>0</v>
      </c>
      <c r="K7" s="6">
        <f>IF($C7&lt;(DATE(K$2,12,31)),L7/(1+(Assumptions!$B$14)),0)</f>
        <v>0</v>
      </c>
      <c r="L7" s="6">
        <f>IF($C7&lt;(DATE(L$2,12,31)),M7/(1+(Assumptions!$B$14)),0)</f>
        <v>0</v>
      </c>
      <c r="M7" s="6">
        <f>IF($C7&lt;(DATE(M$2,12,31)),N7/(1+(Assumptions!$B$14)),0)</f>
        <v>0</v>
      </c>
      <c r="N7" s="6">
        <f>IF($C7&lt;(DATE(N$2,12,31)),O7/(1+(Assumptions!$B$14)),0)</f>
        <v>0</v>
      </c>
      <c r="O7" s="6">
        <f>IF($C7&lt;(DATE(O$2,12,31)),P7/(1+(Assumptions!$B$14)),0)</f>
        <v>0</v>
      </c>
      <c r="P7" s="6">
        <f>IF($C7&lt;(DATE(P$2,12,31)),Q7/(1+(Assumptions!$B$14)),0)</f>
        <v>0</v>
      </c>
      <c r="Q7" s="6">
        <f>IF($C7&lt;(DATE(Q$2,12,31)),R7/(1+(Assumptions!$B$14)),0)</f>
        <v>0</v>
      </c>
      <c r="R7" s="6">
        <f>IF($C7&lt;(DATE(R$2,12,31)),S7/(1+(Assumptions!$B$14)),0)</f>
        <v>0</v>
      </c>
      <c r="S7" s="6">
        <f>IF($C7&lt;(DATE(S$2,12,31)),T7/(1+(Assumptions!$B$14)),0)</f>
        <v>0</v>
      </c>
      <c r="T7" s="6">
        <f>IF($C7&lt;(DATE(T$2,12,31)),U7/(1+(Assumptions!$B$14)),0)</f>
        <v>0</v>
      </c>
      <c r="U7" s="6">
        <f>IF($C7&lt;(DATE(U$2,12,31)),V7/(1+(Assumptions!$B$14)),0)</f>
        <v>0</v>
      </c>
      <c r="V7" s="6">
        <f>IF($C7&lt;(DATE(V$2,12,31)),W7/(1+(Assumptions!$B$14)),0)</f>
        <v>0</v>
      </c>
      <c r="W7" s="6">
        <f>IF($C7&lt;(DATE(W$2,12,31)),X7/(1+(Assumptions!$B$14)),0)</f>
        <v>0</v>
      </c>
      <c r="X7" s="6">
        <f>IF($C7&lt;(DATE(X$2,12,31)),Y7/(1+(Assumptions!$B$14)),0)</f>
        <v>0</v>
      </c>
      <c r="Y7" s="6">
        <f>IF($C7&lt;(DATE(Y$2,12,31)),Z7/(1+(Assumptions!$B$14)),0)</f>
        <v>0</v>
      </c>
      <c r="Z7" s="6">
        <f>IF($C7&lt;(DATE(Z$2,12,31)),AA7/(1+(Assumptions!$B$14)),0)</f>
        <v>0</v>
      </c>
      <c r="AA7" s="6">
        <f>IF($C7&lt;(DATE(AA$2,12,31)),AB7/(1+(Assumptions!$B$14)),0)</f>
        <v>0</v>
      </c>
      <c r="AB7" s="6">
        <f>IF($C7&lt;(DATE(AB$2,12,31)),AC7/(1+(Assumptions!$B$14)),0)</f>
        <v>0</v>
      </c>
      <c r="AC7" s="6">
        <f>IF($C7&lt;(DATE(AC$2,12,31)),AD7/(1+(Assumptions!$B$14)),0)</f>
        <v>0</v>
      </c>
      <c r="AD7" s="6">
        <f>IF($C7&lt;(DATE(AD$2,12,31)),AE7/(1+(Assumptions!$B$14)),0)</f>
        <v>0</v>
      </c>
      <c r="AE7" s="6">
        <f>IF($C7&lt;(DATE(AE$2,12,31)),AF7/(1+(Assumptions!$B$14)),0)</f>
        <v>0</v>
      </c>
      <c r="AF7" s="6">
        <f>IF($C7&lt;(DATE(AF$2,12,31)),AG7/(1+(Assumptions!$B$14)),0)</f>
        <v>0</v>
      </c>
      <c r="AG7" s="6">
        <f>IF($C7&lt;(DATE(AG$2,12,31)),AH7/(1+(Assumptions!$B$14)),0)</f>
        <v>0</v>
      </c>
      <c r="AH7" s="6">
        <f>IF($C7&lt;(DATE(AH$2,12,31)),AI7/(1+(Assumptions!$B$14)),0)</f>
        <v>0</v>
      </c>
      <c r="AI7" s="6">
        <f>IF($C7&lt;(DATE(AI$2,12,31)),AJ7/(1+(Assumptions!$B$14)),0)</f>
        <v>36357.978306917648</v>
      </c>
      <c r="AJ7" s="6">
        <f>IF($C7&lt;(DATE(AJ$2,12,31)),AK7/(1+(Assumptions!$B$14)),0)</f>
        <v>37812.297439194357</v>
      </c>
      <c r="AK7" s="6">
        <f>IF($C7&lt;(DATE(AK$2,12,31)),AL7/(1+(Assumptions!$B$14)),0)</f>
        <v>39324.789336762136</v>
      </c>
      <c r="AL7" s="6">
        <f>IF($C7&lt;(DATE(AL$2,12,31)),AM7/(1+(Assumptions!$B$14)),0)</f>
        <v>40897.780910232621</v>
      </c>
      <c r="AM7" s="6">
        <f>IF($C7&lt;(DATE(AM$2,12,31)),AN7/(1+(Assumptions!$B$14)),0)</f>
        <v>42533.69214664193</v>
      </c>
      <c r="AN7" s="6">
        <f>IF($C7&lt;(DATE(AN$2,12,31)),AO7/(1+(Assumptions!$B$14)),0)</f>
        <v>44235.039832507609</v>
      </c>
      <c r="AO7" s="6">
        <f>IF($C7&lt;(DATE(AO$2,12,31)),AP7/(1+(Assumptions!$B$14)),0)</f>
        <v>46004.441425807912</v>
      </c>
      <c r="AP7" s="6">
        <f>IF($C7&lt;(DATE(AP$2,12,31)),AQ7/(1+(Assumptions!$B$14)),0)</f>
        <v>47844.619082840232</v>
      </c>
      <c r="AQ7" s="6">
        <f>IF($C7&lt;(DATE(AQ$2,12,31)),AR7/(1+(Assumptions!$B$14)),0)</f>
        <v>49758.403846153844</v>
      </c>
      <c r="AR7" s="6">
        <f t="shared" si="0"/>
        <v>51748.74</v>
      </c>
      <c r="AS7" s="6">
        <f>AR7*(1+(Assumptions!$B$15))</f>
        <v>53301.2022</v>
      </c>
      <c r="AT7" s="6">
        <f>AS7*(1+(Assumptions!$B$15))</f>
        <v>54900.238266</v>
      </c>
      <c r="AU7" s="6">
        <f>AT7*(1+(Assumptions!$B$15))</f>
        <v>56547.245413980003</v>
      </c>
      <c r="AV7" s="6">
        <f>AU7*(1+(Assumptions!$B$15))</f>
        <v>58243.662776399404</v>
      </c>
      <c r="AW7" s="6">
        <f>AV7*(1+(Assumptions!$B$15))</f>
        <v>59990.97265969139</v>
      </c>
      <c r="AX7" s="6">
        <f>AW7*(1+(Assumptions!$B$15))</f>
        <v>61790.701839482135</v>
      </c>
      <c r="AY7" s="6">
        <f>AX7*(1+(Assumptions!$B$15))</f>
        <v>63644.422894666604</v>
      </c>
      <c r="AZ7" s="6">
        <f>AY7*(1+(Assumptions!$B$15))</f>
        <v>65553.755581506601</v>
      </c>
      <c r="BA7" s="6">
        <f>AZ7*(1+(Assumptions!$B$15))</f>
        <v>67520.368248951796</v>
      </c>
      <c r="BB7" s="6">
        <f>BA7*(1+(Assumptions!$B$15))</f>
        <v>69545.979296420352</v>
      </c>
      <c r="BC7" s="6">
        <f>BB7*(1+(Assumptions!$B$15))</f>
        <v>71632.358675312964</v>
      </c>
    </row>
    <row r="8" spans="1:55" x14ac:dyDescent="0.25">
      <c r="A8" s="132">
        <v>500</v>
      </c>
      <c r="B8" s="133">
        <v>784</v>
      </c>
      <c r="C8" s="134">
        <v>38544</v>
      </c>
      <c r="D8" s="134">
        <v>47362</v>
      </c>
      <c r="E8" s="135">
        <v>52573.55</v>
      </c>
      <c r="F8" s="157"/>
      <c r="G8" s="6">
        <f>IF($C8&lt;(DATE(G$2,12,31)),H8/(1+(Assumptions!$B$14)),0)</f>
        <v>0</v>
      </c>
      <c r="H8" s="6">
        <f>IF($C8&lt;(DATE(H$2,12,31)),I8/(1+(Assumptions!$B$14)),0)</f>
        <v>0</v>
      </c>
      <c r="I8" s="6">
        <f>IF($C8&lt;(DATE(I$2,12,31)),J8/(1+(Assumptions!$B$14)),0)</f>
        <v>0</v>
      </c>
      <c r="J8" s="6">
        <f>IF($C8&lt;(DATE(J$2,12,31)),K8/(1+(Assumptions!$B$14)),0)</f>
        <v>0</v>
      </c>
      <c r="K8" s="6">
        <f>IF($C8&lt;(DATE(K$2,12,31)),L8/(1+(Assumptions!$B$14)),0)</f>
        <v>0</v>
      </c>
      <c r="L8" s="6">
        <f>IF($C8&lt;(DATE(L$2,12,31)),M8/(1+(Assumptions!$B$14)),0)</f>
        <v>0</v>
      </c>
      <c r="M8" s="6">
        <f>IF($C8&lt;(DATE(M$2,12,31)),N8/(1+(Assumptions!$B$14)),0)</f>
        <v>0</v>
      </c>
      <c r="N8" s="6">
        <f>IF($C8&lt;(DATE(N$2,12,31)),O8/(1+(Assumptions!$B$14)),0)</f>
        <v>0</v>
      </c>
      <c r="O8" s="6">
        <f>IF($C8&lt;(DATE(O$2,12,31)),P8/(1+(Assumptions!$B$14)),0)</f>
        <v>0</v>
      </c>
      <c r="P8" s="6">
        <f>IF($C8&lt;(DATE(P$2,12,31)),Q8/(1+(Assumptions!$B$14)),0)</f>
        <v>0</v>
      </c>
      <c r="Q8" s="6">
        <f>IF($C8&lt;(DATE(Q$2,12,31)),R8/(1+(Assumptions!$B$14)),0)</f>
        <v>0</v>
      </c>
      <c r="R8" s="6">
        <f>IF($C8&lt;(DATE(R$2,12,31)),S8/(1+(Assumptions!$B$14)),0)</f>
        <v>0</v>
      </c>
      <c r="S8" s="6">
        <f>IF($C8&lt;(DATE(S$2,12,31)),T8/(1+(Assumptions!$B$14)),0)</f>
        <v>0</v>
      </c>
      <c r="T8" s="6">
        <f>IF($C8&lt;(DATE(T$2,12,31)),U8/(1+(Assumptions!$B$14)),0)</f>
        <v>0</v>
      </c>
      <c r="U8" s="6">
        <f>IF($C8&lt;(DATE(U$2,12,31)),V8/(1+(Assumptions!$B$14)),0)</f>
        <v>0</v>
      </c>
      <c r="V8" s="6">
        <f>IF($C8&lt;(DATE(V$2,12,31)),W8/(1+(Assumptions!$B$14)),0)</f>
        <v>0</v>
      </c>
      <c r="W8" s="6">
        <f>IF($C8&lt;(DATE(W$2,12,31)),X8/(1+(Assumptions!$B$14)),0)</f>
        <v>0</v>
      </c>
      <c r="X8" s="6">
        <f>IF($C8&lt;(DATE(X$2,12,31)),Y8/(1+(Assumptions!$B$14)),0)</f>
        <v>0</v>
      </c>
      <c r="Y8" s="6">
        <f>IF($C8&lt;(DATE(Y$2,12,31)),Z8/(1+(Assumptions!$B$14)),0)</f>
        <v>0</v>
      </c>
      <c r="Z8" s="6">
        <f>IF($C8&lt;(DATE(Z$2,12,31)),AA8/(1+(Assumptions!$B$14)),0)</f>
        <v>0</v>
      </c>
      <c r="AA8" s="6">
        <f>IF($C8&lt;(DATE(AA$2,12,31)),AB8/(1+(Assumptions!$B$14)),0)</f>
        <v>0</v>
      </c>
      <c r="AB8" s="6">
        <f>IF($C8&lt;(DATE(AB$2,12,31)),AC8/(1+(Assumptions!$B$14)),0)</f>
        <v>0</v>
      </c>
      <c r="AC8" s="6">
        <f>IF($C8&lt;(DATE(AC$2,12,31)),AD8/(1+(Assumptions!$B$14)),0)</f>
        <v>0</v>
      </c>
      <c r="AD8" s="6">
        <f>IF($C8&lt;(DATE(AD$2,12,31)),AE8/(1+(Assumptions!$B$14)),0)</f>
        <v>0</v>
      </c>
      <c r="AE8" s="6">
        <f>IF($C8&lt;(DATE(AE$2,12,31)),AF8/(1+(Assumptions!$B$14)),0)</f>
        <v>0</v>
      </c>
      <c r="AF8" s="6">
        <f>IF($C8&lt;(DATE(AF$2,12,31)),AG8/(1+(Assumptions!$B$14)),0)</f>
        <v>0</v>
      </c>
      <c r="AG8" s="6">
        <f>IF($C8&lt;(DATE(AG$2,12,31)),AH8/(1+(Assumptions!$B$14)),0)</f>
        <v>0</v>
      </c>
      <c r="AH8" s="6">
        <f>IF($C8&lt;(DATE(AH$2,12,31)),AI8/(1+(Assumptions!$B$14)),0)</f>
        <v>0</v>
      </c>
      <c r="AI8" s="6">
        <f>IF($C8&lt;(DATE(AI$2,12,31)),AJ8/(1+(Assumptions!$B$14)),0)</f>
        <v>36937.478872290434</v>
      </c>
      <c r="AJ8" s="6">
        <f>IF($C8&lt;(DATE(AJ$2,12,31)),AK8/(1+(Assumptions!$B$14)),0)</f>
        <v>38414.978027182056</v>
      </c>
      <c r="AK8" s="6">
        <f>IF($C8&lt;(DATE(AK$2,12,31)),AL8/(1+(Assumptions!$B$14)),0)</f>
        <v>39951.577148269338</v>
      </c>
      <c r="AL8" s="6">
        <f>IF($C8&lt;(DATE(AL$2,12,31)),AM8/(1+(Assumptions!$B$14)),0)</f>
        <v>41549.640234200109</v>
      </c>
      <c r="AM8" s="6">
        <f>IF($C8&lt;(DATE(AM$2,12,31)),AN8/(1+(Assumptions!$B$14)),0)</f>
        <v>43211.625843568116</v>
      </c>
      <c r="AN8" s="6">
        <f>IF($C8&lt;(DATE(AN$2,12,31)),AO8/(1+(Assumptions!$B$14)),0)</f>
        <v>44940.090877310839</v>
      </c>
      <c r="AO8" s="6">
        <f>IF($C8&lt;(DATE(AO$2,12,31)),AP8/(1+(Assumptions!$B$14)),0)</f>
        <v>46737.694512403272</v>
      </c>
      <c r="AP8" s="6">
        <f>IF($C8&lt;(DATE(AP$2,12,31)),AQ8/(1+(Assumptions!$B$14)),0)</f>
        <v>48607.202292899405</v>
      </c>
      <c r="AQ8" s="6">
        <f>IF($C8&lt;(DATE(AQ$2,12,31)),AR8/(1+(Assumptions!$B$14)),0)</f>
        <v>50551.490384615383</v>
      </c>
      <c r="AR8" s="6">
        <f t="shared" si="0"/>
        <v>52573.55</v>
      </c>
      <c r="AS8" s="6">
        <f>AR8*(1+(Assumptions!$B$15))</f>
        <v>54150.756500000003</v>
      </c>
      <c r="AT8" s="6">
        <f>AS8*(1+(Assumptions!$B$15))</f>
        <v>55775.279195000003</v>
      </c>
      <c r="AU8" s="6">
        <f>AT8*(1+(Assumptions!$B$15))</f>
        <v>57448.537570850007</v>
      </c>
      <c r="AV8" s="6">
        <f>AU8*(1+(Assumptions!$B$15))</f>
        <v>59171.993697975508</v>
      </c>
      <c r="AW8" s="6">
        <f>AV8*(1+(Assumptions!$B$15))</f>
        <v>60947.153508914773</v>
      </c>
      <c r="AX8" s="6">
        <f>AW8*(1+(Assumptions!$B$15))</f>
        <v>62775.568114182221</v>
      </c>
      <c r="AY8" s="6">
        <f>AX8*(1+(Assumptions!$B$15))</f>
        <v>64658.835157607689</v>
      </c>
      <c r="AZ8" s="6">
        <f>AY8*(1+(Assumptions!$B$15))</f>
        <v>66598.600212335921</v>
      </c>
      <c r="BA8" s="6">
        <f>AZ8*(1+(Assumptions!$B$15))</f>
        <v>68596.558218706006</v>
      </c>
      <c r="BB8" s="6">
        <f>BA8*(1+(Assumptions!$B$15))</f>
        <v>70654.454965267185</v>
      </c>
      <c r="BC8" s="6">
        <f>BB8*(1+(Assumptions!$B$15))</f>
        <v>72774.088614225198</v>
      </c>
    </row>
    <row r="9" spans="1:55" x14ac:dyDescent="0.25">
      <c r="A9" s="132">
        <v>500</v>
      </c>
      <c r="B9" s="133">
        <v>783</v>
      </c>
      <c r="C9" s="134">
        <v>38537</v>
      </c>
      <c r="D9" s="134">
        <v>47818</v>
      </c>
      <c r="E9" s="135">
        <v>53398.36</v>
      </c>
      <c r="F9" s="157"/>
      <c r="G9" s="6">
        <f>IF($C9&lt;(DATE(G$2,12,31)),H9/(1+(Assumptions!$B$14)),0)</f>
        <v>0</v>
      </c>
      <c r="H9" s="6">
        <f>IF($C9&lt;(DATE(H$2,12,31)),I9/(1+(Assumptions!$B$14)),0)</f>
        <v>0</v>
      </c>
      <c r="I9" s="6">
        <f>IF($C9&lt;(DATE(I$2,12,31)),J9/(1+(Assumptions!$B$14)),0)</f>
        <v>0</v>
      </c>
      <c r="J9" s="6">
        <f>IF($C9&lt;(DATE(J$2,12,31)),K9/(1+(Assumptions!$B$14)),0)</f>
        <v>0</v>
      </c>
      <c r="K9" s="6">
        <f>IF($C9&lt;(DATE(K$2,12,31)),L9/(1+(Assumptions!$B$14)),0)</f>
        <v>0</v>
      </c>
      <c r="L9" s="6">
        <f>IF($C9&lt;(DATE(L$2,12,31)),M9/(1+(Assumptions!$B$14)),0)</f>
        <v>0</v>
      </c>
      <c r="M9" s="6">
        <f>IF($C9&lt;(DATE(M$2,12,31)),N9/(1+(Assumptions!$B$14)),0)</f>
        <v>0</v>
      </c>
      <c r="N9" s="6">
        <f>IF($C9&lt;(DATE(N$2,12,31)),O9/(1+(Assumptions!$B$14)),0)</f>
        <v>0</v>
      </c>
      <c r="O9" s="6">
        <f>IF($C9&lt;(DATE(O$2,12,31)),P9/(1+(Assumptions!$B$14)),0)</f>
        <v>0</v>
      </c>
      <c r="P9" s="6">
        <f>IF($C9&lt;(DATE(P$2,12,31)),Q9/(1+(Assumptions!$B$14)),0)</f>
        <v>0</v>
      </c>
      <c r="Q9" s="6">
        <f>IF($C9&lt;(DATE(Q$2,12,31)),R9/(1+(Assumptions!$B$14)),0)</f>
        <v>0</v>
      </c>
      <c r="R9" s="6">
        <f>IF($C9&lt;(DATE(R$2,12,31)),S9/(1+(Assumptions!$B$14)),0)</f>
        <v>0</v>
      </c>
      <c r="S9" s="6">
        <f>IF($C9&lt;(DATE(S$2,12,31)),T9/(1+(Assumptions!$B$14)),0)</f>
        <v>0</v>
      </c>
      <c r="T9" s="6">
        <f>IF($C9&lt;(DATE(T$2,12,31)),U9/(1+(Assumptions!$B$14)),0)</f>
        <v>0</v>
      </c>
      <c r="U9" s="6">
        <f>IF($C9&lt;(DATE(U$2,12,31)),V9/(1+(Assumptions!$B$14)),0)</f>
        <v>0</v>
      </c>
      <c r="V9" s="6">
        <f>IF($C9&lt;(DATE(V$2,12,31)),W9/(1+(Assumptions!$B$14)),0)</f>
        <v>0</v>
      </c>
      <c r="W9" s="6">
        <f>IF($C9&lt;(DATE(W$2,12,31)),X9/(1+(Assumptions!$B$14)),0)</f>
        <v>0</v>
      </c>
      <c r="X9" s="6">
        <f>IF($C9&lt;(DATE(X$2,12,31)),Y9/(1+(Assumptions!$B$14)),0)</f>
        <v>0</v>
      </c>
      <c r="Y9" s="6">
        <f>IF($C9&lt;(DATE(Y$2,12,31)),Z9/(1+(Assumptions!$B$14)),0)</f>
        <v>0</v>
      </c>
      <c r="Z9" s="6">
        <f>IF($C9&lt;(DATE(Z$2,12,31)),AA9/(1+(Assumptions!$B$14)),0)</f>
        <v>0</v>
      </c>
      <c r="AA9" s="6">
        <f>IF($C9&lt;(DATE(AA$2,12,31)),AB9/(1+(Assumptions!$B$14)),0)</f>
        <v>0</v>
      </c>
      <c r="AB9" s="6">
        <f>IF($C9&lt;(DATE(AB$2,12,31)),AC9/(1+(Assumptions!$B$14)),0)</f>
        <v>0</v>
      </c>
      <c r="AC9" s="6">
        <f>IF($C9&lt;(DATE(AC$2,12,31)),AD9/(1+(Assumptions!$B$14)),0)</f>
        <v>0</v>
      </c>
      <c r="AD9" s="6">
        <f>IF($C9&lt;(DATE(AD$2,12,31)),AE9/(1+(Assumptions!$B$14)),0)</f>
        <v>0</v>
      </c>
      <c r="AE9" s="6">
        <f>IF($C9&lt;(DATE(AE$2,12,31)),AF9/(1+(Assumptions!$B$14)),0)</f>
        <v>0</v>
      </c>
      <c r="AF9" s="6">
        <f>IF($C9&lt;(DATE(AF$2,12,31)),AG9/(1+(Assumptions!$B$14)),0)</f>
        <v>0</v>
      </c>
      <c r="AG9" s="6">
        <f>IF($C9&lt;(DATE(AG$2,12,31)),AH9/(1+(Assumptions!$B$14)),0)</f>
        <v>0</v>
      </c>
      <c r="AH9" s="6">
        <f>IF($C9&lt;(DATE(AH$2,12,31)),AI9/(1+(Assumptions!$B$14)),0)</f>
        <v>0</v>
      </c>
      <c r="AI9" s="6">
        <f>IF($C9&lt;(DATE(AI$2,12,31)),AJ9/(1+(Assumptions!$B$14)),0)</f>
        <v>37516.979437663205</v>
      </c>
      <c r="AJ9" s="6">
        <f>IF($C9&lt;(DATE(AJ$2,12,31)),AK9/(1+(Assumptions!$B$14)),0)</f>
        <v>39017.658615169734</v>
      </c>
      <c r="AK9" s="6">
        <f>IF($C9&lt;(DATE(AK$2,12,31)),AL9/(1+(Assumptions!$B$14)),0)</f>
        <v>40578.364959776525</v>
      </c>
      <c r="AL9" s="6">
        <f>IF($C9&lt;(DATE(AL$2,12,31)),AM9/(1+(Assumptions!$B$14)),0)</f>
        <v>42201.49955816759</v>
      </c>
      <c r="AM9" s="6">
        <f>IF($C9&lt;(DATE(AM$2,12,31)),AN9/(1+(Assumptions!$B$14)),0)</f>
        <v>43889.559540494294</v>
      </c>
      <c r="AN9" s="6">
        <f>IF($C9&lt;(DATE(AN$2,12,31)),AO9/(1+(Assumptions!$B$14)),0)</f>
        <v>45645.141922114068</v>
      </c>
      <c r="AO9" s="6">
        <f>IF($C9&lt;(DATE(AO$2,12,31)),AP9/(1+(Assumptions!$B$14)),0)</f>
        <v>47470.947598998631</v>
      </c>
      <c r="AP9" s="6">
        <f>IF($C9&lt;(DATE(AP$2,12,31)),AQ9/(1+(Assumptions!$B$14)),0)</f>
        <v>49369.785502958577</v>
      </c>
      <c r="AQ9" s="6">
        <f>IF($C9&lt;(DATE(AQ$2,12,31)),AR9/(1+(Assumptions!$B$14)),0)</f>
        <v>51344.576923076922</v>
      </c>
      <c r="AR9" s="6">
        <f t="shared" si="0"/>
        <v>53398.36</v>
      </c>
      <c r="AS9" s="6">
        <f>AR9*(1+(Assumptions!$B$15))</f>
        <v>55000.310799999999</v>
      </c>
      <c r="AT9" s="6">
        <f>AS9*(1+(Assumptions!$B$15))</f>
        <v>56650.320123999998</v>
      </c>
      <c r="AU9" s="6">
        <f>AT9*(1+(Assumptions!$B$15))</f>
        <v>58349.829727719996</v>
      </c>
      <c r="AV9" s="6">
        <f>AU9*(1+(Assumptions!$B$15))</f>
        <v>60100.324619551597</v>
      </c>
      <c r="AW9" s="6">
        <f>AV9*(1+(Assumptions!$B$15))</f>
        <v>61903.334358138149</v>
      </c>
      <c r="AX9" s="6">
        <f>AW9*(1+(Assumptions!$B$15))</f>
        <v>63760.434388882291</v>
      </c>
      <c r="AY9" s="6">
        <f>AX9*(1+(Assumptions!$B$15))</f>
        <v>65673.247420548767</v>
      </c>
      <c r="AZ9" s="6">
        <f>AY9*(1+(Assumptions!$B$15))</f>
        <v>67643.444843165227</v>
      </c>
      <c r="BA9" s="6">
        <f>AZ9*(1+(Assumptions!$B$15))</f>
        <v>69672.748188460188</v>
      </c>
      <c r="BB9" s="6">
        <f>BA9*(1+(Assumptions!$B$15))</f>
        <v>71762.930634113989</v>
      </c>
      <c r="BC9" s="6">
        <f>BB9*(1+(Assumptions!$B$15))</f>
        <v>73915.818553137404</v>
      </c>
    </row>
    <row r="10" spans="1:55" x14ac:dyDescent="0.25">
      <c r="A10" s="132">
        <v>500</v>
      </c>
      <c r="B10" s="133">
        <v>782</v>
      </c>
      <c r="C10" s="134">
        <v>38502</v>
      </c>
      <c r="D10" s="134">
        <v>54483</v>
      </c>
      <c r="E10" s="135">
        <v>54223.17</v>
      </c>
      <c r="F10" s="157"/>
      <c r="G10" s="6">
        <f>IF($C10&lt;(DATE(G$2,12,31)),H10/(1+(Assumptions!$B$14)),0)</f>
        <v>0</v>
      </c>
      <c r="H10" s="6">
        <f>IF($C10&lt;(DATE(H$2,12,31)),I10/(1+(Assumptions!$B$14)),0)</f>
        <v>0</v>
      </c>
      <c r="I10" s="6">
        <f>IF($C10&lt;(DATE(I$2,12,31)),J10/(1+(Assumptions!$B$14)),0)</f>
        <v>0</v>
      </c>
      <c r="J10" s="6">
        <f>IF($C10&lt;(DATE(J$2,12,31)),K10/(1+(Assumptions!$B$14)),0)</f>
        <v>0</v>
      </c>
      <c r="K10" s="6">
        <f>IF($C10&lt;(DATE(K$2,12,31)),L10/(1+(Assumptions!$B$14)),0)</f>
        <v>0</v>
      </c>
      <c r="L10" s="6">
        <f>IF($C10&lt;(DATE(L$2,12,31)),M10/(1+(Assumptions!$B$14)),0)</f>
        <v>0</v>
      </c>
      <c r="M10" s="6">
        <f>IF($C10&lt;(DATE(M$2,12,31)),N10/(1+(Assumptions!$B$14)),0)</f>
        <v>0</v>
      </c>
      <c r="N10" s="6">
        <f>IF($C10&lt;(DATE(N$2,12,31)),O10/(1+(Assumptions!$B$14)),0)</f>
        <v>0</v>
      </c>
      <c r="O10" s="6">
        <f>IF($C10&lt;(DATE(O$2,12,31)),P10/(1+(Assumptions!$B$14)),0)</f>
        <v>0</v>
      </c>
      <c r="P10" s="6">
        <f>IF($C10&lt;(DATE(P$2,12,31)),Q10/(1+(Assumptions!$B$14)),0)</f>
        <v>0</v>
      </c>
      <c r="Q10" s="6">
        <f>IF($C10&lt;(DATE(Q$2,12,31)),R10/(1+(Assumptions!$B$14)),0)</f>
        <v>0</v>
      </c>
      <c r="R10" s="6">
        <f>IF($C10&lt;(DATE(R$2,12,31)),S10/(1+(Assumptions!$B$14)),0)</f>
        <v>0</v>
      </c>
      <c r="S10" s="6">
        <f>IF($C10&lt;(DATE(S$2,12,31)),T10/(1+(Assumptions!$B$14)),0)</f>
        <v>0</v>
      </c>
      <c r="T10" s="6">
        <f>IF($C10&lt;(DATE(T$2,12,31)),U10/(1+(Assumptions!$B$14)),0)</f>
        <v>0</v>
      </c>
      <c r="U10" s="6">
        <f>IF($C10&lt;(DATE(U$2,12,31)),V10/(1+(Assumptions!$B$14)),0)</f>
        <v>0</v>
      </c>
      <c r="V10" s="6">
        <f>IF($C10&lt;(DATE(V$2,12,31)),W10/(1+(Assumptions!$B$14)),0)</f>
        <v>0</v>
      </c>
      <c r="W10" s="6">
        <f>IF($C10&lt;(DATE(W$2,12,31)),X10/(1+(Assumptions!$B$14)),0)</f>
        <v>0</v>
      </c>
      <c r="X10" s="6">
        <f>IF($C10&lt;(DATE(X$2,12,31)),Y10/(1+(Assumptions!$B$14)),0)</f>
        <v>0</v>
      </c>
      <c r="Y10" s="6">
        <f>IF($C10&lt;(DATE(Y$2,12,31)),Z10/(1+(Assumptions!$B$14)),0)</f>
        <v>0</v>
      </c>
      <c r="Z10" s="6">
        <f>IF($C10&lt;(DATE(Z$2,12,31)),AA10/(1+(Assumptions!$B$14)),0)</f>
        <v>0</v>
      </c>
      <c r="AA10" s="6">
        <f>IF($C10&lt;(DATE(AA$2,12,31)),AB10/(1+(Assumptions!$B$14)),0)</f>
        <v>0</v>
      </c>
      <c r="AB10" s="6">
        <f>IF($C10&lt;(DATE(AB$2,12,31)),AC10/(1+(Assumptions!$B$14)),0)</f>
        <v>0</v>
      </c>
      <c r="AC10" s="6">
        <f>IF($C10&lt;(DATE(AC$2,12,31)),AD10/(1+(Assumptions!$B$14)),0)</f>
        <v>0</v>
      </c>
      <c r="AD10" s="6">
        <f>IF($C10&lt;(DATE(AD$2,12,31)),AE10/(1+(Assumptions!$B$14)),0)</f>
        <v>0</v>
      </c>
      <c r="AE10" s="6">
        <f>IF($C10&lt;(DATE(AE$2,12,31)),AF10/(1+(Assumptions!$B$14)),0)</f>
        <v>0</v>
      </c>
      <c r="AF10" s="6">
        <f>IF($C10&lt;(DATE(AF$2,12,31)),AG10/(1+(Assumptions!$B$14)),0)</f>
        <v>0</v>
      </c>
      <c r="AG10" s="6">
        <f>IF($C10&lt;(DATE(AG$2,12,31)),AH10/(1+(Assumptions!$B$14)),0)</f>
        <v>0</v>
      </c>
      <c r="AH10" s="6">
        <f>IF($C10&lt;(DATE(AH$2,12,31)),AI10/(1+(Assumptions!$B$14)),0)</f>
        <v>0</v>
      </c>
      <c r="AI10" s="6">
        <f>IF($C10&lt;(DATE(AI$2,12,31)),AJ10/(1+(Assumptions!$B$14)),0)</f>
        <v>38096.480003035977</v>
      </c>
      <c r="AJ10" s="6">
        <f>IF($C10&lt;(DATE(AJ$2,12,31)),AK10/(1+(Assumptions!$B$14)),0)</f>
        <v>39620.339203157419</v>
      </c>
      <c r="AK10" s="6">
        <f>IF($C10&lt;(DATE(AK$2,12,31)),AL10/(1+(Assumptions!$B$14)),0)</f>
        <v>41205.15277128372</v>
      </c>
      <c r="AL10" s="6">
        <f>IF($C10&lt;(DATE(AL$2,12,31)),AM10/(1+(Assumptions!$B$14)),0)</f>
        <v>42853.358882135071</v>
      </c>
      <c r="AM10" s="6">
        <f>IF($C10&lt;(DATE(AM$2,12,31)),AN10/(1+(Assumptions!$B$14)),0)</f>
        <v>44567.493237420473</v>
      </c>
      <c r="AN10" s="6">
        <f>IF($C10&lt;(DATE(AN$2,12,31)),AO10/(1+(Assumptions!$B$14)),0)</f>
        <v>46350.192966917297</v>
      </c>
      <c r="AO10" s="6">
        <f>IF($C10&lt;(DATE(AO$2,12,31)),AP10/(1+(Assumptions!$B$14)),0)</f>
        <v>48204.200685593991</v>
      </c>
      <c r="AP10" s="6">
        <f>IF($C10&lt;(DATE(AP$2,12,31)),AQ10/(1+(Assumptions!$B$14)),0)</f>
        <v>50132.36871301775</v>
      </c>
      <c r="AQ10" s="6">
        <f>IF($C10&lt;(DATE(AQ$2,12,31)),AR10/(1+(Assumptions!$B$14)),0)</f>
        <v>52137.663461538461</v>
      </c>
      <c r="AR10" s="6">
        <f t="shared" si="0"/>
        <v>54223.17</v>
      </c>
      <c r="AS10" s="6">
        <f>AR10*(1+(Assumptions!$B$15))</f>
        <v>55849.865100000003</v>
      </c>
      <c r="AT10" s="6">
        <f>AS10*(1+(Assumptions!$B$15))</f>
        <v>57525.361053000008</v>
      </c>
      <c r="AU10" s="6">
        <f>AT10*(1+(Assumptions!$B$15))</f>
        <v>59251.121884590008</v>
      </c>
      <c r="AV10" s="6">
        <f>AU10*(1+(Assumptions!$B$15))</f>
        <v>61028.655541127708</v>
      </c>
      <c r="AW10" s="6">
        <f>AV10*(1+(Assumptions!$B$15))</f>
        <v>62859.515207361539</v>
      </c>
      <c r="AX10" s="6">
        <f>AW10*(1+(Assumptions!$B$15))</f>
        <v>64745.300663582384</v>
      </c>
      <c r="AY10" s="6">
        <f>AX10*(1+(Assumptions!$B$15))</f>
        <v>66687.659683489852</v>
      </c>
      <c r="AZ10" s="6">
        <f>AY10*(1+(Assumptions!$B$15))</f>
        <v>68688.289473994548</v>
      </c>
      <c r="BA10" s="6">
        <f>AZ10*(1+(Assumptions!$B$15))</f>
        <v>70748.938158214383</v>
      </c>
      <c r="BB10" s="6">
        <f>BA10*(1+(Assumptions!$B$15))</f>
        <v>72871.406302960822</v>
      </c>
      <c r="BC10" s="6">
        <f>BB10*(1+(Assumptions!$B$15))</f>
        <v>75057.548492049653</v>
      </c>
    </row>
    <row r="11" spans="1:55" x14ac:dyDescent="0.25">
      <c r="A11" s="132">
        <v>500</v>
      </c>
      <c r="B11" s="133">
        <v>781</v>
      </c>
      <c r="C11" s="134">
        <v>38383</v>
      </c>
      <c r="D11" s="134">
        <v>46631</v>
      </c>
      <c r="E11" s="135">
        <v>55047.99</v>
      </c>
      <c r="F11" s="157"/>
      <c r="G11" s="6">
        <f>IF($C11&lt;(DATE(G$2,12,31)),H11/(1+(Assumptions!$B$14)),0)</f>
        <v>0</v>
      </c>
      <c r="H11" s="6">
        <f>IF($C11&lt;(DATE(H$2,12,31)),I11/(1+(Assumptions!$B$14)),0)</f>
        <v>0</v>
      </c>
      <c r="I11" s="6">
        <f>IF($C11&lt;(DATE(I$2,12,31)),J11/(1+(Assumptions!$B$14)),0)</f>
        <v>0</v>
      </c>
      <c r="J11" s="6">
        <f>IF($C11&lt;(DATE(J$2,12,31)),K11/(1+(Assumptions!$B$14)),0)</f>
        <v>0</v>
      </c>
      <c r="K11" s="6">
        <f>IF($C11&lt;(DATE(K$2,12,31)),L11/(1+(Assumptions!$B$14)),0)</f>
        <v>0</v>
      </c>
      <c r="L11" s="6">
        <f>IF($C11&lt;(DATE(L$2,12,31)),M11/(1+(Assumptions!$B$14)),0)</f>
        <v>0</v>
      </c>
      <c r="M11" s="6">
        <f>IF($C11&lt;(DATE(M$2,12,31)),N11/(1+(Assumptions!$B$14)),0)</f>
        <v>0</v>
      </c>
      <c r="N11" s="6">
        <f>IF($C11&lt;(DATE(N$2,12,31)),O11/(1+(Assumptions!$B$14)),0)</f>
        <v>0</v>
      </c>
      <c r="O11" s="6">
        <f>IF($C11&lt;(DATE(O$2,12,31)),P11/(1+(Assumptions!$B$14)),0)</f>
        <v>0</v>
      </c>
      <c r="P11" s="6">
        <f>IF($C11&lt;(DATE(P$2,12,31)),Q11/(1+(Assumptions!$B$14)),0)</f>
        <v>0</v>
      </c>
      <c r="Q11" s="6">
        <f>IF($C11&lt;(DATE(Q$2,12,31)),R11/(1+(Assumptions!$B$14)),0)</f>
        <v>0</v>
      </c>
      <c r="R11" s="6">
        <f>IF($C11&lt;(DATE(R$2,12,31)),S11/(1+(Assumptions!$B$14)),0)</f>
        <v>0</v>
      </c>
      <c r="S11" s="6">
        <f>IF($C11&lt;(DATE(S$2,12,31)),T11/(1+(Assumptions!$B$14)),0)</f>
        <v>0</v>
      </c>
      <c r="T11" s="6">
        <f>IF($C11&lt;(DATE(T$2,12,31)),U11/(1+(Assumptions!$B$14)),0)</f>
        <v>0</v>
      </c>
      <c r="U11" s="6">
        <f>IF($C11&lt;(DATE(U$2,12,31)),V11/(1+(Assumptions!$B$14)),0)</f>
        <v>0</v>
      </c>
      <c r="V11" s="6">
        <f>IF($C11&lt;(DATE(V$2,12,31)),W11/(1+(Assumptions!$B$14)),0)</f>
        <v>0</v>
      </c>
      <c r="W11" s="6">
        <f>IF($C11&lt;(DATE(W$2,12,31)),X11/(1+(Assumptions!$B$14)),0)</f>
        <v>0</v>
      </c>
      <c r="X11" s="6">
        <f>IF($C11&lt;(DATE(X$2,12,31)),Y11/(1+(Assumptions!$B$14)),0)</f>
        <v>0</v>
      </c>
      <c r="Y11" s="6">
        <f>IF($C11&lt;(DATE(Y$2,12,31)),Z11/(1+(Assumptions!$B$14)),0)</f>
        <v>0</v>
      </c>
      <c r="Z11" s="6">
        <f>IF($C11&lt;(DATE(Z$2,12,31)),AA11/(1+(Assumptions!$B$14)),0)</f>
        <v>0</v>
      </c>
      <c r="AA11" s="6">
        <f>IF($C11&lt;(DATE(AA$2,12,31)),AB11/(1+(Assumptions!$B$14)),0)</f>
        <v>0</v>
      </c>
      <c r="AB11" s="6">
        <f>IF($C11&lt;(DATE(AB$2,12,31)),AC11/(1+(Assumptions!$B$14)),0)</f>
        <v>0</v>
      </c>
      <c r="AC11" s="6">
        <f>IF($C11&lt;(DATE(AC$2,12,31)),AD11/(1+(Assumptions!$B$14)),0)</f>
        <v>0</v>
      </c>
      <c r="AD11" s="6">
        <f>IF($C11&lt;(DATE(AD$2,12,31)),AE11/(1+(Assumptions!$B$14)),0)</f>
        <v>0</v>
      </c>
      <c r="AE11" s="6">
        <f>IF($C11&lt;(DATE(AE$2,12,31)),AF11/(1+(Assumptions!$B$14)),0)</f>
        <v>0</v>
      </c>
      <c r="AF11" s="6">
        <f>IF($C11&lt;(DATE(AF$2,12,31)),AG11/(1+(Assumptions!$B$14)),0)</f>
        <v>0</v>
      </c>
      <c r="AG11" s="6">
        <f>IF($C11&lt;(DATE(AG$2,12,31)),AH11/(1+(Assumptions!$B$14)),0)</f>
        <v>0</v>
      </c>
      <c r="AH11" s="6">
        <f>IF($C11&lt;(DATE(AH$2,12,31)),AI11/(1+(Assumptions!$B$14)),0)</f>
        <v>0</v>
      </c>
      <c r="AI11" s="6">
        <f>IF($C11&lt;(DATE(AI$2,12,31)),AJ11/(1+(Assumptions!$B$14)),0)</f>
        <v>38675.987594276106</v>
      </c>
      <c r="AJ11" s="6">
        <f>IF($C11&lt;(DATE(AJ$2,12,31)),AK11/(1+(Assumptions!$B$14)),0)</f>
        <v>40223.027098047154</v>
      </c>
      <c r="AK11" s="6">
        <f>IF($C11&lt;(DATE(AK$2,12,31)),AL11/(1+(Assumptions!$B$14)),0)</f>
        <v>41831.948181969041</v>
      </c>
      <c r="AL11" s="6">
        <f>IF($C11&lt;(DATE(AL$2,12,31)),AM11/(1+(Assumptions!$B$14)),0)</f>
        <v>43505.226109247807</v>
      </c>
      <c r="AM11" s="6">
        <f>IF($C11&lt;(DATE(AM$2,12,31)),AN11/(1+(Assumptions!$B$14)),0)</f>
        <v>45245.43515361772</v>
      </c>
      <c r="AN11" s="6">
        <f>IF($C11&lt;(DATE(AN$2,12,31)),AO11/(1+(Assumptions!$B$14)),0)</f>
        <v>47055.252559762434</v>
      </c>
      <c r="AO11" s="6">
        <f>IF($C11&lt;(DATE(AO$2,12,31)),AP11/(1+(Assumptions!$B$14)),0)</f>
        <v>48937.462662152931</v>
      </c>
      <c r="AP11" s="6">
        <f>IF($C11&lt;(DATE(AP$2,12,31)),AQ11/(1+(Assumptions!$B$14)),0)</f>
        <v>50894.961168639049</v>
      </c>
      <c r="AQ11" s="6">
        <f>IF($C11&lt;(DATE(AQ$2,12,31)),AR11/(1+(Assumptions!$B$14)),0)</f>
        <v>52930.75961538461</v>
      </c>
      <c r="AR11" s="6">
        <f t="shared" si="0"/>
        <v>55047.99</v>
      </c>
      <c r="AS11" s="6">
        <f>AR11*(1+(Assumptions!$B$15))</f>
        <v>56699.429700000001</v>
      </c>
      <c r="AT11" s="6">
        <f>AS11*(1+(Assumptions!$B$15))</f>
        <v>58400.412591</v>
      </c>
      <c r="AU11" s="6">
        <f>AT11*(1+(Assumptions!$B$15))</f>
        <v>60152.424968730003</v>
      </c>
      <c r="AV11" s="6">
        <f>AU11*(1+(Assumptions!$B$15))</f>
        <v>61956.997717791906</v>
      </c>
      <c r="AW11" s="6">
        <f>AV11*(1+(Assumptions!$B$15))</f>
        <v>63815.707649325668</v>
      </c>
      <c r="AX11" s="6">
        <f>AW11*(1+(Assumptions!$B$15))</f>
        <v>65730.17887880544</v>
      </c>
      <c r="AY11" s="6">
        <f>AX11*(1+(Assumptions!$B$15))</f>
        <v>67702.084245169608</v>
      </c>
      <c r="AZ11" s="6">
        <f>AY11*(1+(Assumptions!$B$15))</f>
        <v>69733.146772524691</v>
      </c>
      <c r="BA11" s="6">
        <f>AZ11*(1+(Assumptions!$B$15))</f>
        <v>71825.141175700439</v>
      </c>
      <c r="BB11" s="6">
        <f>BA11*(1+(Assumptions!$B$15))</f>
        <v>73979.895410971454</v>
      </c>
      <c r="BC11" s="6">
        <f>BB11*(1+(Assumptions!$B$15))</f>
        <v>76199.292273300598</v>
      </c>
    </row>
    <row r="12" spans="1:55" x14ac:dyDescent="0.25">
      <c r="A12" s="132">
        <v>500</v>
      </c>
      <c r="B12" s="133">
        <v>780</v>
      </c>
      <c r="C12" s="134">
        <v>38446</v>
      </c>
      <c r="D12" s="134">
        <v>52932</v>
      </c>
      <c r="E12" s="135">
        <v>55872.800000000003</v>
      </c>
      <c r="F12" s="157"/>
      <c r="G12" s="6">
        <f>IF($C12&lt;(DATE(G$2,12,31)),H12/(1+(Assumptions!$B$14)),0)</f>
        <v>0</v>
      </c>
      <c r="H12" s="6">
        <f>IF($C12&lt;(DATE(H$2,12,31)),I12/(1+(Assumptions!$B$14)),0)</f>
        <v>0</v>
      </c>
      <c r="I12" s="6">
        <f>IF($C12&lt;(DATE(I$2,12,31)),J12/(1+(Assumptions!$B$14)),0)</f>
        <v>0</v>
      </c>
      <c r="J12" s="6">
        <f>IF($C12&lt;(DATE(J$2,12,31)),K12/(1+(Assumptions!$B$14)),0)</f>
        <v>0</v>
      </c>
      <c r="K12" s="6">
        <f>IF($C12&lt;(DATE(K$2,12,31)),L12/(1+(Assumptions!$B$14)),0)</f>
        <v>0</v>
      </c>
      <c r="L12" s="6">
        <f>IF($C12&lt;(DATE(L$2,12,31)),M12/(1+(Assumptions!$B$14)),0)</f>
        <v>0</v>
      </c>
      <c r="M12" s="6">
        <f>IF($C12&lt;(DATE(M$2,12,31)),N12/(1+(Assumptions!$B$14)),0)</f>
        <v>0</v>
      </c>
      <c r="N12" s="6">
        <f>IF($C12&lt;(DATE(N$2,12,31)),O12/(1+(Assumptions!$B$14)),0)</f>
        <v>0</v>
      </c>
      <c r="O12" s="6">
        <f>IF($C12&lt;(DATE(O$2,12,31)),P12/(1+(Assumptions!$B$14)),0)</f>
        <v>0</v>
      </c>
      <c r="P12" s="6">
        <f>IF($C12&lt;(DATE(P$2,12,31)),Q12/(1+(Assumptions!$B$14)),0)</f>
        <v>0</v>
      </c>
      <c r="Q12" s="6">
        <f>IF($C12&lt;(DATE(Q$2,12,31)),R12/(1+(Assumptions!$B$14)),0)</f>
        <v>0</v>
      </c>
      <c r="R12" s="6">
        <f>IF($C12&lt;(DATE(R$2,12,31)),S12/(1+(Assumptions!$B$14)),0)</f>
        <v>0</v>
      </c>
      <c r="S12" s="6">
        <f>IF($C12&lt;(DATE(S$2,12,31)),T12/(1+(Assumptions!$B$14)),0)</f>
        <v>0</v>
      </c>
      <c r="T12" s="6">
        <f>IF($C12&lt;(DATE(T$2,12,31)),U12/(1+(Assumptions!$B$14)),0)</f>
        <v>0</v>
      </c>
      <c r="U12" s="6">
        <f>IF($C12&lt;(DATE(U$2,12,31)),V12/(1+(Assumptions!$B$14)),0)</f>
        <v>0</v>
      </c>
      <c r="V12" s="6">
        <f>IF($C12&lt;(DATE(V$2,12,31)),W12/(1+(Assumptions!$B$14)),0)</f>
        <v>0</v>
      </c>
      <c r="W12" s="6">
        <f>IF($C12&lt;(DATE(W$2,12,31)),X12/(1+(Assumptions!$B$14)),0)</f>
        <v>0</v>
      </c>
      <c r="X12" s="6">
        <f>IF($C12&lt;(DATE(X$2,12,31)),Y12/(1+(Assumptions!$B$14)),0)</f>
        <v>0</v>
      </c>
      <c r="Y12" s="6">
        <f>IF($C12&lt;(DATE(Y$2,12,31)),Z12/(1+(Assumptions!$B$14)),0)</f>
        <v>0</v>
      </c>
      <c r="Z12" s="6">
        <f>IF($C12&lt;(DATE(Z$2,12,31)),AA12/(1+(Assumptions!$B$14)),0)</f>
        <v>0</v>
      </c>
      <c r="AA12" s="6">
        <f>IF($C12&lt;(DATE(AA$2,12,31)),AB12/(1+(Assumptions!$B$14)),0)</f>
        <v>0</v>
      </c>
      <c r="AB12" s="6">
        <f>IF($C12&lt;(DATE(AB$2,12,31)),AC12/(1+(Assumptions!$B$14)),0)</f>
        <v>0</v>
      </c>
      <c r="AC12" s="6">
        <f>IF($C12&lt;(DATE(AC$2,12,31)),AD12/(1+(Assumptions!$B$14)),0)</f>
        <v>0</v>
      </c>
      <c r="AD12" s="6">
        <f>IF($C12&lt;(DATE(AD$2,12,31)),AE12/(1+(Assumptions!$B$14)),0)</f>
        <v>0</v>
      </c>
      <c r="AE12" s="6">
        <f>IF($C12&lt;(DATE(AE$2,12,31)),AF12/(1+(Assumptions!$B$14)),0)</f>
        <v>0</v>
      </c>
      <c r="AF12" s="6">
        <f>IF($C12&lt;(DATE(AF$2,12,31)),AG12/(1+(Assumptions!$B$14)),0)</f>
        <v>0</v>
      </c>
      <c r="AG12" s="6">
        <f>IF($C12&lt;(DATE(AG$2,12,31)),AH12/(1+(Assumptions!$B$14)),0)</f>
        <v>0</v>
      </c>
      <c r="AH12" s="6">
        <f>IF($C12&lt;(DATE(AH$2,12,31)),AI12/(1+(Assumptions!$B$14)),0)</f>
        <v>0</v>
      </c>
      <c r="AI12" s="6">
        <f>IF($C12&lt;(DATE(AI$2,12,31)),AJ12/(1+(Assumptions!$B$14)),0)</f>
        <v>39255.488159648899</v>
      </c>
      <c r="AJ12" s="6">
        <f>IF($C12&lt;(DATE(AJ$2,12,31)),AK12/(1+(Assumptions!$B$14)),0)</f>
        <v>40825.707686034853</v>
      </c>
      <c r="AK12" s="6">
        <f>IF($C12&lt;(DATE(AK$2,12,31)),AL12/(1+(Assumptions!$B$14)),0)</f>
        <v>42458.73599347625</v>
      </c>
      <c r="AL12" s="6">
        <f>IF($C12&lt;(DATE(AL$2,12,31)),AM12/(1+(Assumptions!$B$14)),0)</f>
        <v>44157.085433215303</v>
      </c>
      <c r="AM12" s="6">
        <f>IF($C12&lt;(DATE(AM$2,12,31)),AN12/(1+(Assumptions!$B$14)),0)</f>
        <v>45923.368850543913</v>
      </c>
      <c r="AN12" s="6">
        <f>IF($C12&lt;(DATE(AN$2,12,31)),AO12/(1+(Assumptions!$B$14)),0)</f>
        <v>47760.30360456567</v>
      </c>
      <c r="AO12" s="6">
        <f>IF($C12&lt;(DATE(AO$2,12,31)),AP12/(1+(Assumptions!$B$14)),0)</f>
        <v>49670.715748748298</v>
      </c>
      <c r="AP12" s="6">
        <f>IF($C12&lt;(DATE(AP$2,12,31)),AQ12/(1+(Assumptions!$B$14)),0)</f>
        <v>51657.544378698229</v>
      </c>
      <c r="AQ12" s="6">
        <f>IF($C12&lt;(DATE(AQ$2,12,31)),AR12/(1+(Assumptions!$B$14)),0)</f>
        <v>53723.846153846156</v>
      </c>
      <c r="AR12" s="6">
        <f t="shared" si="0"/>
        <v>55872.800000000003</v>
      </c>
      <c r="AS12" s="6">
        <f>AR12*(1+(Assumptions!$B$15))</f>
        <v>57548.984000000004</v>
      </c>
      <c r="AT12" s="6">
        <f>AS12*(1+(Assumptions!$B$15))</f>
        <v>59275.453520000003</v>
      </c>
      <c r="AU12" s="6">
        <f>AT12*(1+(Assumptions!$B$15))</f>
        <v>61053.717125600007</v>
      </c>
      <c r="AV12" s="6">
        <f>AU12*(1+(Assumptions!$B$15))</f>
        <v>62885.32863936801</v>
      </c>
      <c r="AW12" s="6">
        <f>AV12*(1+(Assumptions!$B$15))</f>
        <v>64771.888498549051</v>
      </c>
      <c r="AX12" s="6">
        <f>AW12*(1+(Assumptions!$B$15))</f>
        <v>66715.045153505518</v>
      </c>
      <c r="AY12" s="6">
        <f>AX12*(1+(Assumptions!$B$15))</f>
        <v>68716.496508110678</v>
      </c>
      <c r="AZ12" s="6">
        <f>AY12*(1+(Assumptions!$B$15))</f>
        <v>70777.991403353997</v>
      </c>
      <c r="BA12" s="6">
        <f>AZ12*(1+(Assumptions!$B$15))</f>
        <v>72901.33114545462</v>
      </c>
      <c r="BB12" s="6">
        <f>BA12*(1+(Assumptions!$B$15))</f>
        <v>75088.371079818258</v>
      </c>
      <c r="BC12" s="6">
        <f>BB12*(1+(Assumptions!$B$15))</f>
        <v>77341.022212212803</v>
      </c>
    </row>
    <row r="13" spans="1:55" x14ac:dyDescent="0.25">
      <c r="A13" s="132">
        <v>500</v>
      </c>
      <c r="B13" s="133">
        <v>779</v>
      </c>
      <c r="C13" s="134">
        <v>38397</v>
      </c>
      <c r="D13" s="134">
        <v>48519</v>
      </c>
      <c r="E13" s="135">
        <v>56697.61</v>
      </c>
      <c r="F13" s="157"/>
      <c r="G13" s="6">
        <f>IF($C13&lt;(DATE(G$2,12,31)),H13/(1+(Assumptions!$B$14)),0)</f>
        <v>0</v>
      </c>
      <c r="H13" s="6">
        <f>IF($C13&lt;(DATE(H$2,12,31)),I13/(1+(Assumptions!$B$14)),0)</f>
        <v>0</v>
      </c>
      <c r="I13" s="6">
        <f>IF($C13&lt;(DATE(I$2,12,31)),J13/(1+(Assumptions!$B$14)),0)</f>
        <v>0</v>
      </c>
      <c r="J13" s="6">
        <f>IF($C13&lt;(DATE(J$2,12,31)),K13/(1+(Assumptions!$B$14)),0)</f>
        <v>0</v>
      </c>
      <c r="K13" s="6">
        <f>IF($C13&lt;(DATE(K$2,12,31)),L13/(1+(Assumptions!$B$14)),0)</f>
        <v>0</v>
      </c>
      <c r="L13" s="6">
        <f>IF($C13&lt;(DATE(L$2,12,31)),M13/(1+(Assumptions!$B$14)),0)</f>
        <v>0</v>
      </c>
      <c r="M13" s="6">
        <f>IF($C13&lt;(DATE(M$2,12,31)),N13/(1+(Assumptions!$B$14)),0)</f>
        <v>0</v>
      </c>
      <c r="N13" s="6">
        <f>IF($C13&lt;(DATE(N$2,12,31)),O13/(1+(Assumptions!$B$14)),0)</f>
        <v>0</v>
      </c>
      <c r="O13" s="6">
        <f>IF($C13&lt;(DATE(O$2,12,31)),P13/(1+(Assumptions!$B$14)),0)</f>
        <v>0</v>
      </c>
      <c r="P13" s="6">
        <f>IF($C13&lt;(DATE(P$2,12,31)),Q13/(1+(Assumptions!$B$14)),0)</f>
        <v>0</v>
      </c>
      <c r="Q13" s="6">
        <f>IF($C13&lt;(DATE(Q$2,12,31)),R13/(1+(Assumptions!$B$14)),0)</f>
        <v>0</v>
      </c>
      <c r="R13" s="6">
        <f>IF($C13&lt;(DATE(R$2,12,31)),S13/(1+(Assumptions!$B$14)),0)</f>
        <v>0</v>
      </c>
      <c r="S13" s="6">
        <f>IF($C13&lt;(DATE(S$2,12,31)),T13/(1+(Assumptions!$B$14)),0)</f>
        <v>0</v>
      </c>
      <c r="T13" s="6">
        <f>IF($C13&lt;(DATE(T$2,12,31)),U13/(1+(Assumptions!$B$14)),0)</f>
        <v>0</v>
      </c>
      <c r="U13" s="6">
        <f>IF($C13&lt;(DATE(U$2,12,31)),V13/(1+(Assumptions!$B$14)),0)</f>
        <v>0</v>
      </c>
      <c r="V13" s="6">
        <f>IF($C13&lt;(DATE(V$2,12,31)),W13/(1+(Assumptions!$B$14)),0)</f>
        <v>0</v>
      </c>
      <c r="W13" s="6">
        <f>IF($C13&lt;(DATE(W$2,12,31)),X13/(1+(Assumptions!$B$14)),0)</f>
        <v>0</v>
      </c>
      <c r="X13" s="6">
        <f>IF($C13&lt;(DATE(X$2,12,31)),Y13/(1+(Assumptions!$B$14)),0)</f>
        <v>0</v>
      </c>
      <c r="Y13" s="6">
        <f>IF($C13&lt;(DATE(Y$2,12,31)),Z13/(1+(Assumptions!$B$14)),0)</f>
        <v>0</v>
      </c>
      <c r="Z13" s="6">
        <f>IF($C13&lt;(DATE(Z$2,12,31)),AA13/(1+(Assumptions!$B$14)),0)</f>
        <v>0</v>
      </c>
      <c r="AA13" s="6">
        <f>IF($C13&lt;(DATE(AA$2,12,31)),AB13/(1+(Assumptions!$B$14)),0)</f>
        <v>0</v>
      </c>
      <c r="AB13" s="6">
        <f>IF($C13&lt;(DATE(AB$2,12,31)),AC13/(1+(Assumptions!$B$14)),0)</f>
        <v>0</v>
      </c>
      <c r="AC13" s="6">
        <f>IF($C13&lt;(DATE(AC$2,12,31)),AD13/(1+(Assumptions!$B$14)),0)</f>
        <v>0</v>
      </c>
      <c r="AD13" s="6">
        <f>IF($C13&lt;(DATE(AD$2,12,31)),AE13/(1+(Assumptions!$B$14)),0)</f>
        <v>0</v>
      </c>
      <c r="AE13" s="6">
        <f>IF($C13&lt;(DATE(AE$2,12,31)),AF13/(1+(Assumptions!$B$14)),0)</f>
        <v>0</v>
      </c>
      <c r="AF13" s="6">
        <f>IF($C13&lt;(DATE(AF$2,12,31)),AG13/(1+(Assumptions!$B$14)),0)</f>
        <v>0</v>
      </c>
      <c r="AG13" s="6">
        <f>IF($C13&lt;(DATE(AG$2,12,31)),AH13/(1+(Assumptions!$B$14)),0)</f>
        <v>0</v>
      </c>
      <c r="AH13" s="6">
        <f>IF($C13&lt;(DATE(AH$2,12,31)),AI13/(1+(Assumptions!$B$14)),0)</f>
        <v>0</v>
      </c>
      <c r="AI13" s="6">
        <f>IF($C13&lt;(DATE(AI$2,12,31)),AJ13/(1+(Assumptions!$B$14)),0)</f>
        <v>39834.988725021656</v>
      </c>
      <c r="AJ13" s="6">
        <f>IF($C13&lt;(DATE(AJ$2,12,31)),AK13/(1+(Assumptions!$B$14)),0)</f>
        <v>41428.388274022524</v>
      </c>
      <c r="AK13" s="6">
        <f>IF($C13&lt;(DATE(AK$2,12,31)),AL13/(1+(Assumptions!$B$14)),0)</f>
        <v>43085.523804983422</v>
      </c>
      <c r="AL13" s="6">
        <f>IF($C13&lt;(DATE(AL$2,12,31)),AM13/(1+(Assumptions!$B$14)),0)</f>
        <v>44808.944757182762</v>
      </c>
      <c r="AM13" s="6">
        <f>IF($C13&lt;(DATE(AM$2,12,31)),AN13/(1+(Assumptions!$B$14)),0)</f>
        <v>46601.302547470077</v>
      </c>
      <c r="AN13" s="6">
        <f>IF($C13&lt;(DATE(AN$2,12,31)),AO13/(1+(Assumptions!$B$14)),0)</f>
        <v>48465.354649368885</v>
      </c>
      <c r="AO13" s="6">
        <f>IF($C13&lt;(DATE(AO$2,12,31)),AP13/(1+(Assumptions!$B$14)),0)</f>
        <v>50403.968835343643</v>
      </c>
      <c r="AP13" s="6">
        <f>IF($C13&lt;(DATE(AP$2,12,31)),AQ13/(1+(Assumptions!$B$14)),0)</f>
        <v>52420.127588757394</v>
      </c>
      <c r="AQ13" s="6">
        <f>IF($C13&lt;(DATE(AQ$2,12,31)),AR13/(1+(Assumptions!$B$14)),0)</f>
        <v>54516.932692307688</v>
      </c>
      <c r="AR13" s="6">
        <f t="shared" si="0"/>
        <v>56697.61</v>
      </c>
      <c r="AS13" s="6">
        <f>AR13*(1+(Assumptions!$B$15))</f>
        <v>58398.5383</v>
      </c>
      <c r="AT13" s="6">
        <f>AS13*(1+(Assumptions!$B$15))</f>
        <v>60150.494449000005</v>
      </c>
      <c r="AU13" s="6">
        <f>AT13*(1+(Assumptions!$B$15))</f>
        <v>61955.009282470004</v>
      </c>
      <c r="AV13" s="6">
        <f>AU13*(1+(Assumptions!$B$15))</f>
        <v>63813.659560944106</v>
      </c>
      <c r="AW13" s="6">
        <f>AV13*(1+(Assumptions!$B$15))</f>
        <v>65728.069347772427</v>
      </c>
      <c r="AX13" s="6">
        <f>AW13*(1+(Assumptions!$B$15))</f>
        <v>67699.911428205596</v>
      </c>
      <c r="AY13" s="6">
        <f>AX13*(1+(Assumptions!$B$15))</f>
        <v>69730.908771051763</v>
      </c>
      <c r="AZ13" s="6">
        <f>AY13*(1+(Assumptions!$B$15))</f>
        <v>71822.836034183318</v>
      </c>
      <c r="BA13" s="6">
        <f>AZ13*(1+(Assumptions!$B$15))</f>
        <v>73977.521115208816</v>
      </c>
      <c r="BB13" s="6">
        <f>BA13*(1+(Assumptions!$B$15))</f>
        <v>76196.846748665077</v>
      </c>
      <c r="BC13" s="6">
        <f>BB13*(1+(Assumptions!$B$15))</f>
        <v>78482.752151125038</v>
      </c>
    </row>
    <row r="14" spans="1:55" x14ac:dyDescent="0.25">
      <c r="A14" s="132">
        <v>500</v>
      </c>
      <c r="B14" s="133">
        <v>778</v>
      </c>
      <c r="C14" s="134">
        <v>39142</v>
      </c>
      <c r="D14" s="134">
        <v>48061</v>
      </c>
      <c r="E14" s="135">
        <v>57522.42</v>
      </c>
      <c r="F14" s="157"/>
      <c r="G14" s="6">
        <f>IF($C14&lt;(DATE(G$2,12,31)),H14/(1+(Assumptions!$B$14)),0)</f>
        <v>0</v>
      </c>
      <c r="H14" s="6">
        <f>IF($C14&lt;(DATE(H$2,12,31)),I14/(1+(Assumptions!$B$14)),0)</f>
        <v>0</v>
      </c>
      <c r="I14" s="6">
        <f>IF($C14&lt;(DATE(I$2,12,31)),J14/(1+(Assumptions!$B$14)),0)</f>
        <v>0</v>
      </c>
      <c r="J14" s="6">
        <f>IF($C14&lt;(DATE(J$2,12,31)),K14/(1+(Assumptions!$B$14)),0)</f>
        <v>0</v>
      </c>
      <c r="K14" s="6">
        <f>IF($C14&lt;(DATE(K$2,12,31)),L14/(1+(Assumptions!$B$14)),0)</f>
        <v>0</v>
      </c>
      <c r="L14" s="6">
        <f>IF($C14&lt;(DATE(L$2,12,31)),M14/(1+(Assumptions!$B$14)),0)</f>
        <v>0</v>
      </c>
      <c r="M14" s="6">
        <f>IF($C14&lt;(DATE(M$2,12,31)),N14/(1+(Assumptions!$B$14)),0)</f>
        <v>0</v>
      </c>
      <c r="N14" s="6">
        <f>IF($C14&lt;(DATE(N$2,12,31)),O14/(1+(Assumptions!$B$14)),0)</f>
        <v>0</v>
      </c>
      <c r="O14" s="6">
        <f>IF($C14&lt;(DATE(O$2,12,31)),P14/(1+(Assumptions!$B$14)),0)</f>
        <v>0</v>
      </c>
      <c r="P14" s="6">
        <f>IF($C14&lt;(DATE(P$2,12,31)),Q14/(1+(Assumptions!$B$14)),0)</f>
        <v>0</v>
      </c>
      <c r="Q14" s="6">
        <f>IF($C14&lt;(DATE(Q$2,12,31)),R14/(1+(Assumptions!$B$14)),0)</f>
        <v>0</v>
      </c>
      <c r="R14" s="6">
        <f>IF($C14&lt;(DATE(R$2,12,31)),S14/(1+(Assumptions!$B$14)),0)</f>
        <v>0</v>
      </c>
      <c r="S14" s="6">
        <f>IF($C14&lt;(DATE(S$2,12,31)),T14/(1+(Assumptions!$B$14)),0)</f>
        <v>0</v>
      </c>
      <c r="T14" s="6">
        <f>IF($C14&lt;(DATE(T$2,12,31)),U14/(1+(Assumptions!$B$14)),0)</f>
        <v>0</v>
      </c>
      <c r="U14" s="6">
        <f>IF($C14&lt;(DATE(U$2,12,31)),V14/(1+(Assumptions!$B$14)),0)</f>
        <v>0</v>
      </c>
      <c r="V14" s="6">
        <f>IF($C14&lt;(DATE(V$2,12,31)),W14/(1+(Assumptions!$B$14)),0)</f>
        <v>0</v>
      </c>
      <c r="W14" s="6">
        <f>IF($C14&lt;(DATE(W$2,12,31)),X14/(1+(Assumptions!$B$14)),0)</f>
        <v>0</v>
      </c>
      <c r="X14" s="6">
        <f>IF($C14&lt;(DATE(X$2,12,31)),Y14/(1+(Assumptions!$B$14)),0)</f>
        <v>0</v>
      </c>
      <c r="Y14" s="6">
        <f>IF($C14&lt;(DATE(Y$2,12,31)),Z14/(1+(Assumptions!$B$14)),0)</f>
        <v>0</v>
      </c>
      <c r="Z14" s="6">
        <f>IF($C14&lt;(DATE(Z$2,12,31)),AA14/(1+(Assumptions!$B$14)),0)</f>
        <v>0</v>
      </c>
      <c r="AA14" s="6">
        <f>IF($C14&lt;(DATE(AA$2,12,31)),AB14/(1+(Assumptions!$B$14)),0)</f>
        <v>0</v>
      </c>
      <c r="AB14" s="6">
        <f>IF($C14&lt;(DATE(AB$2,12,31)),AC14/(1+(Assumptions!$B$14)),0)</f>
        <v>0</v>
      </c>
      <c r="AC14" s="6">
        <f>IF($C14&lt;(DATE(AC$2,12,31)),AD14/(1+(Assumptions!$B$14)),0)</f>
        <v>0</v>
      </c>
      <c r="AD14" s="6">
        <f>IF($C14&lt;(DATE(AD$2,12,31)),AE14/(1+(Assumptions!$B$14)),0)</f>
        <v>0</v>
      </c>
      <c r="AE14" s="6">
        <f>IF($C14&lt;(DATE(AE$2,12,31)),AF14/(1+(Assumptions!$B$14)),0)</f>
        <v>0</v>
      </c>
      <c r="AF14" s="6">
        <f>IF($C14&lt;(DATE(AF$2,12,31)),AG14/(1+(Assumptions!$B$14)),0)</f>
        <v>0</v>
      </c>
      <c r="AG14" s="6">
        <f>IF($C14&lt;(DATE(AG$2,12,31)),AH14/(1+(Assumptions!$B$14)),0)</f>
        <v>0</v>
      </c>
      <c r="AH14" s="6">
        <f>IF($C14&lt;(DATE(AH$2,12,31)),AI14/(1+(Assumptions!$B$14)),0)</f>
        <v>0</v>
      </c>
      <c r="AI14" s="6">
        <f>IF($C14&lt;(DATE(AI$2,12,31)),AJ14/(1+(Assumptions!$B$14)),0)</f>
        <v>0</v>
      </c>
      <c r="AJ14" s="6">
        <f>IF($C14&lt;(DATE(AJ$2,12,31)),AK14/(1+(Assumptions!$B$14)),0)</f>
        <v>0</v>
      </c>
      <c r="AK14" s="6">
        <f>IF($C14&lt;(DATE(AK$2,12,31)),AL14/(1+(Assumptions!$B$14)),0)</f>
        <v>43712.311616490617</v>
      </c>
      <c r="AL14" s="6">
        <f>IF($C14&lt;(DATE(AL$2,12,31)),AM14/(1+(Assumptions!$B$14)),0)</f>
        <v>45460.804081150243</v>
      </c>
      <c r="AM14" s="6">
        <f>IF($C14&lt;(DATE(AM$2,12,31)),AN14/(1+(Assumptions!$B$14)),0)</f>
        <v>47279.236244396256</v>
      </c>
      <c r="AN14" s="6">
        <f>IF($C14&lt;(DATE(AN$2,12,31)),AO14/(1+(Assumptions!$B$14)),0)</f>
        <v>49170.405694172106</v>
      </c>
      <c r="AO14" s="6">
        <f>IF($C14&lt;(DATE(AO$2,12,31)),AP14/(1+(Assumptions!$B$14)),0)</f>
        <v>51137.221921938995</v>
      </c>
      <c r="AP14" s="6">
        <f>IF($C14&lt;(DATE(AP$2,12,31)),AQ14/(1+(Assumptions!$B$14)),0)</f>
        <v>53182.710798816559</v>
      </c>
      <c r="AQ14" s="6">
        <f>IF($C14&lt;(DATE(AQ$2,12,31)),AR14/(1+(Assumptions!$B$14)),0)</f>
        <v>55310.019230769227</v>
      </c>
      <c r="AR14" s="6">
        <f t="shared" si="0"/>
        <v>57522.42</v>
      </c>
      <c r="AS14" s="6">
        <f>AR14*(1+(Assumptions!$B$15))</f>
        <v>59248.092599999996</v>
      </c>
      <c r="AT14" s="6">
        <f>AS14*(1+(Assumptions!$B$15))</f>
        <v>61025.535378</v>
      </c>
      <c r="AU14" s="6">
        <f>AT14*(1+(Assumptions!$B$15))</f>
        <v>62856.301439340001</v>
      </c>
      <c r="AV14" s="6">
        <f>AU14*(1+(Assumptions!$B$15))</f>
        <v>64741.990482520203</v>
      </c>
      <c r="AW14" s="6">
        <f>AV14*(1+(Assumptions!$B$15))</f>
        <v>66684.25019699581</v>
      </c>
      <c r="AX14" s="6">
        <f>AW14*(1+(Assumptions!$B$15))</f>
        <v>68684.777702905689</v>
      </c>
      <c r="AY14" s="6">
        <f>AX14*(1+(Assumptions!$B$15))</f>
        <v>70745.321033992863</v>
      </c>
      <c r="AZ14" s="6">
        <f>AY14*(1+(Assumptions!$B$15))</f>
        <v>72867.680665012653</v>
      </c>
      <c r="BA14" s="6">
        <f>AZ14*(1+(Assumptions!$B$15))</f>
        <v>75053.711084963041</v>
      </c>
      <c r="BB14" s="6">
        <f>BA14*(1+(Assumptions!$B$15))</f>
        <v>77305.322417511939</v>
      </c>
      <c r="BC14" s="6">
        <f>BB14*(1+(Assumptions!$B$15))</f>
        <v>79624.482090037302</v>
      </c>
    </row>
    <row r="15" spans="1:55" x14ac:dyDescent="0.25">
      <c r="A15" s="132">
        <v>500</v>
      </c>
      <c r="B15" s="133">
        <v>777</v>
      </c>
      <c r="C15" s="134">
        <v>38411</v>
      </c>
      <c r="D15" s="134">
        <v>50345</v>
      </c>
      <c r="E15" s="135">
        <v>58347.24</v>
      </c>
      <c r="F15" s="157"/>
      <c r="G15" s="6">
        <f>IF($C15&lt;(DATE(G$2,12,31)),H15/(1+(Assumptions!$B$14)),0)</f>
        <v>0</v>
      </c>
      <c r="H15" s="6">
        <f>IF($C15&lt;(DATE(H$2,12,31)),I15/(1+(Assumptions!$B$14)),0)</f>
        <v>0</v>
      </c>
      <c r="I15" s="6">
        <f>IF($C15&lt;(DATE(I$2,12,31)),J15/(1+(Assumptions!$B$14)),0)</f>
        <v>0</v>
      </c>
      <c r="J15" s="6">
        <f>IF($C15&lt;(DATE(J$2,12,31)),K15/(1+(Assumptions!$B$14)),0)</f>
        <v>0</v>
      </c>
      <c r="K15" s="6">
        <f>IF($C15&lt;(DATE(K$2,12,31)),L15/(1+(Assumptions!$B$14)),0)</f>
        <v>0</v>
      </c>
      <c r="L15" s="6">
        <f>IF($C15&lt;(DATE(L$2,12,31)),M15/(1+(Assumptions!$B$14)),0)</f>
        <v>0</v>
      </c>
      <c r="M15" s="6">
        <f>IF($C15&lt;(DATE(M$2,12,31)),N15/(1+(Assumptions!$B$14)),0)</f>
        <v>0</v>
      </c>
      <c r="N15" s="6">
        <f>IF($C15&lt;(DATE(N$2,12,31)),O15/(1+(Assumptions!$B$14)),0)</f>
        <v>0</v>
      </c>
      <c r="O15" s="6">
        <f>IF($C15&lt;(DATE(O$2,12,31)),P15/(1+(Assumptions!$B$14)),0)</f>
        <v>0</v>
      </c>
      <c r="P15" s="6">
        <f>IF($C15&lt;(DATE(P$2,12,31)),Q15/(1+(Assumptions!$B$14)),0)</f>
        <v>0</v>
      </c>
      <c r="Q15" s="6">
        <f>IF($C15&lt;(DATE(Q$2,12,31)),R15/(1+(Assumptions!$B$14)),0)</f>
        <v>0</v>
      </c>
      <c r="R15" s="6">
        <f>IF($C15&lt;(DATE(R$2,12,31)),S15/(1+(Assumptions!$B$14)),0)</f>
        <v>0</v>
      </c>
      <c r="S15" s="6">
        <f>IF($C15&lt;(DATE(S$2,12,31)),T15/(1+(Assumptions!$B$14)),0)</f>
        <v>0</v>
      </c>
      <c r="T15" s="6">
        <f>IF($C15&lt;(DATE(T$2,12,31)),U15/(1+(Assumptions!$B$14)),0)</f>
        <v>0</v>
      </c>
      <c r="U15" s="6">
        <f>IF($C15&lt;(DATE(U$2,12,31)),V15/(1+(Assumptions!$B$14)),0)</f>
        <v>0</v>
      </c>
      <c r="V15" s="6">
        <f>IF($C15&lt;(DATE(V$2,12,31)),W15/(1+(Assumptions!$B$14)),0)</f>
        <v>0</v>
      </c>
      <c r="W15" s="6">
        <f>IF($C15&lt;(DATE(W$2,12,31)),X15/(1+(Assumptions!$B$14)),0)</f>
        <v>0</v>
      </c>
      <c r="X15" s="6">
        <f>IF($C15&lt;(DATE(X$2,12,31)),Y15/(1+(Assumptions!$B$14)),0)</f>
        <v>0</v>
      </c>
      <c r="Y15" s="6">
        <f>IF($C15&lt;(DATE(Y$2,12,31)),Z15/(1+(Assumptions!$B$14)),0)</f>
        <v>0</v>
      </c>
      <c r="Z15" s="6">
        <f>IF($C15&lt;(DATE(Z$2,12,31)),AA15/(1+(Assumptions!$B$14)),0)</f>
        <v>0</v>
      </c>
      <c r="AA15" s="6">
        <f>IF($C15&lt;(DATE(AA$2,12,31)),AB15/(1+(Assumptions!$B$14)),0)</f>
        <v>0</v>
      </c>
      <c r="AB15" s="6">
        <f>IF($C15&lt;(DATE(AB$2,12,31)),AC15/(1+(Assumptions!$B$14)),0)</f>
        <v>0</v>
      </c>
      <c r="AC15" s="6">
        <f>IF($C15&lt;(DATE(AC$2,12,31)),AD15/(1+(Assumptions!$B$14)),0)</f>
        <v>0</v>
      </c>
      <c r="AD15" s="6">
        <f>IF($C15&lt;(DATE(AD$2,12,31)),AE15/(1+(Assumptions!$B$14)),0)</f>
        <v>0</v>
      </c>
      <c r="AE15" s="6">
        <f>IF($C15&lt;(DATE(AE$2,12,31)),AF15/(1+(Assumptions!$B$14)),0)</f>
        <v>0</v>
      </c>
      <c r="AF15" s="6">
        <f>IF($C15&lt;(DATE(AF$2,12,31)),AG15/(1+(Assumptions!$B$14)),0)</f>
        <v>0</v>
      </c>
      <c r="AG15" s="6">
        <f>IF($C15&lt;(DATE(AG$2,12,31)),AH15/(1+(Assumptions!$B$14)),0)</f>
        <v>0</v>
      </c>
      <c r="AH15" s="6">
        <f>IF($C15&lt;(DATE(AH$2,12,31)),AI15/(1+(Assumptions!$B$14)),0)</f>
        <v>0</v>
      </c>
      <c r="AI15" s="6">
        <f>IF($C15&lt;(DATE(AI$2,12,31)),AJ15/(1+(Assumptions!$B$14)),0)</f>
        <v>40993.996881634557</v>
      </c>
      <c r="AJ15" s="6">
        <f>IF($C15&lt;(DATE(AJ$2,12,31)),AK15/(1+(Assumptions!$B$14)),0)</f>
        <v>42633.756756899944</v>
      </c>
      <c r="AK15" s="6">
        <f>IF($C15&lt;(DATE(AK$2,12,31)),AL15/(1+(Assumptions!$B$14)),0)</f>
        <v>44339.107027175945</v>
      </c>
      <c r="AL15" s="6">
        <f>IF($C15&lt;(DATE(AL$2,12,31)),AM15/(1+(Assumptions!$B$14)),0)</f>
        <v>46112.671308262987</v>
      </c>
      <c r="AM15" s="6">
        <f>IF($C15&lt;(DATE(AM$2,12,31)),AN15/(1+(Assumptions!$B$14)),0)</f>
        <v>47957.17816059351</v>
      </c>
      <c r="AN15" s="6">
        <f>IF($C15&lt;(DATE(AN$2,12,31)),AO15/(1+(Assumptions!$B$14)),0)</f>
        <v>49875.46528701725</v>
      </c>
      <c r="AO15" s="6">
        <f>IF($C15&lt;(DATE(AO$2,12,31)),AP15/(1+(Assumptions!$B$14)),0)</f>
        <v>51870.483898497943</v>
      </c>
      <c r="AP15" s="6">
        <f>IF($C15&lt;(DATE(AP$2,12,31)),AQ15/(1+(Assumptions!$B$14)),0)</f>
        <v>53945.303254437866</v>
      </c>
      <c r="AQ15" s="6">
        <f>IF($C15&lt;(DATE(AQ$2,12,31)),AR15/(1+(Assumptions!$B$14)),0)</f>
        <v>56103.115384615383</v>
      </c>
      <c r="AR15" s="6">
        <f t="shared" si="0"/>
        <v>58347.24</v>
      </c>
      <c r="AS15" s="6">
        <f>AR15*(1+(Assumptions!$B$15))</f>
        <v>60097.657200000001</v>
      </c>
      <c r="AT15" s="6">
        <f>AS15*(1+(Assumptions!$B$15))</f>
        <v>61900.586916</v>
      </c>
      <c r="AU15" s="6">
        <f>AT15*(1+(Assumptions!$B$15))</f>
        <v>63757.604523480004</v>
      </c>
      <c r="AV15" s="6">
        <f>AU15*(1+(Assumptions!$B$15))</f>
        <v>65670.332659184409</v>
      </c>
      <c r="AW15" s="6">
        <f>AV15*(1+(Assumptions!$B$15))</f>
        <v>67640.442638959939</v>
      </c>
      <c r="AX15" s="6">
        <f>AW15*(1+(Assumptions!$B$15))</f>
        <v>69669.655918128745</v>
      </c>
      <c r="AY15" s="6">
        <f>AX15*(1+(Assumptions!$B$15))</f>
        <v>71759.745595672604</v>
      </c>
      <c r="AZ15" s="6">
        <f>AY15*(1+(Assumptions!$B$15))</f>
        <v>73912.537963542782</v>
      </c>
      <c r="BA15" s="6">
        <f>AZ15*(1+(Assumptions!$B$15))</f>
        <v>76129.914102449067</v>
      </c>
      <c r="BB15" s="6">
        <f>BA15*(1+(Assumptions!$B$15))</f>
        <v>78413.811525522542</v>
      </c>
      <c r="BC15" s="6">
        <f>BB15*(1+(Assumptions!$B$15))</f>
        <v>80766.225871288218</v>
      </c>
    </row>
    <row r="16" spans="1:55" x14ac:dyDescent="0.25">
      <c r="A16" s="132">
        <v>500</v>
      </c>
      <c r="B16" s="133">
        <v>776</v>
      </c>
      <c r="C16" s="134">
        <v>38376</v>
      </c>
      <c r="D16" s="134">
        <v>45078</v>
      </c>
      <c r="E16" s="135">
        <v>59172.05</v>
      </c>
      <c r="F16" s="157"/>
      <c r="G16" s="6">
        <f>IF($C16&lt;(DATE(G$2,12,31)),H16/(1+(Assumptions!$B$14)),0)</f>
        <v>0</v>
      </c>
      <c r="H16" s="6">
        <f>IF($C16&lt;(DATE(H$2,12,31)),I16/(1+(Assumptions!$B$14)),0)</f>
        <v>0</v>
      </c>
      <c r="I16" s="6">
        <f>IF($C16&lt;(DATE(I$2,12,31)),J16/(1+(Assumptions!$B$14)),0)</f>
        <v>0</v>
      </c>
      <c r="J16" s="6">
        <f>IF($C16&lt;(DATE(J$2,12,31)),K16/(1+(Assumptions!$B$14)),0)</f>
        <v>0</v>
      </c>
      <c r="K16" s="6">
        <f>IF($C16&lt;(DATE(K$2,12,31)),L16/(1+(Assumptions!$B$14)),0)</f>
        <v>0</v>
      </c>
      <c r="L16" s="6">
        <f>IF($C16&lt;(DATE(L$2,12,31)),M16/(1+(Assumptions!$B$14)),0)</f>
        <v>0</v>
      </c>
      <c r="M16" s="6">
        <f>IF($C16&lt;(DATE(M$2,12,31)),N16/(1+(Assumptions!$B$14)),0)</f>
        <v>0</v>
      </c>
      <c r="N16" s="6">
        <f>IF($C16&lt;(DATE(N$2,12,31)),O16/(1+(Assumptions!$B$14)),0)</f>
        <v>0</v>
      </c>
      <c r="O16" s="6">
        <f>IF($C16&lt;(DATE(O$2,12,31)),P16/(1+(Assumptions!$B$14)),0)</f>
        <v>0</v>
      </c>
      <c r="P16" s="6">
        <f>IF($C16&lt;(DATE(P$2,12,31)),Q16/(1+(Assumptions!$B$14)),0)</f>
        <v>0</v>
      </c>
      <c r="Q16" s="6">
        <f>IF($C16&lt;(DATE(Q$2,12,31)),R16/(1+(Assumptions!$B$14)),0)</f>
        <v>0</v>
      </c>
      <c r="R16" s="6">
        <f>IF($C16&lt;(DATE(R$2,12,31)),S16/(1+(Assumptions!$B$14)),0)</f>
        <v>0</v>
      </c>
      <c r="S16" s="6">
        <f>IF($C16&lt;(DATE(S$2,12,31)),T16/(1+(Assumptions!$B$14)),0)</f>
        <v>0</v>
      </c>
      <c r="T16" s="6">
        <f>IF($C16&lt;(DATE(T$2,12,31)),U16/(1+(Assumptions!$B$14)),0)</f>
        <v>0</v>
      </c>
      <c r="U16" s="6">
        <f>IF($C16&lt;(DATE(U$2,12,31)),V16/(1+(Assumptions!$B$14)),0)</f>
        <v>0</v>
      </c>
      <c r="V16" s="6">
        <f>IF($C16&lt;(DATE(V$2,12,31)),W16/(1+(Assumptions!$B$14)),0)</f>
        <v>0</v>
      </c>
      <c r="W16" s="6">
        <f>IF($C16&lt;(DATE(W$2,12,31)),X16/(1+(Assumptions!$B$14)),0)</f>
        <v>0</v>
      </c>
      <c r="X16" s="6">
        <f>IF($C16&lt;(DATE(X$2,12,31)),Y16/(1+(Assumptions!$B$14)),0)</f>
        <v>0</v>
      </c>
      <c r="Y16" s="6">
        <f>IF($C16&lt;(DATE(Y$2,12,31)),Z16/(1+(Assumptions!$B$14)),0)</f>
        <v>0</v>
      </c>
      <c r="Z16" s="6">
        <f>IF($C16&lt;(DATE(Z$2,12,31)),AA16/(1+(Assumptions!$B$14)),0)</f>
        <v>0</v>
      </c>
      <c r="AA16" s="6">
        <f>IF($C16&lt;(DATE(AA$2,12,31)),AB16/(1+(Assumptions!$B$14)),0)</f>
        <v>0</v>
      </c>
      <c r="AB16" s="6">
        <f>IF($C16&lt;(DATE(AB$2,12,31)),AC16/(1+(Assumptions!$B$14)),0)</f>
        <v>0</v>
      </c>
      <c r="AC16" s="6">
        <f>IF($C16&lt;(DATE(AC$2,12,31)),AD16/(1+(Assumptions!$B$14)),0)</f>
        <v>0</v>
      </c>
      <c r="AD16" s="6">
        <f>IF($C16&lt;(DATE(AD$2,12,31)),AE16/(1+(Assumptions!$B$14)),0)</f>
        <v>0</v>
      </c>
      <c r="AE16" s="6">
        <f>IF($C16&lt;(DATE(AE$2,12,31)),AF16/(1+(Assumptions!$B$14)),0)</f>
        <v>0</v>
      </c>
      <c r="AF16" s="6">
        <f>IF($C16&lt;(DATE(AF$2,12,31)),AG16/(1+(Assumptions!$B$14)),0)</f>
        <v>0</v>
      </c>
      <c r="AG16" s="6">
        <f>IF($C16&lt;(DATE(AG$2,12,31)),AH16/(1+(Assumptions!$B$14)),0)</f>
        <v>0</v>
      </c>
      <c r="AH16" s="6">
        <f>IF($C16&lt;(DATE(AH$2,12,31)),AI16/(1+(Assumptions!$B$14)),0)</f>
        <v>0</v>
      </c>
      <c r="AI16" s="6">
        <f>IF($C16&lt;(DATE(AI$2,12,31)),AJ16/(1+(Assumptions!$B$14)),0)</f>
        <v>41573.497447007343</v>
      </c>
      <c r="AJ16" s="6">
        <f>IF($C16&lt;(DATE(AJ$2,12,31)),AK16/(1+(Assumptions!$B$14)),0)</f>
        <v>43236.437344887636</v>
      </c>
      <c r="AK16" s="6">
        <f>IF($C16&lt;(DATE(AK$2,12,31)),AL16/(1+(Assumptions!$B$14)),0)</f>
        <v>44965.89483868314</v>
      </c>
      <c r="AL16" s="6">
        <f>IF($C16&lt;(DATE(AL$2,12,31)),AM16/(1+(Assumptions!$B$14)),0)</f>
        <v>46764.530632230468</v>
      </c>
      <c r="AM16" s="6">
        <f>IF($C16&lt;(DATE(AM$2,12,31)),AN16/(1+(Assumptions!$B$14)),0)</f>
        <v>48635.111857519689</v>
      </c>
      <c r="AN16" s="6">
        <f>IF($C16&lt;(DATE(AN$2,12,31)),AO16/(1+(Assumptions!$B$14)),0)</f>
        <v>50580.51633182048</v>
      </c>
      <c r="AO16" s="6">
        <f>IF($C16&lt;(DATE(AO$2,12,31)),AP16/(1+(Assumptions!$B$14)),0)</f>
        <v>52603.736985093303</v>
      </c>
      <c r="AP16" s="6">
        <f>IF($C16&lt;(DATE(AP$2,12,31)),AQ16/(1+(Assumptions!$B$14)),0)</f>
        <v>54707.886464497038</v>
      </c>
      <c r="AQ16" s="6">
        <f>IF($C16&lt;(DATE(AQ$2,12,31)),AR16/(1+(Assumptions!$B$14)),0)</f>
        <v>56896.201923076922</v>
      </c>
      <c r="AR16" s="6">
        <f t="shared" si="0"/>
        <v>59172.05</v>
      </c>
      <c r="AS16" s="6">
        <f>AR16*(1+(Assumptions!$B$15))</f>
        <v>60947.211500000005</v>
      </c>
      <c r="AT16" s="6">
        <f>AS16*(1+(Assumptions!$B$15))</f>
        <v>62775.62784500001</v>
      </c>
      <c r="AU16" s="6">
        <f>AT16*(1+(Assumptions!$B$15))</f>
        <v>64658.896680350015</v>
      </c>
      <c r="AV16" s="6">
        <f>AU16*(1+(Assumptions!$B$15))</f>
        <v>66598.66358076052</v>
      </c>
      <c r="AW16" s="6">
        <f>AV16*(1+(Assumptions!$B$15))</f>
        <v>68596.623488183337</v>
      </c>
      <c r="AX16" s="6">
        <f>AW16*(1+(Assumptions!$B$15))</f>
        <v>70654.522192828837</v>
      </c>
      <c r="AY16" s="6">
        <f>AX16*(1+(Assumptions!$B$15))</f>
        <v>72774.157858613704</v>
      </c>
      <c r="AZ16" s="6">
        <f>AY16*(1+(Assumptions!$B$15))</f>
        <v>74957.382594372117</v>
      </c>
      <c r="BA16" s="6">
        <f>AZ16*(1+(Assumptions!$B$15))</f>
        <v>77206.104072203278</v>
      </c>
      <c r="BB16" s="6">
        <f>BA16*(1+(Assumptions!$B$15))</f>
        <v>79522.287194369375</v>
      </c>
      <c r="BC16" s="6">
        <f>BB16*(1+(Assumptions!$B$15))</f>
        <v>81907.955810200452</v>
      </c>
    </row>
    <row r="17" spans="1:55" x14ac:dyDescent="0.25">
      <c r="A17" s="132">
        <v>500</v>
      </c>
      <c r="B17" s="133">
        <v>775</v>
      </c>
      <c r="C17" s="134">
        <v>38350</v>
      </c>
      <c r="D17" s="134">
        <v>45778</v>
      </c>
      <c r="E17" s="135">
        <v>59996.86</v>
      </c>
      <c r="F17" s="157"/>
      <c r="G17" s="6">
        <f>IF($C17&lt;(DATE(G$2,12,31)),H17/(1+(Assumptions!$B$14)),0)</f>
        <v>0</v>
      </c>
      <c r="H17" s="6">
        <f>IF($C17&lt;(DATE(H$2,12,31)),I17/(1+(Assumptions!$B$14)),0)</f>
        <v>0</v>
      </c>
      <c r="I17" s="6">
        <f>IF($C17&lt;(DATE(I$2,12,31)),J17/(1+(Assumptions!$B$14)),0)</f>
        <v>0</v>
      </c>
      <c r="J17" s="6">
        <f>IF($C17&lt;(DATE(J$2,12,31)),K17/(1+(Assumptions!$B$14)),0)</f>
        <v>0</v>
      </c>
      <c r="K17" s="6">
        <f>IF($C17&lt;(DATE(K$2,12,31)),L17/(1+(Assumptions!$B$14)),0)</f>
        <v>0</v>
      </c>
      <c r="L17" s="6">
        <f>IF($C17&lt;(DATE(L$2,12,31)),M17/(1+(Assumptions!$B$14)),0)</f>
        <v>0</v>
      </c>
      <c r="M17" s="6">
        <f>IF($C17&lt;(DATE(M$2,12,31)),N17/(1+(Assumptions!$B$14)),0)</f>
        <v>0</v>
      </c>
      <c r="N17" s="6">
        <f>IF($C17&lt;(DATE(N$2,12,31)),O17/(1+(Assumptions!$B$14)),0)</f>
        <v>0</v>
      </c>
      <c r="O17" s="6">
        <f>IF($C17&lt;(DATE(O$2,12,31)),P17/(1+(Assumptions!$B$14)),0)</f>
        <v>0</v>
      </c>
      <c r="P17" s="6">
        <f>IF($C17&lt;(DATE(P$2,12,31)),Q17/(1+(Assumptions!$B$14)),0)</f>
        <v>0</v>
      </c>
      <c r="Q17" s="6">
        <f>IF($C17&lt;(DATE(Q$2,12,31)),R17/(1+(Assumptions!$B$14)),0)</f>
        <v>0</v>
      </c>
      <c r="R17" s="6">
        <f>IF($C17&lt;(DATE(R$2,12,31)),S17/(1+(Assumptions!$B$14)),0)</f>
        <v>0</v>
      </c>
      <c r="S17" s="6">
        <f>IF($C17&lt;(DATE(S$2,12,31)),T17/(1+(Assumptions!$B$14)),0)</f>
        <v>0</v>
      </c>
      <c r="T17" s="6">
        <f>IF($C17&lt;(DATE(T$2,12,31)),U17/(1+(Assumptions!$B$14)),0)</f>
        <v>0</v>
      </c>
      <c r="U17" s="6">
        <f>IF($C17&lt;(DATE(U$2,12,31)),V17/(1+(Assumptions!$B$14)),0)</f>
        <v>0</v>
      </c>
      <c r="V17" s="6">
        <f>IF($C17&lt;(DATE(V$2,12,31)),W17/(1+(Assumptions!$B$14)),0)</f>
        <v>0</v>
      </c>
      <c r="W17" s="6">
        <f>IF($C17&lt;(DATE(W$2,12,31)),X17/(1+(Assumptions!$B$14)),0)</f>
        <v>0</v>
      </c>
      <c r="X17" s="6">
        <f>IF($C17&lt;(DATE(X$2,12,31)),Y17/(1+(Assumptions!$B$14)),0)</f>
        <v>0</v>
      </c>
      <c r="Y17" s="6">
        <f>IF($C17&lt;(DATE(Y$2,12,31)),Z17/(1+(Assumptions!$B$14)),0)</f>
        <v>0</v>
      </c>
      <c r="Z17" s="6">
        <f>IF($C17&lt;(DATE(Z$2,12,31)),AA17/(1+(Assumptions!$B$14)),0)</f>
        <v>0</v>
      </c>
      <c r="AA17" s="6">
        <f>IF($C17&lt;(DATE(AA$2,12,31)),AB17/(1+(Assumptions!$B$14)),0)</f>
        <v>0</v>
      </c>
      <c r="AB17" s="6">
        <f>IF($C17&lt;(DATE(AB$2,12,31)),AC17/(1+(Assumptions!$B$14)),0)</f>
        <v>0</v>
      </c>
      <c r="AC17" s="6">
        <f>IF($C17&lt;(DATE(AC$2,12,31)),AD17/(1+(Assumptions!$B$14)),0)</f>
        <v>0</v>
      </c>
      <c r="AD17" s="6">
        <f>IF($C17&lt;(DATE(AD$2,12,31)),AE17/(1+(Assumptions!$B$14)),0)</f>
        <v>0</v>
      </c>
      <c r="AE17" s="6">
        <f>IF($C17&lt;(DATE(AE$2,12,31)),AF17/(1+(Assumptions!$B$14)),0)</f>
        <v>0</v>
      </c>
      <c r="AF17" s="6">
        <f>IF($C17&lt;(DATE(AF$2,12,31)),AG17/(1+(Assumptions!$B$14)),0)</f>
        <v>0</v>
      </c>
      <c r="AG17" s="6">
        <f>IF($C17&lt;(DATE(AG$2,12,31)),AH17/(1+(Assumptions!$B$14)),0)</f>
        <v>0</v>
      </c>
      <c r="AH17" s="6">
        <f>IF($C17&lt;(DATE(AH$2,12,31)),AI17/(1+(Assumptions!$B$14)),0)</f>
        <v>40531.72885805781</v>
      </c>
      <c r="AI17" s="6">
        <f>IF($C17&lt;(DATE(AI$2,12,31)),AJ17/(1+(Assumptions!$B$14)),0)</f>
        <v>42152.998012380122</v>
      </c>
      <c r="AJ17" s="6">
        <f>IF($C17&lt;(DATE(AJ$2,12,31)),AK17/(1+(Assumptions!$B$14)),0)</f>
        <v>43839.117932875328</v>
      </c>
      <c r="AK17" s="6">
        <f>IF($C17&lt;(DATE(AK$2,12,31)),AL17/(1+(Assumptions!$B$14)),0)</f>
        <v>45592.682650190342</v>
      </c>
      <c r="AL17" s="6">
        <f>IF($C17&lt;(DATE(AL$2,12,31)),AM17/(1+(Assumptions!$B$14)),0)</f>
        <v>47416.389956197956</v>
      </c>
      <c r="AM17" s="6">
        <f>IF($C17&lt;(DATE(AM$2,12,31)),AN17/(1+(Assumptions!$B$14)),0)</f>
        <v>49313.045554445875</v>
      </c>
      <c r="AN17" s="6">
        <f>IF($C17&lt;(DATE(AN$2,12,31)),AO17/(1+(Assumptions!$B$14)),0)</f>
        <v>51285.567376623709</v>
      </c>
      <c r="AO17" s="6">
        <f>IF($C17&lt;(DATE(AO$2,12,31)),AP17/(1+(Assumptions!$B$14)),0)</f>
        <v>53336.990071688662</v>
      </c>
      <c r="AP17" s="6">
        <f>IF($C17&lt;(DATE(AP$2,12,31)),AQ17/(1+(Assumptions!$B$14)),0)</f>
        <v>55470.469674556211</v>
      </c>
      <c r="AQ17" s="6">
        <f>IF($C17&lt;(DATE(AQ$2,12,31)),AR17/(1+(Assumptions!$B$14)),0)</f>
        <v>57689.288461538461</v>
      </c>
      <c r="AR17" s="6">
        <f t="shared" si="0"/>
        <v>59996.86</v>
      </c>
      <c r="AS17" s="6">
        <f>AR17*(1+(Assumptions!$B$15))</f>
        <v>61796.765800000001</v>
      </c>
      <c r="AT17" s="6">
        <f>AS17*(1+(Assumptions!$B$15))</f>
        <v>63650.668774000005</v>
      </c>
      <c r="AU17" s="6">
        <f>AT17*(1+(Assumptions!$B$15))</f>
        <v>65560.188837220005</v>
      </c>
      <c r="AV17" s="6">
        <f>AU17*(1+(Assumptions!$B$15))</f>
        <v>67526.994502336602</v>
      </c>
      <c r="AW17" s="6">
        <f>AV17*(1+(Assumptions!$B$15))</f>
        <v>69552.804337406706</v>
      </c>
      <c r="AX17" s="6">
        <f>AW17*(1+(Assumptions!$B$15))</f>
        <v>71639.388467528915</v>
      </c>
      <c r="AY17" s="6">
        <f>AX17*(1+(Assumptions!$B$15))</f>
        <v>73788.570121554789</v>
      </c>
      <c r="AZ17" s="6">
        <f>AY17*(1+(Assumptions!$B$15))</f>
        <v>76002.227225201437</v>
      </c>
      <c r="BA17" s="6">
        <f>AZ17*(1+(Assumptions!$B$15))</f>
        <v>78282.294041957488</v>
      </c>
      <c r="BB17" s="6">
        <f>BA17*(1+(Assumptions!$B$15))</f>
        <v>80630.762863216209</v>
      </c>
      <c r="BC17" s="6">
        <f>BB17*(1+(Assumptions!$B$15))</f>
        <v>83049.685749112701</v>
      </c>
    </row>
    <row r="18" spans="1:55" x14ac:dyDescent="0.25">
      <c r="A18" s="132">
        <v>500</v>
      </c>
      <c r="B18" s="133">
        <v>774</v>
      </c>
      <c r="C18" s="134">
        <v>38272</v>
      </c>
      <c r="D18" s="134">
        <v>48274</v>
      </c>
      <c r="E18" s="135">
        <v>60821.67</v>
      </c>
      <c r="F18" s="157"/>
      <c r="G18" s="6">
        <f>IF($C18&lt;(DATE(G$2,12,31)),H18/(1+(Assumptions!$B$14)),0)</f>
        <v>0</v>
      </c>
      <c r="H18" s="6">
        <f>IF($C18&lt;(DATE(H$2,12,31)),I18/(1+(Assumptions!$B$14)),0)</f>
        <v>0</v>
      </c>
      <c r="I18" s="6">
        <f>IF($C18&lt;(DATE(I$2,12,31)),J18/(1+(Assumptions!$B$14)),0)</f>
        <v>0</v>
      </c>
      <c r="J18" s="6">
        <f>IF($C18&lt;(DATE(J$2,12,31)),K18/(1+(Assumptions!$B$14)),0)</f>
        <v>0</v>
      </c>
      <c r="K18" s="6">
        <f>IF($C18&lt;(DATE(K$2,12,31)),L18/(1+(Assumptions!$B$14)),0)</f>
        <v>0</v>
      </c>
      <c r="L18" s="6">
        <f>IF($C18&lt;(DATE(L$2,12,31)),M18/(1+(Assumptions!$B$14)),0)</f>
        <v>0</v>
      </c>
      <c r="M18" s="6">
        <f>IF($C18&lt;(DATE(M$2,12,31)),N18/(1+(Assumptions!$B$14)),0)</f>
        <v>0</v>
      </c>
      <c r="N18" s="6">
        <f>IF($C18&lt;(DATE(N$2,12,31)),O18/(1+(Assumptions!$B$14)),0)</f>
        <v>0</v>
      </c>
      <c r="O18" s="6">
        <f>IF($C18&lt;(DATE(O$2,12,31)),P18/(1+(Assumptions!$B$14)),0)</f>
        <v>0</v>
      </c>
      <c r="P18" s="6">
        <f>IF($C18&lt;(DATE(P$2,12,31)),Q18/(1+(Assumptions!$B$14)),0)</f>
        <v>0</v>
      </c>
      <c r="Q18" s="6">
        <f>IF($C18&lt;(DATE(Q$2,12,31)),R18/(1+(Assumptions!$B$14)),0)</f>
        <v>0</v>
      </c>
      <c r="R18" s="6">
        <f>IF($C18&lt;(DATE(R$2,12,31)),S18/(1+(Assumptions!$B$14)),0)</f>
        <v>0</v>
      </c>
      <c r="S18" s="6">
        <f>IF($C18&lt;(DATE(S$2,12,31)),T18/(1+(Assumptions!$B$14)),0)</f>
        <v>0</v>
      </c>
      <c r="T18" s="6">
        <f>IF($C18&lt;(DATE(T$2,12,31)),U18/(1+(Assumptions!$B$14)),0)</f>
        <v>0</v>
      </c>
      <c r="U18" s="6">
        <f>IF($C18&lt;(DATE(U$2,12,31)),V18/(1+(Assumptions!$B$14)),0)</f>
        <v>0</v>
      </c>
      <c r="V18" s="6">
        <f>IF($C18&lt;(DATE(V$2,12,31)),W18/(1+(Assumptions!$B$14)),0)</f>
        <v>0</v>
      </c>
      <c r="W18" s="6">
        <f>IF($C18&lt;(DATE(W$2,12,31)),X18/(1+(Assumptions!$B$14)),0)</f>
        <v>0</v>
      </c>
      <c r="X18" s="6">
        <f>IF($C18&lt;(DATE(X$2,12,31)),Y18/(1+(Assumptions!$B$14)),0)</f>
        <v>0</v>
      </c>
      <c r="Y18" s="6">
        <f>IF($C18&lt;(DATE(Y$2,12,31)),Z18/(1+(Assumptions!$B$14)),0)</f>
        <v>0</v>
      </c>
      <c r="Z18" s="6">
        <f>IF($C18&lt;(DATE(Z$2,12,31)),AA18/(1+(Assumptions!$B$14)),0)</f>
        <v>0</v>
      </c>
      <c r="AA18" s="6">
        <f>IF($C18&lt;(DATE(AA$2,12,31)),AB18/(1+(Assumptions!$B$14)),0)</f>
        <v>0</v>
      </c>
      <c r="AB18" s="6">
        <f>IF($C18&lt;(DATE(AB$2,12,31)),AC18/(1+(Assumptions!$B$14)),0)</f>
        <v>0</v>
      </c>
      <c r="AC18" s="6">
        <f>IF($C18&lt;(DATE(AC$2,12,31)),AD18/(1+(Assumptions!$B$14)),0)</f>
        <v>0</v>
      </c>
      <c r="AD18" s="6">
        <f>IF($C18&lt;(DATE(AD$2,12,31)),AE18/(1+(Assumptions!$B$14)),0)</f>
        <v>0</v>
      </c>
      <c r="AE18" s="6">
        <f>IF($C18&lt;(DATE(AE$2,12,31)),AF18/(1+(Assumptions!$B$14)),0)</f>
        <v>0</v>
      </c>
      <c r="AF18" s="6">
        <f>IF($C18&lt;(DATE(AF$2,12,31)),AG18/(1+(Assumptions!$B$14)),0)</f>
        <v>0</v>
      </c>
      <c r="AG18" s="6">
        <f>IF($C18&lt;(DATE(AG$2,12,31)),AH18/(1+(Assumptions!$B$14)),0)</f>
        <v>0</v>
      </c>
      <c r="AH18" s="6">
        <f>IF($C18&lt;(DATE(AH$2,12,31)),AI18/(1+(Assumptions!$B$14)),0)</f>
        <v>41088.940940147011</v>
      </c>
      <c r="AI18" s="6">
        <f>IF($C18&lt;(DATE(AI$2,12,31)),AJ18/(1+(Assumptions!$B$14)),0)</f>
        <v>42732.498577752893</v>
      </c>
      <c r="AJ18" s="6">
        <f>IF($C18&lt;(DATE(AJ$2,12,31)),AK18/(1+(Assumptions!$B$14)),0)</f>
        <v>44441.798520863013</v>
      </c>
      <c r="AK18" s="6">
        <f>IF($C18&lt;(DATE(AK$2,12,31)),AL18/(1+(Assumptions!$B$14)),0)</f>
        <v>46219.470461697536</v>
      </c>
      <c r="AL18" s="6">
        <f>IF($C18&lt;(DATE(AL$2,12,31)),AM18/(1+(Assumptions!$B$14)),0)</f>
        <v>48068.249280165437</v>
      </c>
      <c r="AM18" s="6">
        <f>IF($C18&lt;(DATE(AM$2,12,31)),AN18/(1+(Assumptions!$B$14)),0)</f>
        <v>49990.979251372053</v>
      </c>
      <c r="AN18" s="6">
        <f>IF($C18&lt;(DATE(AN$2,12,31)),AO18/(1+(Assumptions!$B$14)),0)</f>
        <v>51990.618421426938</v>
      </c>
      <c r="AO18" s="6">
        <f>IF($C18&lt;(DATE(AO$2,12,31)),AP18/(1+(Assumptions!$B$14)),0)</f>
        <v>54070.243158284014</v>
      </c>
      <c r="AP18" s="6">
        <f>IF($C18&lt;(DATE(AP$2,12,31)),AQ18/(1+(Assumptions!$B$14)),0)</f>
        <v>56233.052884615376</v>
      </c>
      <c r="AQ18" s="6">
        <f>IF($C18&lt;(DATE(AQ$2,12,31)),AR18/(1+(Assumptions!$B$14)),0)</f>
        <v>58482.374999999993</v>
      </c>
      <c r="AR18" s="6">
        <f t="shared" si="0"/>
        <v>60821.67</v>
      </c>
      <c r="AS18" s="6">
        <f>AR18*(1+(Assumptions!$B$15))</f>
        <v>62646.320099999997</v>
      </c>
      <c r="AT18" s="6">
        <f>AS18*(1+(Assumptions!$B$15))</f>
        <v>64525.709703</v>
      </c>
      <c r="AU18" s="6">
        <f>AT18*(1+(Assumptions!$B$15))</f>
        <v>66461.480994090001</v>
      </c>
      <c r="AV18" s="6">
        <f>AU18*(1+(Assumptions!$B$15))</f>
        <v>68455.325423912698</v>
      </c>
      <c r="AW18" s="6">
        <f>AV18*(1+(Assumptions!$B$15))</f>
        <v>70508.985186630074</v>
      </c>
      <c r="AX18" s="6">
        <f>AW18*(1+(Assumptions!$B$15))</f>
        <v>72624.254742228979</v>
      </c>
      <c r="AY18" s="6">
        <f>AX18*(1+(Assumptions!$B$15))</f>
        <v>74802.982384495845</v>
      </c>
      <c r="AZ18" s="6">
        <f>AY18*(1+(Assumptions!$B$15))</f>
        <v>77047.071856030729</v>
      </c>
      <c r="BA18" s="6">
        <f>AZ18*(1+(Assumptions!$B$15))</f>
        <v>79358.484011711655</v>
      </c>
      <c r="BB18" s="6">
        <f>BA18*(1+(Assumptions!$B$15))</f>
        <v>81739.238532063013</v>
      </c>
      <c r="BC18" s="6">
        <f>BB18*(1+(Assumptions!$B$15))</f>
        <v>84191.415688024907</v>
      </c>
    </row>
    <row r="19" spans="1:55" x14ac:dyDescent="0.25">
      <c r="A19" s="132">
        <v>500</v>
      </c>
      <c r="B19" s="133">
        <v>772</v>
      </c>
      <c r="C19" s="134">
        <v>38187</v>
      </c>
      <c r="D19" s="134">
        <v>50192</v>
      </c>
      <c r="E19" s="135">
        <v>61646.49</v>
      </c>
      <c r="F19" s="157"/>
      <c r="G19" s="6">
        <f>IF($C19&lt;(DATE(G$2,12,31)),H19/(1+(Assumptions!$B$14)),0)</f>
        <v>0</v>
      </c>
      <c r="H19" s="6">
        <f>IF($C19&lt;(DATE(H$2,12,31)),I19/(1+(Assumptions!$B$14)),0)</f>
        <v>0</v>
      </c>
      <c r="I19" s="6">
        <f>IF($C19&lt;(DATE(I$2,12,31)),J19/(1+(Assumptions!$B$14)),0)</f>
        <v>0</v>
      </c>
      <c r="J19" s="6">
        <f>IF($C19&lt;(DATE(J$2,12,31)),K19/(1+(Assumptions!$B$14)),0)</f>
        <v>0</v>
      </c>
      <c r="K19" s="6">
        <f>IF($C19&lt;(DATE(K$2,12,31)),L19/(1+(Assumptions!$B$14)),0)</f>
        <v>0</v>
      </c>
      <c r="L19" s="6">
        <f>IF($C19&lt;(DATE(L$2,12,31)),M19/(1+(Assumptions!$B$14)),0)</f>
        <v>0</v>
      </c>
      <c r="M19" s="6">
        <f>IF($C19&lt;(DATE(M$2,12,31)),N19/(1+(Assumptions!$B$14)),0)</f>
        <v>0</v>
      </c>
      <c r="N19" s="6">
        <f>IF($C19&lt;(DATE(N$2,12,31)),O19/(1+(Assumptions!$B$14)),0)</f>
        <v>0</v>
      </c>
      <c r="O19" s="6">
        <f>IF($C19&lt;(DATE(O$2,12,31)),P19/(1+(Assumptions!$B$14)),0)</f>
        <v>0</v>
      </c>
      <c r="P19" s="6">
        <f>IF($C19&lt;(DATE(P$2,12,31)),Q19/(1+(Assumptions!$B$14)),0)</f>
        <v>0</v>
      </c>
      <c r="Q19" s="6">
        <f>IF($C19&lt;(DATE(Q$2,12,31)),R19/(1+(Assumptions!$B$14)),0)</f>
        <v>0</v>
      </c>
      <c r="R19" s="6">
        <f>IF($C19&lt;(DATE(R$2,12,31)),S19/(1+(Assumptions!$B$14)),0)</f>
        <v>0</v>
      </c>
      <c r="S19" s="6">
        <f>IF($C19&lt;(DATE(S$2,12,31)),T19/(1+(Assumptions!$B$14)),0)</f>
        <v>0</v>
      </c>
      <c r="T19" s="6">
        <f>IF($C19&lt;(DATE(T$2,12,31)),U19/(1+(Assumptions!$B$14)),0)</f>
        <v>0</v>
      </c>
      <c r="U19" s="6">
        <f>IF($C19&lt;(DATE(U$2,12,31)),V19/(1+(Assumptions!$B$14)),0)</f>
        <v>0</v>
      </c>
      <c r="V19" s="6">
        <f>IF($C19&lt;(DATE(V$2,12,31)),W19/(1+(Assumptions!$B$14)),0)</f>
        <v>0</v>
      </c>
      <c r="W19" s="6">
        <f>IF($C19&lt;(DATE(W$2,12,31)),X19/(1+(Assumptions!$B$14)),0)</f>
        <v>0</v>
      </c>
      <c r="X19" s="6">
        <f>IF($C19&lt;(DATE(X$2,12,31)),Y19/(1+(Assumptions!$B$14)),0)</f>
        <v>0</v>
      </c>
      <c r="Y19" s="6">
        <f>IF($C19&lt;(DATE(Y$2,12,31)),Z19/(1+(Assumptions!$B$14)),0)</f>
        <v>0</v>
      </c>
      <c r="Z19" s="6">
        <f>IF($C19&lt;(DATE(Z$2,12,31)),AA19/(1+(Assumptions!$B$14)),0)</f>
        <v>0</v>
      </c>
      <c r="AA19" s="6">
        <f>IF($C19&lt;(DATE(AA$2,12,31)),AB19/(1+(Assumptions!$B$14)),0)</f>
        <v>0</v>
      </c>
      <c r="AB19" s="6">
        <f>IF($C19&lt;(DATE(AB$2,12,31)),AC19/(1+(Assumptions!$B$14)),0)</f>
        <v>0</v>
      </c>
      <c r="AC19" s="6">
        <f>IF($C19&lt;(DATE(AC$2,12,31)),AD19/(1+(Assumptions!$B$14)),0)</f>
        <v>0</v>
      </c>
      <c r="AD19" s="6">
        <f>IF($C19&lt;(DATE(AD$2,12,31)),AE19/(1+(Assumptions!$B$14)),0)</f>
        <v>0</v>
      </c>
      <c r="AE19" s="6">
        <f>IF($C19&lt;(DATE(AE$2,12,31)),AF19/(1+(Assumptions!$B$14)),0)</f>
        <v>0</v>
      </c>
      <c r="AF19" s="6">
        <f>IF($C19&lt;(DATE(AF$2,12,31)),AG19/(1+(Assumptions!$B$14)),0)</f>
        <v>0</v>
      </c>
      <c r="AG19" s="6">
        <f>IF($C19&lt;(DATE(AG$2,12,31)),AH19/(1+(Assumptions!$B$14)),0)</f>
        <v>0</v>
      </c>
      <c r="AH19" s="6">
        <f>IF($C19&lt;(DATE(AH$2,12,31)),AI19/(1+(Assumptions!$B$14)),0)</f>
        <v>41646.159777877903</v>
      </c>
      <c r="AI19" s="6">
        <f>IF($C19&lt;(DATE(AI$2,12,31)),AJ19/(1+(Assumptions!$B$14)),0)</f>
        <v>43312.006168993023</v>
      </c>
      <c r="AJ19" s="6">
        <f>IF($C19&lt;(DATE(AJ$2,12,31)),AK19/(1+(Assumptions!$B$14)),0)</f>
        <v>45044.486415752748</v>
      </c>
      <c r="AK19" s="6">
        <f>IF($C19&lt;(DATE(AK$2,12,31)),AL19/(1+(Assumptions!$B$14)),0)</f>
        <v>46846.265872382857</v>
      </c>
      <c r="AL19" s="6">
        <f>IF($C19&lt;(DATE(AL$2,12,31)),AM19/(1+(Assumptions!$B$14)),0)</f>
        <v>48720.116507278173</v>
      </c>
      <c r="AM19" s="6">
        <f>IF($C19&lt;(DATE(AM$2,12,31)),AN19/(1+(Assumptions!$B$14)),0)</f>
        <v>50668.9211675693</v>
      </c>
      <c r="AN19" s="6">
        <f>IF($C19&lt;(DATE(AN$2,12,31)),AO19/(1+(Assumptions!$B$14)),0)</f>
        <v>52695.678014272075</v>
      </c>
      <c r="AO19" s="6">
        <f>IF($C19&lt;(DATE(AO$2,12,31)),AP19/(1+(Assumptions!$B$14)),0)</f>
        <v>54803.505134842962</v>
      </c>
      <c r="AP19" s="6">
        <f>IF($C19&lt;(DATE(AP$2,12,31)),AQ19/(1+(Assumptions!$B$14)),0)</f>
        <v>56995.645340236682</v>
      </c>
      <c r="AQ19" s="6">
        <f>IF($C19&lt;(DATE(AQ$2,12,31)),AR19/(1+(Assumptions!$B$14)),0)</f>
        <v>59275.471153846149</v>
      </c>
      <c r="AR19" s="6">
        <f t="shared" si="0"/>
        <v>61646.49</v>
      </c>
      <c r="AS19" s="6">
        <f>AR19*(1+(Assumptions!$B$15))</f>
        <v>63495.884700000002</v>
      </c>
      <c r="AT19" s="6">
        <f>AS19*(1+(Assumptions!$B$15))</f>
        <v>65400.761241000007</v>
      </c>
      <c r="AU19" s="6">
        <f>AT19*(1+(Assumptions!$B$15))</f>
        <v>67362.784078230005</v>
      </c>
      <c r="AV19" s="6">
        <f>AU19*(1+(Assumptions!$B$15))</f>
        <v>69383.667600576911</v>
      </c>
      <c r="AW19" s="6">
        <f>AV19*(1+(Assumptions!$B$15))</f>
        <v>71465.177628594218</v>
      </c>
      <c r="AX19" s="6">
        <f>AW19*(1+(Assumptions!$B$15))</f>
        <v>73609.13295745205</v>
      </c>
      <c r="AY19" s="6">
        <f>AX19*(1+(Assumptions!$B$15))</f>
        <v>75817.406946175615</v>
      </c>
      <c r="AZ19" s="6">
        <f>AY19*(1+(Assumptions!$B$15))</f>
        <v>78091.929154560887</v>
      </c>
      <c r="BA19" s="6">
        <f>AZ19*(1+(Assumptions!$B$15))</f>
        <v>80434.68702919771</v>
      </c>
      <c r="BB19" s="6">
        <f>BA19*(1+(Assumptions!$B$15))</f>
        <v>82847.727640073645</v>
      </c>
      <c r="BC19" s="6">
        <f>BB19*(1+(Assumptions!$B$15))</f>
        <v>85333.159469275852</v>
      </c>
    </row>
    <row r="20" spans="1:55" x14ac:dyDescent="0.25">
      <c r="A20" s="132">
        <v>500</v>
      </c>
      <c r="B20" s="133">
        <v>771</v>
      </c>
      <c r="C20" s="134">
        <v>38169</v>
      </c>
      <c r="D20" s="134">
        <v>53966</v>
      </c>
      <c r="E20" s="135">
        <v>62471.3</v>
      </c>
      <c r="F20" s="157"/>
      <c r="G20" s="6">
        <f>IF($C20&lt;(DATE(G$2,12,31)),H20/(1+(Assumptions!$B$14)),0)</f>
        <v>0</v>
      </c>
      <c r="H20" s="6">
        <f>IF($C20&lt;(DATE(H$2,12,31)),I20/(1+(Assumptions!$B$14)),0)</f>
        <v>0</v>
      </c>
      <c r="I20" s="6">
        <f>IF($C20&lt;(DATE(I$2,12,31)),J20/(1+(Assumptions!$B$14)),0)</f>
        <v>0</v>
      </c>
      <c r="J20" s="6">
        <f>IF($C20&lt;(DATE(J$2,12,31)),K20/(1+(Assumptions!$B$14)),0)</f>
        <v>0</v>
      </c>
      <c r="K20" s="6">
        <f>IF($C20&lt;(DATE(K$2,12,31)),L20/(1+(Assumptions!$B$14)),0)</f>
        <v>0</v>
      </c>
      <c r="L20" s="6">
        <f>IF($C20&lt;(DATE(L$2,12,31)),M20/(1+(Assumptions!$B$14)),0)</f>
        <v>0</v>
      </c>
      <c r="M20" s="6">
        <f>IF($C20&lt;(DATE(M$2,12,31)),N20/(1+(Assumptions!$B$14)),0)</f>
        <v>0</v>
      </c>
      <c r="N20" s="6">
        <f>IF($C20&lt;(DATE(N$2,12,31)),O20/(1+(Assumptions!$B$14)),0)</f>
        <v>0</v>
      </c>
      <c r="O20" s="6">
        <f>IF($C20&lt;(DATE(O$2,12,31)),P20/(1+(Assumptions!$B$14)),0)</f>
        <v>0</v>
      </c>
      <c r="P20" s="6">
        <f>IF($C20&lt;(DATE(P$2,12,31)),Q20/(1+(Assumptions!$B$14)),0)</f>
        <v>0</v>
      </c>
      <c r="Q20" s="6">
        <f>IF($C20&lt;(DATE(Q$2,12,31)),R20/(1+(Assumptions!$B$14)),0)</f>
        <v>0</v>
      </c>
      <c r="R20" s="6">
        <f>IF($C20&lt;(DATE(R$2,12,31)),S20/(1+(Assumptions!$B$14)),0)</f>
        <v>0</v>
      </c>
      <c r="S20" s="6">
        <f>IF($C20&lt;(DATE(S$2,12,31)),T20/(1+(Assumptions!$B$14)),0)</f>
        <v>0</v>
      </c>
      <c r="T20" s="6">
        <f>IF($C20&lt;(DATE(T$2,12,31)),U20/(1+(Assumptions!$B$14)),0)</f>
        <v>0</v>
      </c>
      <c r="U20" s="6">
        <f>IF($C20&lt;(DATE(U$2,12,31)),V20/(1+(Assumptions!$B$14)),0)</f>
        <v>0</v>
      </c>
      <c r="V20" s="6">
        <f>IF($C20&lt;(DATE(V$2,12,31)),W20/(1+(Assumptions!$B$14)),0)</f>
        <v>0</v>
      </c>
      <c r="W20" s="6">
        <f>IF($C20&lt;(DATE(W$2,12,31)),X20/(1+(Assumptions!$B$14)),0)</f>
        <v>0</v>
      </c>
      <c r="X20" s="6">
        <f>IF($C20&lt;(DATE(X$2,12,31)),Y20/(1+(Assumptions!$B$14)),0)</f>
        <v>0</v>
      </c>
      <c r="Y20" s="6">
        <f>IF($C20&lt;(DATE(Y$2,12,31)),Z20/(1+(Assumptions!$B$14)),0)</f>
        <v>0</v>
      </c>
      <c r="Z20" s="6">
        <f>IF($C20&lt;(DATE(Z$2,12,31)),AA20/(1+(Assumptions!$B$14)),0)</f>
        <v>0</v>
      </c>
      <c r="AA20" s="6">
        <f>IF($C20&lt;(DATE(AA$2,12,31)),AB20/(1+(Assumptions!$B$14)),0)</f>
        <v>0</v>
      </c>
      <c r="AB20" s="6">
        <f>IF($C20&lt;(DATE(AB$2,12,31)),AC20/(1+(Assumptions!$B$14)),0)</f>
        <v>0</v>
      </c>
      <c r="AC20" s="6">
        <f>IF($C20&lt;(DATE(AC$2,12,31)),AD20/(1+(Assumptions!$B$14)),0)</f>
        <v>0</v>
      </c>
      <c r="AD20" s="6">
        <f>IF($C20&lt;(DATE(AD$2,12,31)),AE20/(1+(Assumptions!$B$14)),0)</f>
        <v>0</v>
      </c>
      <c r="AE20" s="6">
        <f>IF($C20&lt;(DATE(AE$2,12,31)),AF20/(1+(Assumptions!$B$14)),0)</f>
        <v>0</v>
      </c>
      <c r="AF20" s="6">
        <f>IF($C20&lt;(DATE(AF$2,12,31)),AG20/(1+(Assumptions!$B$14)),0)</f>
        <v>0</v>
      </c>
      <c r="AG20" s="6">
        <f>IF($C20&lt;(DATE(AG$2,12,31)),AH20/(1+(Assumptions!$B$14)),0)</f>
        <v>0</v>
      </c>
      <c r="AH20" s="6">
        <f>IF($C20&lt;(DATE(AH$2,12,31)),AI20/(1+(Assumptions!$B$14)),0)</f>
        <v>42203.371859967119</v>
      </c>
      <c r="AI20" s="6">
        <f>IF($C20&lt;(DATE(AI$2,12,31)),AJ20/(1+(Assumptions!$B$14)),0)</f>
        <v>43891.506734365808</v>
      </c>
      <c r="AJ20" s="6">
        <f>IF($C20&lt;(DATE(AJ$2,12,31)),AK20/(1+(Assumptions!$B$14)),0)</f>
        <v>45647.16700374044</v>
      </c>
      <c r="AK20" s="6">
        <f>IF($C20&lt;(DATE(AK$2,12,31)),AL20/(1+(Assumptions!$B$14)),0)</f>
        <v>47473.053683890059</v>
      </c>
      <c r="AL20" s="6">
        <f>IF($C20&lt;(DATE(AL$2,12,31)),AM20/(1+(Assumptions!$B$14)),0)</f>
        <v>49371.975831245662</v>
      </c>
      <c r="AM20" s="6">
        <f>IF($C20&lt;(DATE(AM$2,12,31)),AN20/(1+(Assumptions!$B$14)),0)</f>
        <v>51346.854864495494</v>
      </c>
      <c r="AN20" s="6">
        <f>IF($C20&lt;(DATE(AN$2,12,31)),AO20/(1+(Assumptions!$B$14)),0)</f>
        <v>53400.729059075318</v>
      </c>
      <c r="AO20" s="6">
        <f>IF($C20&lt;(DATE(AO$2,12,31)),AP20/(1+(Assumptions!$B$14)),0)</f>
        <v>55536.758221438329</v>
      </c>
      <c r="AP20" s="6">
        <f>IF($C20&lt;(DATE(AP$2,12,31)),AQ20/(1+(Assumptions!$B$14)),0)</f>
        <v>57758.228550295862</v>
      </c>
      <c r="AQ20" s="6">
        <f>IF($C20&lt;(DATE(AQ$2,12,31)),AR20/(1+(Assumptions!$B$14)),0)</f>
        <v>60068.557692307695</v>
      </c>
      <c r="AR20" s="6">
        <f t="shared" si="0"/>
        <v>62471.3</v>
      </c>
      <c r="AS20" s="6">
        <f>AR20*(1+(Assumptions!$B$15))</f>
        <v>64345.439000000006</v>
      </c>
      <c r="AT20" s="6">
        <f>AS20*(1+(Assumptions!$B$15))</f>
        <v>66275.80217000001</v>
      </c>
      <c r="AU20" s="6">
        <f>AT20*(1+(Assumptions!$B$15))</f>
        <v>68264.076235100016</v>
      </c>
      <c r="AV20" s="6">
        <f>AU20*(1+(Assumptions!$B$15))</f>
        <v>70311.998522153022</v>
      </c>
      <c r="AW20" s="6">
        <f>AV20*(1+(Assumptions!$B$15))</f>
        <v>72421.358477817615</v>
      </c>
      <c r="AX20" s="6">
        <f>AW20*(1+(Assumptions!$B$15))</f>
        <v>74593.999232152142</v>
      </c>
      <c r="AY20" s="6">
        <f>AX20*(1+(Assumptions!$B$15))</f>
        <v>76831.819209116715</v>
      </c>
      <c r="AZ20" s="6">
        <f>AY20*(1+(Assumptions!$B$15))</f>
        <v>79136.773785390222</v>
      </c>
      <c r="BA20" s="6">
        <f>AZ20*(1+(Assumptions!$B$15))</f>
        <v>81510.876998951935</v>
      </c>
      <c r="BB20" s="6">
        <f>BA20*(1+(Assumptions!$B$15))</f>
        <v>83956.203308920492</v>
      </c>
      <c r="BC20" s="6">
        <f>BB20*(1+(Assumptions!$B$15))</f>
        <v>86474.889408188115</v>
      </c>
    </row>
    <row r="21" spans="1:55" x14ac:dyDescent="0.25">
      <c r="A21" s="132">
        <v>500</v>
      </c>
      <c r="B21" s="133">
        <v>768</v>
      </c>
      <c r="C21" s="134">
        <v>38110</v>
      </c>
      <c r="D21" s="134">
        <v>47088</v>
      </c>
      <c r="E21" s="135">
        <v>63296.11</v>
      </c>
      <c r="F21" s="157"/>
      <c r="G21" s="6">
        <f>IF($C21&lt;(DATE(G$2,12,31)),H21/(1+(Assumptions!$B$14)),0)</f>
        <v>0</v>
      </c>
      <c r="H21" s="6">
        <f>IF($C21&lt;(DATE(H$2,12,31)),I21/(1+(Assumptions!$B$14)),0)</f>
        <v>0</v>
      </c>
      <c r="I21" s="6">
        <f>IF($C21&lt;(DATE(I$2,12,31)),J21/(1+(Assumptions!$B$14)),0)</f>
        <v>0</v>
      </c>
      <c r="J21" s="6">
        <f>IF($C21&lt;(DATE(J$2,12,31)),K21/(1+(Assumptions!$B$14)),0)</f>
        <v>0</v>
      </c>
      <c r="K21" s="6">
        <f>IF($C21&lt;(DATE(K$2,12,31)),L21/(1+(Assumptions!$B$14)),0)</f>
        <v>0</v>
      </c>
      <c r="L21" s="6">
        <f>IF($C21&lt;(DATE(L$2,12,31)),M21/(1+(Assumptions!$B$14)),0)</f>
        <v>0</v>
      </c>
      <c r="M21" s="6">
        <f>IF($C21&lt;(DATE(M$2,12,31)),N21/(1+(Assumptions!$B$14)),0)</f>
        <v>0</v>
      </c>
      <c r="N21" s="6">
        <f>IF($C21&lt;(DATE(N$2,12,31)),O21/(1+(Assumptions!$B$14)),0)</f>
        <v>0</v>
      </c>
      <c r="O21" s="6">
        <f>IF($C21&lt;(DATE(O$2,12,31)),P21/(1+(Assumptions!$B$14)),0)</f>
        <v>0</v>
      </c>
      <c r="P21" s="6">
        <f>IF($C21&lt;(DATE(P$2,12,31)),Q21/(1+(Assumptions!$B$14)),0)</f>
        <v>0</v>
      </c>
      <c r="Q21" s="6">
        <f>IF($C21&lt;(DATE(Q$2,12,31)),R21/(1+(Assumptions!$B$14)),0)</f>
        <v>0</v>
      </c>
      <c r="R21" s="6">
        <f>IF($C21&lt;(DATE(R$2,12,31)),S21/(1+(Assumptions!$B$14)),0)</f>
        <v>0</v>
      </c>
      <c r="S21" s="6">
        <f>IF($C21&lt;(DATE(S$2,12,31)),T21/(1+(Assumptions!$B$14)),0)</f>
        <v>0</v>
      </c>
      <c r="T21" s="6">
        <f>IF($C21&lt;(DATE(T$2,12,31)),U21/(1+(Assumptions!$B$14)),0)</f>
        <v>0</v>
      </c>
      <c r="U21" s="6">
        <f>IF($C21&lt;(DATE(U$2,12,31)),V21/(1+(Assumptions!$B$14)),0)</f>
        <v>0</v>
      </c>
      <c r="V21" s="6">
        <f>IF($C21&lt;(DATE(V$2,12,31)),W21/(1+(Assumptions!$B$14)),0)</f>
        <v>0</v>
      </c>
      <c r="W21" s="6">
        <f>IF($C21&lt;(DATE(W$2,12,31)),X21/(1+(Assumptions!$B$14)),0)</f>
        <v>0</v>
      </c>
      <c r="X21" s="6">
        <f>IF($C21&lt;(DATE(X$2,12,31)),Y21/(1+(Assumptions!$B$14)),0)</f>
        <v>0</v>
      </c>
      <c r="Y21" s="6">
        <f>IF($C21&lt;(DATE(Y$2,12,31)),Z21/(1+(Assumptions!$B$14)),0)</f>
        <v>0</v>
      </c>
      <c r="Z21" s="6">
        <f>IF($C21&lt;(DATE(Z$2,12,31)),AA21/(1+(Assumptions!$B$14)),0)</f>
        <v>0</v>
      </c>
      <c r="AA21" s="6">
        <f>IF($C21&lt;(DATE(AA$2,12,31)),AB21/(1+(Assumptions!$B$14)),0)</f>
        <v>0</v>
      </c>
      <c r="AB21" s="6">
        <f>IF($C21&lt;(DATE(AB$2,12,31)),AC21/(1+(Assumptions!$B$14)),0)</f>
        <v>0</v>
      </c>
      <c r="AC21" s="6">
        <f>IF($C21&lt;(DATE(AC$2,12,31)),AD21/(1+(Assumptions!$B$14)),0)</f>
        <v>0</v>
      </c>
      <c r="AD21" s="6">
        <f>IF($C21&lt;(DATE(AD$2,12,31)),AE21/(1+(Assumptions!$B$14)),0)</f>
        <v>0</v>
      </c>
      <c r="AE21" s="6">
        <f>IF($C21&lt;(DATE(AE$2,12,31)),AF21/(1+(Assumptions!$B$14)),0)</f>
        <v>0</v>
      </c>
      <c r="AF21" s="6">
        <f>IF($C21&lt;(DATE(AF$2,12,31)),AG21/(1+(Assumptions!$B$14)),0)</f>
        <v>0</v>
      </c>
      <c r="AG21" s="6">
        <f>IF($C21&lt;(DATE(AG$2,12,31)),AH21/(1+(Assumptions!$B$14)),0)</f>
        <v>0</v>
      </c>
      <c r="AH21" s="6">
        <f>IF($C21&lt;(DATE(AH$2,12,31)),AI21/(1+(Assumptions!$B$14)),0)</f>
        <v>42760.583942056328</v>
      </c>
      <c r="AI21" s="6">
        <f>IF($C21&lt;(DATE(AI$2,12,31)),AJ21/(1+(Assumptions!$B$14)),0)</f>
        <v>44471.00729973858</v>
      </c>
      <c r="AJ21" s="6">
        <f>IF($C21&lt;(DATE(AJ$2,12,31)),AK21/(1+(Assumptions!$B$14)),0)</f>
        <v>46249.847591728125</v>
      </c>
      <c r="AK21" s="6">
        <f>IF($C21&lt;(DATE(AK$2,12,31)),AL21/(1+(Assumptions!$B$14)),0)</f>
        <v>48099.841495397253</v>
      </c>
      <c r="AL21" s="6">
        <f>IF($C21&lt;(DATE(AL$2,12,31)),AM21/(1+(Assumptions!$B$14)),0)</f>
        <v>50023.835155213143</v>
      </c>
      <c r="AM21" s="6">
        <f>IF($C21&lt;(DATE(AM$2,12,31)),AN21/(1+(Assumptions!$B$14)),0)</f>
        <v>52024.788561421672</v>
      </c>
      <c r="AN21" s="6">
        <f>IF($C21&lt;(DATE(AN$2,12,31)),AO21/(1+(Assumptions!$B$14)),0)</f>
        <v>54105.78010387854</v>
      </c>
      <c r="AO21" s="6">
        <f>IF($C21&lt;(DATE(AO$2,12,31)),AP21/(1+(Assumptions!$B$14)),0)</f>
        <v>56270.011308033681</v>
      </c>
      <c r="AP21" s="6">
        <f>IF($C21&lt;(DATE(AP$2,12,31)),AQ21/(1+(Assumptions!$B$14)),0)</f>
        <v>58520.811760355027</v>
      </c>
      <c r="AQ21" s="6">
        <f>IF($C21&lt;(DATE(AQ$2,12,31)),AR21/(1+(Assumptions!$B$14)),0)</f>
        <v>60861.644230769227</v>
      </c>
      <c r="AR21" s="6">
        <f t="shared" si="0"/>
        <v>63296.11</v>
      </c>
      <c r="AS21" s="6">
        <f>AR21*(1+(Assumptions!$B$15))</f>
        <v>65194.993300000002</v>
      </c>
      <c r="AT21" s="6">
        <f>AS21*(1+(Assumptions!$B$15))</f>
        <v>67150.843099000005</v>
      </c>
      <c r="AU21" s="6">
        <f>AT21*(1+(Assumptions!$B$15))</f>
        <v>69165.368391970012</v>
      </c>
      <c r="AV21" s="6">
        <f>AU21*(1+(Assumptions!$B$15))</f>
        <v>71240.329443729119</v>
      </c>
      <c r="AW21" s="6">
        <f>AV21*(1+(Assumptions!$B$15))</f>
        <v>73377.539327040999</v>
      </c>
      <c r="AX21" s="6">
        <f>AW21*(1+(Assumptions!$B$15))</f>
        <v>75578.865506852235</v>
      </c>
      <c r="AY21" s="6">
        <f>AX21*(1+(Assumptions!$B$15))</f>
        <v>77846.2314720578</v>
      </c>
      <c r="AZ21" s="6">
        <f>AY21*(1+(Assumptions!$B$15))</f>
        <v>80181.618416219542</v>
      </c>
      <c r="BA21" s="6">
        <f>AZ21*(1+(Assumptions!$B$15))</f>
        <v>82587.066968706131</v>
      </c>
      <c r="BB21" s="6">
        <f>BA21*(1+(Assumptions!$B$15))</f>
        <v>85064.678977767311</v>
      </c>
      <c r="BC21" s="6">
        <f>BB21*(1+(Assumptions!$B$15))</f>
        <v>87616.619347100335</v>
      </c>
    </row>
    <row r="22" spans="1:55" x14ac:dyDescent="0.25">
      <c r="A22" s="132">
        <v>500</v>
      </c>
      <c r="B22" s="133">
        <v>767</v>
      </c>
      <c r="C22" s="134">
        <v>38061</v>
      </c>
      <c r="D22" s="134">
        <v>51653</v>
      </c>
      <c r="E22" s="135">
        <v>64120.92</v>
      </c>
      <c r="F22" s="157"/>
      <c r="G22" s="6">
        <f>IF($C22&lt;(DATE(G$2,12,31)),H22/(1+(Assumptions!$B$14)),0)</f>
        <v>0</v>
      </c>
      <c r="H22" s="6">
        <f>IF($C22&lt;(DATE(H$2,12,31)),I22/(1+(Assumptions!$B$14)),0)</f>
        <v>0</v>
      </c>
      <c r="I22" s="6">
        <f>IF($C22&lt;(DATE(I$2,12,31)),J22/(1+(Assumptions!$B$14)),0)</f>
        <v>0</v>
      </c>
      <c r="J22" s="6">
        <f>IF($C22&lt;(DATE(J$2,12,31)),K22/(1+(Assumptions!$B$14)),0)</f>
        <v>0</v>
      </c>
      <c r="K22" s="6">
        <f>IF($C22&lt;(DATE(K$2,12,31)),L22/(1+(Assumptions!$B$14)),0)</f>
        <v>0</v>
      </c>
      <c r="L22" s="6">
        <f>IF($C22&lt;(DATE(L$2,12,31)),M22/(1+(Assumptions!$B$14)),0)</f>
        <v>0</v>
      </c>
      <c r="M22" s="6">
        <f>IF($C22&lt;(DATE(M$2,12,31)),N22/(1+(Assumptions!$B$14)),0)</f>
        <v>0</v>
      </c>
      <c r="N22" s="6">
        <f>IF($C22&lt;(DATE(N$2,12,31)),O22/(1+(Assumptions!$B$14)),0)</f>
        <v>0</v>
      </c>
      <c r="O22" s="6">
        <f>IF($C22&lt;(DATE(O$2,12,31)),P22/(1+(Assumptions!$B$14)),0)</f>
        <v>0</v>
      </c>
      <c r="P22" s="6">
        <f>IF($C22&lt;(DATE(P$2,12,31)),Q22/(1+(Assumptions!$B$14)),0)</f>
        <v>0</v>
      </c>
      <c r="Q22" s="6">
        <f>IF($C22&lt;(DATE(Q$2,12,31)),R22/(1+(Assumptions!$B$14)),0)</f>
        <v>0</v>
      </c>
      <c r="R22" s="6">
        <f>IF($C22&lt;(DATE(R$2,12,31)),S22/(1+(Assumptions!$B$14)),0)</f>
        <v>0</v>
      </c>
      <c r="S22" s="6">
        <f>IF($C22&lt;(DATE(S$2,12,31)),T22/(1+(Assumptions!$B$14)),0)</f>
        <v>0</v>
      </c>
      <c r="T22" s="6">
        <f>IF($C22&lt;(DATE(T$2,12,31)),U22/(1+(Assumptions!$B$14)),0)</f>
        <v>0</v>
      </c>
      <c r="U22" s="6">
        <f>IF($C22&lt;(DATE(U$2,12,31)),V22/(1+(Assumptions!$B$14)),0)</f>
        <v>0</v>
      </c>
      <c r="V22" s="6">
        <f>IF($C22&lt;(DATE(V$2,12,31)),W22/(1+(Assumptions!$B$14)),0)</f>
        <v>0</v>
      </c>
      <c r="W22" s="6">
        <f>IF($C22&lt;(DATE(W$2,12,31)),X22/(1+(Assumptions!$B$14)),0)</f>
        <v>0</v>
      </c>
      <c r="X22" s="6">
        <f>IF($C22&lt;(DATE(X$2,12,31)),Y22/(1+(Assumptions!$B$14)),0)</f>
        <v>0</v>
      </c>
      <c r="Y22" s="6">
        <f>IF($C22&lt;(DATE(Y$2,12,31)),Z22/(1+(Assumptions!$B$14)),0)</f>
        <v>0</v>
      </c>
      <c r="Z22" s="6">
        <f>IF($C22&lt;(DATE(Z$2,12,31)),AA22/(1+(Assumptions!$B$14)),0)</f>
        <v>0</v>
      </c>
      <c r="AA22" s="6">
        <f>IF($C22&lt;(DATE(AA$2,12,31)),AB22/(1+(Assumptions!$B$14)),0)</f>
        <v>0</v>
      </c>
      <c r="AB22" s="6">
        <f>IF($C22&lt;(DATE(AB$2,12,31)),AC22/(1+(Assumptions!$B$14)),0)</f>
        <v>0</v>
      </c>
      <c r="AC22" s="6">
        <f>IF($C22&lt;(DATE(AC$2,12,31)),AD22/(1+(Assumptions!$B$14)),0)</f>
        <v>0</v>
      </c>
      <c r="AD22" s="6">
        <f>IF($C22&lt;(DATE(AD$2,12,31)),AE22/(1+(Assumptions!$B$14)),0)</f>
        <v>0</v>
      </c>
      <c r="AE22" s="6">
        <f>IF($C22&lt;(DATE(AE$2,12,31)),AF22/(1+(Assumptions!$B$14)),0)</f>
        <v>0</v>
      </c>
      <c r="AF22" s="6">
        <f>IF($C22&lt;(DATE(AF$2,12,31)),AG22/(1+(Assumptions!$B$14)),0)</f>
        <v>0</v>
      </c>
      <c r="AG22" s="6">
        <f>IF($C22&lt;(DATE(AG$2,12,31)),AH22/(1+(Assumptions!$B$14)),0)</f>
        <v>0</v>
      </c>
      <c r="AH22" s="6">
        <f>IF($C22&lt;(DATE(AH$2,12,31)),AI22/(1+(Assumptions!$B$14)),0)</f>
        <v>43317.796024145522</v>
      </c>
      <c r="AI22" s="6">
        <f>IF($C22&lt;(DATE(AI$2,12,31)),AJ22/(1+(Assumptions!$B$14)),0)</f>
        <v>45050.507865111344</v>
      </c>
      <c r="AJ22" s="6">
        <f>IF($C22&lt;(DATE(AJ$2,12,31)),AK22/(1+(Assumptions!$B$14)),0)</f>
        <v>46852.528179715802</v>
      </c>
      <c r="AK22" s="6">
        <f>IF($C22&lt;(DATE(AK$2,12,31)),AL22/(1+(Assumptions!$B$14)),0)</f>
        <v>48726.629306904433</v>
      </c>
      <c r="AL22" s="6">
        <f>IF($C22&lt;(DATE(AL$2,12,31)),AM22/(1+(Assumptions!$B$14)),0)</f>
        <v>50675.694479180609</v>
      </c>
      <c r="AM22" s="6">
        <f>IF($C22&lt;(DATE(AM$2,12,31)),AN22/(1+(Assumptions!$B$14)),0)</f>
        <v>52702.722258347836</v>
      </c>
      <c r="AN22" s="6">
        <f>IF($C22&lt;(DATE(AN$2,12,31)),AO22/(1+(Assumptions!$B$14)),0)</f>
        <v>54810.831148681755</v>
      </c>
      <c r="AO22" s="6">
        <f>IF($C22&lt;(DATE(AO$2,12,31)),AP22/(1+(Assumptions!$B$14)),0)</f>
        <v>57003.264394629026</v>
      </c>
      <c r="AP22" s="6">
        <f>IF($C22&lt;(DATE(AP$2,12,31)),AQ22/(1+(Assumptions!$B$14)),0)</f>
        <v>59283.394970414192</v>
      </c>
      <c r="AQ22" s="6">
        <f>IF($C22&lt;(DATE(AQ$2,12,31)),AR22/(1+(Assumptions!$B$14)),0)</f>
        <v>61654.730769230766</v>
      </c>
      <c r="AR22" s="6">
        <f t="shared" si="0"/>
        <v>64120.92</v>
      </c>
      <c r="AS22" s="6">
        <f>AR22*(1+(Assumptions!$B$15))</f>
        <v>66044.547600000005</v>
      </c>
      <c r="AT22" s="6">
        <f>AS22*(1+(Assumptions!$B$15))</f>
        <v>68025.884028</v>
      </c>
      <c r="AU22" s="6">
        <f>AT22*(1+(Assumptions!$B$15))</f>
        <v>70066.660548840009</v>
      </c>
      <c r="AV22" s="6">
        <f>AU22*(1+(Assumptions!$B$15))</f>
        <v>72168.660365305215</v>
      </c>
      <c r="AW22" s="6">
        <f>AV22*(1+(Assumptions!$B$15))</f>
        <v>74333.720176264367</v>
      </c>
      <c r="AX22" s="6">
        <f>AW22*(1+(Assumptions!$B$15))</f>
        <v>76563.731781552298</v>
      </c>
      <c r="AY22" s="6">
        <f>AX22*(1+(Assumptions!$B$15))</f>
        <v>78860.64373499887</v>
      </c>
      <c r="AZ22" s="6">
        <f>AY22*(1+(Assumptions!$B$15))</f>
        <v>81226.463047048834</v>
      </c>
      <c r="BA22" s="6">
        <f>AZ22*(1+(Assumptions!$B$15))</f>
        <v>83663.256938460298</v>
      </c>
      <c r="BB22" s="6">
        <f>BA22*(1+(Assumptions!$B$15))</f>
        <v>86173.154646614115</v>
      </c>
      <c r="BC22" s="6">
        <f>BB22*(1+(Assumptions!$B$15))</f>
        <v>88758.349286012541</v>
      </c>
    </row>
    <row r="23" spans="1:55" x14ac:dyDescent="0.25">
      <c r="A23" s="132">
        <v>500</v>
      </c>
      <c r="B23" s="133">
        <v>766</v>
      </c>
      <c r="C23" s="134">
        <v>37991</v>
      </c>
      <c r="D23" s="134">
        <v>47270</v>
      </c>
      <c r="E23" s="135">
        <v>64945.74</v>
      </c>
      <c r="F23" s="157"/>
      <c r="G23" s="6">
        <f>IF($C23&lt;(DATE(G$2,12,31)),H23/(1+(Assumptions!$B$14)),0)</f>
        <v>0</v>
      </c>
      <c r="H23" s="6">
        <f>IF($C23&lt;(DATE(H$2,12,31)),I23/(1+(Assumptions!$B$14)),0)</f>
        <v>0</v>
      </c>
      <c r="I23" s="6">
        <f>IF($C23&lt;(DATE(I$2,12,31)),J23/(1+(Assumptions!$B$14)),0)</f>
        <v>0</v>
      </c>
      <c r="J23" s="6">
        <f>IF($C23&lt;(DATE(J$2,12,31)),K23/(1+(Assumptions!$B$14)),0)</f>
        <v>0</v>
      </c>
      <c r="K23" s="6">
        <f>IF($C23&lt;(DATE(K$2,12,31)),L23/(1+(Assumptions!$B$14)),0)</f>
        <v>0</v>
      </c>
      <c r="L23" s="6">
        <f>IF($C23&lt;(DATE(L$2,12,31)),M23/(1+(Assumptions!$B$14)),0)</f>
        <v>0</v>
      </c>
      <c r="M23" s="6">
        <f>IF($C23&lt;(DATE(M$2,12,31)),N23/(1+(Assumptions!$B$14)),0)</f>
        <v>0</v>
      </c>
      <c r="N23" s="6">
        <f>IF($C23&lt;(DATE(N$2,12,31)),O23/(1+(Assumptions!$B$14)),0)</f>
        <v>0</v>
      </c>
      <c r="O23" s="6">
        <f>IF($C23&lt;(DATE(O$2,12,31)),P23/(1+(Assumptions!$B$14)),0)</f>
        <v>0</v>
      </c>
      <c r="P23" s="6">
        <f>IF($C23&lt;(DATE(P$2,12,31)),Q23/(1+(Assumptions!$B$14)),0)</f>
        <v>0</v>
      </c>
      <c r="Q23" s="6">
        <f>IF($C23&lt;(DATE(Q$2,12,31)),R23/(1+(Assumptions!$B$14)),0)</f>
        <v>0</v>
      </c>
      <c r="R23" s="6">
        <f>IF($C23&lt;(DATE(R$2,12,31)),S23/(1+(Assumptions!$B$14)),0)</f>
        <v>0</v>
      </c>
      <c r="S23" s="6">
        <f>IF($C23&lt;(DATE(S$2,12,31)),T23/(1+(Assumptions!$B$14)),0)</f>
        <v>0</v>
      </c>
      <c r="T23" s="6">
        <f>IF($C23&lt;(DATE(T$2,12,31)),U23/(1+(Assumptions!$B$14)),0)</f>
        <v>0</v>
      </c>
      <c r="U23" s="6">
        <f>IF($C23&lt;(DATE(U$2,12,31)),V23/(1+(Assumptions!$B$14)),0)</f>
        <v>0</v>
      </c>
      <c r="V23" s="6">
        <f>IF($C23&lt;(DATE(V$2,12,31)),W23/(1+(Assumptions!$B$14)),0)</f>
        <v>0</v>
      </c>
      <c r="W23" s="6">
        <f>IF($C23&lt;(DATE(W$2,12,31)),X23/(1+(Assumptions!$B$14)),0)</f>
        <v>0</v>
      </c>
      <c r="X23" s="6">
        <f>IF($C23&lt;(DATE(X$2,12,31)),Y23/(1+(Assumptions!$B$14)),0)</f>
        <v>0</v>
      </c>
      <c r="Y23" s="6">
        <f>IF($C23&lt;(DATE(Y$2,12,31)),Z23/(1+(Assumptions!$B$14)),0)</f>
        <v>0</v>
      </c>
      <c r="Z23" s="6">
        <f>IF($C23&lt;(DATE(Z$2,12,31)),AA23/(1+(Assumptions!$B$14)),0)</f>
        <v>0</v>
      </c>
      <c r="AA23" s="6">
        <f>IF($C23&lt;(DATE(AA$2,12,31)),AB23/(1+(Assumptions!$B$14)),0)</f>
        <v>0</v>
      </c>
      <c r="AB23" s="6">
        <f>IF($C23&lt;(DATE(AB$2,12,31)),AC23/(1+(Assumptions!$B$14)),0)</f>
        <v>0</v>
      </c>
      <c r="AC23" s="6">
        <f>IF($C23&lt;(DATE(AC$2,12,31)),AD23/(1+(Assumptions!$B$14)),0)</f>
        <v>0</v>
      </c>
      <c r="AD23" s="6">
        <f>IF($C23&lt;(DATE(AD$2,12,31)),AE23/(1+(Assumptions!$B$14)),0)</f>
        <v>0</v>
      </c>
      <c r="AE23" s="6">
        <f>IF($C23&lt;(DATE(AE$2,12,31)),AF23/(1+(Assumptions!$B$14)),0)</f>
        <v>0</v>
      </c>
      <c r="AF23" s="6">
        <f>IF($C23&lt;(DATE(AF$2,12,31)),AG23/(1+(Assumptions!$B$14)),0)</f>
        <v>0</v>
      </c>
      <c r="AG23" s="6">
        <f>IF($C23&lt;(DATE(AG$2,12,31)),AH23/(1+(Assumptions!$B$14)),0)</f>
        <v>0</v>
      </c>
      <c r="AH23" s="6">
        <f>IF($C23&lt;(DATE(AH$2,12,31)),AI23/(1+(Assumptions!$B$14)),0)</f>
        <v>43875.014861876421</v>
      </c>
      <c r="AI23" s="6">
        <f>IF($C23&lt;(DATE(AI$2,12,31)),AJ23/(1+(Assumptions!$B$14)),0)</f>
        <v>45630.015456351481</v>
      </c>
      <c r="AJ23" s="6">
        <f>IF($C23&lt;(DATE(AJ$2,12,31)),AK23/(1+(Assumptions!$B$14)),0)</f>
        <v>47455.216074605538</v>
      </c>
      <c r="AK23" s="6">
        <f>IF($C23&lt;(DATE(AK$2,12,31)),AL23/(1+(Assumptions!$B$14)),0)</f>
        <v>49353.424717589762</v>
      </c>
      <c r="AL23" s="6">
        <f>IF($C23&lt;(DATE(AL$2,12,31)),AM23/(1+(Assumptions!$B$14)),0)</f>
        <v>51327.561706293352</v>
      </c>
      <c r="AM23" s="6">
        <f>IF($C23&lt;(DATE(AM$2,12,31)),AN23/(1+(Assumptions!$B$14)),0)</f>
        <v>53380.664174545091</v>
      </c>
      <c r="AN23" s="6">
        <f>IF($C23&lt;(DATE(AN$2,12,31)),AO23/(1+(Assumptions!$B$14)),0)</f>
        <v>55515.890741526899</v>
      </c>
      <c r="AO23" s="6">
        <f>IF($C23&lt;(DATE(AO$2,12,31)),AP23/(1+(Assumptions!$B$14)),0)</f>
        <v>57736.526371187974</v>
      </c>
      <c r="AP23" s="6">
        <f>IF($C23&lt;(DATE(AP$2,12,31)),AQ23/(1+(Assumptions!$B$14)),0)</f>
        <v>60045.987426035499</v>
      </c>
      <c r="AQ23" s="6">
        <f>IF($C23&lt;(DATE(AQ$2,12,31)),AR23/(1+(Assumptions!$B$14)),0)</f>
        <v>62447.826923076922</v>
      </c>
      <c r="AR23" s="6">
        <f t="shared" si="0"/>
        <v>64945.74</v>
      </c>
      <c r="AS23" s="6">
        <f>AR23*(1+(Assumptions!$B$15))</f>
        <v>66894.112200000003</v>
      </c>
      <c r="AT23" s="6">
        <f>AS23*(1+(Assumptions!$B$15))</f>
        <v>68900.935566</v>
      </c>
      <c r="AU23" s="6">
        <f>AT23*(1+(Assumptions!$B$15))</f>
        <v>70967.963632979998</v>
      </c>
      <c r="AV23" s="6">
        <f>AU23*(1+(Assumptions!$B$15))</f>
        <v>73097.002541969399</v>
      </c>
      <c r="AW23" s="6">
        <f>AV23*(1+(Assumptions!$B$15))</f>
        <v>75289.912618228482</v>
      </c>
      <c r="AX23" s="6">
        <f>AW23*(1+(Assumptions!$B$15))</f>
        <v>77548.60999677534</v>
      </c>
      <c r="AY23" s="6">
        <f>AX23*(1+(Assumptions!$B$15))</f>
        <v>79875.068296678597</v>
      </c>
      <c r="AZ23" s="6">
        <f>AY23*(1+(Assumptions!$B$15))</f>
        <v>82271.320345578963</v>
      </c>
      <c r="BA23" s="6">
        <f>AZ23*(1+(Assumptions!$B$15))</f>
        <v>84739.459955946339</v>
      </c>
      <c r="BB23" s="6">
        <f>BA23*(1+(Assumptions!$B$15))</f>
        <v>87281.643754624733</v>
      </c>
      <c r="BC23" s="6">
        <f>BB23*(1+(Assumptions!$B$15))</f>
        <v>89900.093067263471</v>
      </c>
    </row>
    <row r="24" spans="1:55" x14ac:dyDescent="0.25">
      <c r="A24" s="132">
        <v>500</v>
      </c>
      <c r="B24" s="133">
        <v>765</v>
      </c>
      <c r="C24" s="134">
        <v>37742</v>
      </c>
      <c r="D24" s="134">
        <v>43922</v>
      </c>
      <c r="E24" s="135">
        <v>65770.55</v>
      </c>
      <c r="F24" s="157"/>
      <c r="G24" s="6">
        <f>IF($C24&lt;(DATE(G$2,12,31)),H24/(1+(Assumptions!$B$14)),0)</f>
        <v>0</v>
      </c>
      <c r="H24" s="6">
        <f>IF($C24&lt;(DATE(H$2,12,31)),I24/(1+(Assumptions!$B$14)),0)</f>
        <v>0</v>
      </c>
      <c r="I24" s="6">
        <f>IF($C24&lt;(DATE(I$2,12,31)),J24/(1+(Assumptions!$B$14)),0)</f>
        <v>0</v>
      </c>
      <c r="J24" s="6">
        <f>IF($C24&lt;(DATE(J$2,12,31)),K24/(1+(Assumptions!$B$14)),0)</f>
        <v>0</v>
      </c>
      <c r="K24" s="6">
        <f>IF($C24&lt;(DATE(K$2,12,31)),L24/(1+(Assumptions!$B$14)),0)</f>
        <v>0</v>
      </c>
      <c r="L24" s="6">
        <f>IF($C24&lt;(DATE(L$2,12,31)),M24/(1+(Assumptions!$B$14)),0)</f>
        <v>0</v>
      </c>
      <c r="M24" s="6">
        <f>IF($C24&lt;(DATE(M$2,12,31)),N24/(1+(Assumptions!$B$14)),0)</f>
        <v>0</v>
      </c>
      <c r="N24" s="6">
        <f>IF($C24&lt;(DATE(N$2,12,31)),O24/(1+(Assumptions!$B$14)),0)</f>
        <v>0</v>
      </c>
      <c r="O24" s="6">
        <f>IF($C24&lt;(DATE(O$2,12,31)),P24/(1+(Assumptions!$B$14)),0)</f>
        <v>0</v>
      </c>
      <c r="P24" s="6">
        <f>IF($C24&lt;(DATE(P$2,12,31)),Q24/(1+(Assumptions!$B$14)),0)</f>
        <v>0</v>
      </c>
      <c r="Q24" s="6">
        <f>IF($C24&lt;(DATE(Q$2,12,31)),R24/(1+(Assumptions!$B$14)),0)</f>
        <v>0</v>
      </c>
      <c r="R24" s="6">
        <f>IF($C24&lt;(DATE(R$2,12,31)),S24/(1+(Assumptions!$B$14)),0)</f>
        <v>0</v>
      </c>
      <c r="S24" s="6">
        <f>IF($C24&lt;(DATE(S$2,12,31)),T24/(1+(Assumptions!$B$14)),0)</f>
        <v>0</v>
      </c>
      <c r="T24" s="6">
        <f>IF($C24&lt;(DATE(T$2,12,31)),U24/(1+(Assumptions!$B$14)),0)</f>
        <v>0</v>
      </c>
      <c r="U24" s="6">
        <f>IF($C24&lt;(DATE(U$2,12,31)),V24/(1+(Assumptions!$B$14)),0)</f>
        <v>0</v>
      </c>
      <c r="V24" s="6">
        <f>IF($C24&lt;(DATE(V$2,12,31)),W24/(1+(Assumptions!$B$14)),0)</f>
        <v>0</v>
      </c>
      <c r="W24" s="6">
        <f>IF($C24&lt;(DATE(W$2,12,31)),X24/(1+(Assumptions!$B$14)),0)</f>
        <v>0</v>
      </c>
      <c r="X24" s="6">
        <f>IF($C24&lt;(DATE(X$2,12,31)),Y24/(1+(Assumptions!$B$14)),0)</f>
        <v>0</v>
      </c>
      <c r="Y24" s="6">
        <f>IF($C24&lt;(DATE(Y$2,12,31)),Z24/(1+(Assumptions!$B$14)),0)</f>
        <v>0</v>
      </c>
      <c r="Z24" s="6">
        <f>IF($C24&lt;(DATE(Z$2,12,31)),AA24/(1+(Assumptions!$B$14)),0)</f>
        <v>0</v>
      </c>
      <c r="AA24" s="6">
        <f>IF($C24&lt;(DATE(AA$2,12,31)),AB24/(1+(Assumptions!$B$14)),0)</f>
        <v>0</v>
      </c>
      <c r="AB24" s="6">
        <f>IF($C24&lt;(DATE(AB$2,12,31)),AC24/(1+(Assumptions!$B$14)),0)</f>
        <v>0</v>
      </c>
      <c r="AC24" s="6">
        <f>IF($C24&lt;(DATE(AC$2,12,31)),AD24/(1+(Assumptions!$B$14)),0)</f>
        <v>0</v>
      </c>
      <c r="AD24" s="6">
        <f>IF($C24&lt;(DATE(AD$2,12,31)),AE24/(1+(Assumptions!$B$14)),0)</f>
        <v>0</v>
      </c>
      <c r="AE24" s="6">
        <f>IF($C24&lt;(DATE(AE$2,12,31)),AF24/(1+(Assumptions!$B$14)),0)</f>
        <v>0</v>
      </c>
      <c r="AF24" s="6">
        <f>IF($C24&lt;(DATE(AF$2,12,31)),AG24/(1+(Assumptions!$B$14)),0)</f>
        <v>0</v>
      </c>
      <c r="AG24" s="6">
        <f>IF($C24&lt;(DATE(AG$2,12,31)),AH24/(1+(Assumptions!$B$14)),0)</f>
        <v>42723.29513842849</v>
      </c>
      <c r="AH24" s="6">
        <f>IF($C24&lt;(DATE(AH$2,12,31)),AI24/(1+(Assumptions!$B$14)),0)</f>
        <v>44432.22694396563</v>
      </c>
      <c r="AI24" s="6">
        <f>IF($C24&lt;(DATE(AI$2,12,31)),AJ24/(1+(Assumptions!$B$14)),0)</f>
        <v>46209.516021724259</v>
      </c>
      <c r="AJ24" s="6">
        <f>IF($C24&lt;(DATE(AJ$2,12,31)),AK24/(1+(Assumptions!$B$14)),0)</f>
        <v>48057.89666259323</v>
      </c>
      <c r="AK24" s="6">
        <f>IF($C24&lt;(DATE(AK$2,12,31)),AL24/(1+(Assumptions!$B$14)),0)</f>
        <v>49980.212529096963</v>
      </c>
      <c r="AL24" s="6">
        <f>IF($C24&lt;(DATE(AL$2,12,31)),AM24/(1+(Assumptions!$B$14)),0)</f>
        <v>51979.421030260841</v>
      </c>
      <c r="AM24" s="6">
        <f>IF($C24&lt;(DATE(AM$2,12,31)),AN24/(1+(Assumptions!$B$14)),0)</f>
        <v>54058.597871471276</v>
      </c>
      <c r="AN24" s="6">
        <f>IF($C24&lt;(DATE(AN$2,12,31)),AO24/(1+(Assumptions!$B$14)),0)</f>
        <v>56220.941786330128</v>
      </c>
      <c r="AO24" s="6">
        <f>IF($C24&lt;(DATE(AO$2,12,31)),AP24/(1+(Assumptions!$B$14)),0)</f>
        <v>58469.779457783334</v>
      </c>
      <c r="AP24" s="6">
        <f>IF($C24&lt;(DATE(AP$2,12,31)),AQ24/(1+(Assumptions!$B$14)),0)</f>
        <v>60808.570636094671</v>
      </c>
      <c r="AQ24" s="6">
        <f>IF($C24&lt;(DATE(AQ$2,12,31)),AR24/(1+(Assumptions!$B$14)),0)</f>
        <v>63240.913461538461</v>
      </c>
      <c r="AR24" s="6">
        <f t="shared" si="0"/>
        <v>65770.55</v>
      </c>
      <c r="AS24" s="6">
        <f>AR24*(1+(Assumptions!$B$15))</f>
        <v>67743.666500000007</v>
      </c>
      <c r="AT24" s="6">
        <f>AS24*(1+(Assumptions!$B$15))</f>
        <v>69775.97649500001</v>
      </c>
      <c r="AU24" s="6">
        <f>AT24*(1+(Assumptions!$B$15))</f>
        <v>71869.255789850009</v>
      </c>
      <c r="AV24" s="6">
        <f>AU24*(1+(Assumptions!$B$15))</f>
        <v>74025.33346354551</v>
      </c>
      <c r="AW24" s="6">
        <f>AV24*(1+(Assumptions!$B$15))</f>
        <v>76246.093467451879</v>
      </c>
      <c r="AX24" s="6">
        <f>AW24*(1+(Assumptions!$B$15))</f>
        <v>78533.476271475432</v>
      </c>
      <c r="AY24" s="6">
        <f>AX24*(1+(Assumptions!$B$15))</f>
        <v>80889.480559619697</v>
      </c>
      <c r="AZ24" s="6">
        <f>AY24*(1+(Assumptions!$B$15))</f>
        <v>83316.164976408283</v>
      </c>
      <c r="BA24" s="6">
        <f>AZ24*(1+(Assumptions!$B$15))</f>
        <v>85815.649925700534</v>
      </c>
      <c r="BB24" s="6">
        <f>BA24*(1+(Assumptions!$B$15))</f>
        <v>88390.119423471551</v>
      </c>
      <c r="BC24" s="6">
        <f>BB24*(1+(Assumptions!$B$15))</f>
        <v>91041.823006175706</v>
      </c>
    </row>
    <row r="25" spans="1:55" x14ac:dyDescent="0.25">
      <c r="A25" s="132">
        <v>500</v>
      </c>
      <c r="B25" s="133">
        <v>762</v>
      </c>
      <c r="C25" s="134">
        <v>37742</v>
      </c>
      <c r="D25" s="134">
        <v>50041</v>
      </c>
      <c r="E25" s="135">
        <v>66595.360000000001</v>
      </c>
      <c r="F25" s="157"/>
      <c r="G25" s="6">
        <f>IF($C25&lt;(DATE(G$2,12,31)),H25/(1+(Assumptions!$B$14)),0)</f>
        <v>0</v>
      </c>
      <c r="H25" s="6">
        <f>IF($C25&lt;(DATE(H$2,12,31)),I25/(1+(Assumptions!$B$14)),0)</f>
        <v>0</v>
      </c>
      <c r="I25" s="6">
        <f>IF($C25&lt;(DATE(I$2,12,31)),J25/(1+(Assumptions!$B$14)),0)</f>
        <v>0</v>
      </c>
      <c r="J25" s="6">
        <f>IF($C25&lt;(DATE(J$2,12,31)),K25/(1+(Assumptions!$B$14)),0)</f>
        <v>0</v>
      </c>
      <c r="K25" s="6">
        <f>IF($C25&lt;(DATE(K$2,12,31)),L25/(1+(Assumptions!$B$14)),0)</f>
        <v>0</v>
      </c>
      <c r="L25" s="6">
        <f>IF($C25&lt;(DATE(L$2,12,31)),M25/(1+(Assumptions!$B$14)),0)</f>
        <v>0</v>
      </c>
      <c r="M25" s="6">
        <f>IF($C25&lt;(DATE(M$2,12,31)),N25/(1+(Assumptions!$B$14)),0)</f>
        <v>0</v>
      </c>
      <c r="N25" s="6">
        <f>IF($C25&lt;(DATE(N$2,12,31)),O25/(1+(Assumptions!$B$14)),0)</f>
        <v>0</v>
      </c>
      <c r="O25" s="6">
        <f>IF($C25&lt;(DATE(O$2,12,31)),P25/(1+(Assumptions!$B$14)),0)</f>
        <v>0</v>
      </c>
      <c r="P25" s="6">
        <f>IF($C25&lt;(DATE(P$2,12,31)),Q25/(1+(Assumptions!$B$14)),0)</f>
        <v>0</v>
      </c>
      <c r="Q25" s="6">
        <f>IF($C25&lt;(DATE(Q$2,12,31)),R25/(1+(Assumptions!$B$14)),0)</f>
        <v>0</v>
      </c>
      <c r="R25" s="6">
        <f>IF($C25&lt;(DATE(R$2,12,31)),S25/(1+(Assumptions!$B$14)),0)</f>
        <v>0</v>
      </c>
      <c r="S25" s="6">
        <f>IF($C25&lt;(DATE(S$2,12,31)),T25/(1+(Assumptions!$B$14)),0)</f>
        <v>0</v>
      </c>
      <c r="T25" s="6">
        <f>IF($C25&lt;(DATE(T$2,12,31)),U25/(1+(Assumptions!$B$14)),0)</f>
        <v>0</v>
      </c>
      <c r="U25" s="6">
        <f>IF($C25&lt;(DATE(U$2,12,31)),V25/(1+(Assumptions!$B$14)),0)</f>
        <v>0</v>
      </c>
      <c r="V25" s="6">
        <f>IF($C25&lt;(DATE(V$2,12,31)),W25/(1+(Assumptions!$B$14)),0)</f>
        <v>0</v>
      </c>
      <c r="W25" s="6">
        <f>IF($C25&lt;(DATE(W$2,12,31)),X25/(1+(Assumptions!$B$14)),0)</f>
        <v>0</v>
      </c>
      <c r="X25" s="6">
        <f>IF($C25&lt;(DATE(X$2,12,31)),Y25/(1+(Assumptions!$B$14)),0)</f>
        <v>0</v>
      </c>
      <c r="Y25" s="6">
        <f>IF($C25&lt;(DATE(Y$2,12,31)),Z25/(1+(Assumptions!$B$14)),0)</f>
        <v>0</v>
      </c>
      <c r="Z25" s="6">
        <f>IF($C25&lt;(DATE(Z$2,12,31)),AA25/(1+(Assumptions!$B$14)),0)</f>
        <v>0</v>
      </c>
      <c r="AA25" s="6">
        <f>IF($C25&lt;(DATE(AA$2,12,31)),AB25/(1+(Assumptions!$B$14)),0)</f>
        <v>0</v>
      </c>
      <c r="AB25" s="6">
        <f>IF($C25&lt;(DATE(AB$2,12,31)),AC25/(1+(Assumptions!$B$14)),0)</f>
        <v>0</v>
      </c>
      <c r="AC25" s="6">
        <f>IF($C25&lt;(DATE(AC$2,12,31)),AD25/(1+(Assumptions!$B$14)),0)</f>
        <v>0</v>
      </c>
      <c r="AD25" s="6">
        <f>IF($C25&lt;(DATE(AD$2,12,31)),AE25/(1+(Assumptions!$B$14)),0)</f>
        <v>0</v>
      </c>
      <c r="AE25" s="6">
        <f>IF($C25&lt;(DATE(AE$2,12,31)),AF25/(1+(Assumptions!$B$14)),0)</f>
        <v>0</v>
      </c>
      <c r="AF25" s="6">
        <f>IF($C25&lt;(DATE(AF$2,12,31)),AG25/(1+(Assumptions!$B$14)),0)</f>
        <v>0</v>
      </c>
      <c r="AG25" s="6">
        <f>IF($C25&lt;(DATE(AG$2,12,31)),AH25/(1+(Assumptions!$B$14)),0)</f>
        <v>43259.07598659119</v>
      </c>
      <c r="AH25" s="6">
        <f>IF($C25&lt;(DATE(AH$2,12,31)),AI25/(1+(Assumptions!$B$14)),0)</f>
        <v>44989.439026054839</v>
      </c>
      <c r="AI25" s="6">
        <f>IF($C25&lt;(DATE(AI$2,12,31)),AJ25/(1+(Assumptions!$B$14)),0)</f>
        <v>46789.01658709703</v>
      </c>
      <c r="AJ25" s="6">
        <f>IF($C25&lt;(DATE(AJ$2,12,31)),AK25/(1+(Assumptions!$B$14)),0)</f>
        <v>48660.577250580915</v>
      </c>
      <c r="AK25" s="6">
        <f>IF($C25&lt;(DATE(AK$2,12,31)),AL25/(1+(Assumptions!$B$14)),0)</f>
        <v>50607.000340604151</v>
      </c>
      <c r="AL25" s="6">
        <f>IF($C25&lt;(DATE(AL$2,12,31)),AM25/(1+(Assumptions!$B$14)),0)</f>
        <v>52631.280354228322</v>
      </c>
      <c r="AM25" s="6">
        <f>IF($C25&lt;(DATE(AM$2,12,31)),AN25/(1+(Assumptions!$B$14)),0)</f>
        <v>54736.531568397455</v>
      </c>
      <c r="AN25" s="6">
        <f>IF($C25&lt;(DATE(AN$2,12,31)),AO25/(1+(Assumptions!$B$14)),0)</f>
        <v>56925.992831133357</v>
      </c>
      <c r="AO25" s="6">
        <f>IF($C25&lt;(DATE(AO$2,12,31)),AP25/(1+(Assumptions!$B$14)),0)</f>
        <v>59203.032544378693</v>
      </c>
      <c r="AP25" s="6">
        <f>IF($C25&lt;(DATE(AP$2,12,31)),AQ25/(1+(Assumptions!$B$14)),0)</f>
        <v>61571.153846153844</v>
      </c>
      <c r="AQ25" s="6">
        <f>IF($C25&lt;(DATE(AQ$2,12,31)),AR25/(1+(Assumptions!$B$14)),0)</f>
        <v>64034</v>
      </c>
      <c r="AR25" s="6">
        <f t="shared" si="0"/>
        <v>66595.360000000001</v>
      </c>
      <c r="AS25" s="6">
        <f>AR25*(1+(Assumptions!$B$15))</f>
        <v>68593.220799999996</v>
      </c>
      <c r="AT25" s="6">
        <f>AS25*(1+(Assumptions!$B$15))</f>
        <v>70651.017423999991</v>
      </c>
      <c r="AU25" s="6">
        <f>AT25*(1+(Assumptions!$B$15))</f>
        <v>72770.547946719991</v>
      </c>
      <c r="AV25" s="6">
        <f>AU25*(1+(Assumptions!$B$15))</f>
        <v>74953.664385121592</v>
      </c>
      <c r="AW25" s="6">
        <f>AV25*(1+(Assumptions!$B$15))</f>
        <v>77202.274316675248</v>
      </c>
      <c r="AX25" s="6">
        <f>AW25*(1+(Assumptions!$B$15))</f>
        <v>79518.342546175511</v>
      </c>
      <c r="AY25" s="6">
        <f>AX25*(1+(Assumptions!$B$15))</f>
        <v>81903.892822560781</v>
      </c>
      <c r="AZ25" s="6">
        <f>AY25*(1+(Assumptions!$B$15))</f>
        <v>84361.009607237604</v>
      </c>
      <c r="BA25" s="6">
        <f>AZ25*(1+(Assumptions!$B$15))</f>
        <v>86891.83989545473</v>
      </c>
      <c r="BB25" s="6">
        <f>BA25*(1+(Assumptions!$B$15))</f>
        <v>89498.59509231837</v>
      </c>
      <c r="BC25" s="6">
        <f>BB25*(1+(Assumptions!$B$15))</f>
        <v>92183.552945087926</v>
      </c>
    </row>
    <row r="26" spans="1:55" x14ac:dyDescent="0.25">
      <c r="A26" s="132">
        <v>500</v>
      </c>
      <c r="B26" s="133">
        <v>758</v>
      </c>
      <c r="C26" s="134">
        <v>37872</v>
      </c>
      <c r="D26" s="134">
        <v>52171</v>
      </c>
      <c r="E26" s="135">
        <v>67420.17</v>
      </c>
      <c r="F26" s="157"/>
      <c r="G26" s="6">
        <f>IF($C26&lt;(DATE(G$2,12,31)),H26/(1+(Assumptions!$B$14)),0)</f>
        <v>0</v>
      </c>
      <c r="H26" s="6">
        <f>IF($C26&lt;(DATE(H$2,12,31)),I26/(1+(Assumptions!$B$14)),0)</f>
        <v>0</v>
      </c>
      <c r="I26" s="6">
        <f>IF($C26&lt;(DATE(I$2,12,31)),J26/(1+(Assumptions!$B$14)),0)</f>
        <v>0</v>
      </c>
      <c r="J26" s="6">
        <f>IF($C26&lt;(DATE(J$2,12,31)),K26/(1+(Assumptions!$B$14)),0)</f>
        <v>0</v>
      </c>
      <c r="K26" s="6">
        <f>IF($C26&lt;(DATE(K$2,12,31)),L26/(1+(Assumptions!$B$14)),0)</f>
        <v>0</v>
      </c>
      <c r="L26" s="6">
        <f>IF($C26&lt;(DATE(L$2,12,31)),M26/(1+(Assumptions!$B$14)),0)</f>
        <v>0</v>
      </c>
      <c r="M26" s="6">
        <f>IF($C26&lt;(DATE(M$2,12,31)),N26/(1+(Assumptions!$B$14)),0)</f>
        <v>0</v>
      </c>
      <c r="N26" s="6">
        <f>IF($C26&lt;(DATE(N$2,12,31)),O26/(1+(Assumptions!$B$14)),0)</f>
        <v>0</v>
      </c>
      <c r="O26" s="6">
        <f>IF($C26&lt;(DATE(O$2,12,31)),P26/(1+(Assumptions!$B$14)),0)</f>
        <v>0</v>
      </c>
      <c r="P26" s="6">
        <f>IF($C26&lt;(DATE(P$2,12,31)),Q26/(1+(Assumptions!$B$14)),0)</f>
        <v>0</v>
      </c>
      <c r="Q26" s="6">
        <f>IF($C26&lt;(DATE(Q$2,12,31)),R26/(1+(Assumptions!$B$14)),0)</f>
        <v>0</v>
      </c>
      <c r="R26" s="6">
        <f>IF($C26&lt;(DATE(R$2,12,31)),S26/(1+(Assumptions!$B$14)),0)</f>
        <v>0</v>
      </c>
      <c r="S26" s="6">
        <f>IF($C26&lt;(DATE(S$2,12,31)),T26/(1+(Assumptions!$B$14)),0)</f>
        <v>0</v>
      </c>
      <c r="T26" s="6">
        <f>IF($C26&lt;(DATE(T$2,12,31)),U26/(1+(Assumptions!$B$14)),0)</f>
        <v>0</v>
      </c>
      <c r="U26" s="6">
        <f>IF($C26&lt;(DATE(U$2,12,31)),V26/(1+(Assumptions!$B$14)),0)</f>
        <v>0</v>
      </c>
      <c r="V26" s="6">
        <f>IF($C26&lt;(DATE(V$2,12,31)),W26/(1+(Assumptions!$B$14)),0)</f>
        <v>0</v>
      </c>
      <c r="W26" s="6">
        <f>IF($C26&lt;(DATE(W$2,12,31)),X26/(1+(Assumptions!$B$14)),0)</f>
        <v>0</v>
      </c>
      <c r="X26" s="6">
        <f>IF($C26&lt;(DATE(X$2,12,31)),Y26/(1+(Assumptions!$B$14)),0)</f>
        <v>0</v>
      </c>
      <c r="Y26" s="6">
        <f>IF($C26&lt;(DATE(Y$2,12,31)),Z26/(1+(Assumptions!$B$14)),0)</f>
        <v>0</v>
      </c>
      <c r="Z26" s="6">
        <f>IF($C26&lt;(DATE(Z$2,12,31)),AA26/(1+(Assumptions!$B$14)),0)</f>
        <v>0</v>
      </c>
      <c r="AA26" s="6">
        <f>IF($C26&lt;(DATE(AA$2,12,31)),AB26/(1+(Assumptions!$B$14)),0)</f>
        <v>0</v>
      </c>
      <c r="AB26" s="6">
        <f>IF($C26&lt;(DATE(AB$2,12,31)),AC26/(1+(Assumptions!$B$14)),0)</f>
        <v>0</v>
      </c>
      <c r="AC26" s="6">
        <f>IF($C26&lt;(DATE(AC$2,12,31)),AD26/(1+(Assumptions!$B$14)),0)</f>
        <v>0</v>
      </c>
      <c r="AD26" s="6">
        <f>IF($C26&lt;(DATE(AD$2,12,31)),AE26/(1+(Assumptions!$B$14)),0)</f>
        <v>0</v>
      </c>
      <c r="AE26" s="6">
        <f>IF($C26&lt;(DATE(AE$2,12,31)),AF26/(1+(Assumptions!$B$14)),0)</f>
        <v>0</v>
      </c>
      <c r="AF26" s="6">
        <f>IF($C26&lt;(DATE(AF$2,12,31)),AG26/(1+(Assumptions!$B$14)),0)</f>
        <v>0</v>
      </c>
      <c r="AG26" s="6">
        <f>IF($C26&lt;(DATE(AG$2,12,31)),AH26/(1+(Assumptions!$B$14)),0)</f>
        <v>43794.856834753889</v>
      </c>
      <c r="AH26" s="6">
        <f>IF($C26&lt;(DATE(AH$2,12,31)),AI26/(1+(Assumptions!$B$14)),0)</f>
        <v>45546.651108144048</v>
      </c>
      <c r="AI26" s="6">
        <f>IF($C26&lt;(DATE(AI$2,12,31)),AJ26/(1+(Assumptions!$B$14)),0)</f>
        <v>47368.517152469809</v>
      </c>
      <c r="AJ26" s="6">
        <f>IF($C26&lt;(DATE(AJ$2,12,31)),AK26/(1+(Assumptions!$B$14)),0)</f>
        <v>49263.257838568599</v>
      </c>
      <c r="AK26" s="6">
        <f>IF($C26&lt;(DATE(AK$2,12,31)),AL26/(1+(Assumptions!$B$14)),0)</f>
        <v>51233.788152111345</v>
      </c>
      <c r="AL26" s="6">
        <f>IF($C26&lt;(DATE(AL$2,12,31)),AM26/(1+(Assumptions!$B$14)),0)</f>
        <v>53283.139678195803</v>
      </c>
      <c r="AM26" s="6">
        <f>IF($C26&lt;(DATE(AM$2,12,31)),AN26/(1+(Assumptions!$B$14)),0)</f>
        <v>55414.465265323634</v>
      </c>
      <c r="AN26" s="6">
        <f>IF($C26&lt;(DATE(AN$2,12,31)),AO26/(1+(Assumptions!$B$14)),0)</f>
        <v>57631.043875936579</v>
      </c>
      <c r="AO26" s="6">
        <f>IF($C26&lt;(DATE(AO$2,12,31)),AP26/(1+(Assumptions!$B$14)),0)</f>
        <v>59936.285630974045</v>
      </c>
      <c r="AP26" s="6">
        <f>IF($C26&lt;(DATE(AP$2,12,31)),AQ26/(1+(Assumptions!$B$14)),0)</f>
        <v>62333.737056213009</v>
      </c>
      <c r="AQ26" s="6">
        <f>IF($C26&lt;(DATE(AQ$2,12,31)),AR26/(1+(Assumptions!$B$14)),0)</f>
        <v>64827.086538461532</v>
      </c>
      <c r="AR26" s="6">
        <f t="shared" si="0"/>
        <v>67420.17</v>
      </c>
      <c r="AS26" s="6">
        <f>AR26*(1+(Assumptions!$B$15))</f>
        <v>69442.775099999999</v>
      </c>
      <c r="AT26" s="6">
        <f>AS26*(1+(Assumptions!$B$15))</f>
        <v>71526.058353</v>
      </c>
      <c r="AU26" s="6">
        <f>AT26*(1+(Assumptions!$B$15))</f>
        <v>73671.840103590002</v>
      </c>
      <c r="AV26" s="6">
        <f>AU26*(1+(Assumptions!$B$15))</f>
        <v>75881.995306697703</v>
      </c>
      <c r="AW26" s="6">
        <f>AV26*(1+(Assumptions!$B$15))</f>
        <v>78158.455165898631</v>
      </c>
      <c r="AX26" s="6">
        <f>AW26*(1+(Assumptions!$B$15))</f>
        <v>80503.208820875589</v>
      </c>
      <c r="AY26" s="6">
        <f>AX26*(1+(Assumptions!$B$15))</f>
        <v>82918.305085501852</v>
      </c>
      <c r="AZ26" s="6">
        <f>AY26*(1+(Assumptions!$B$15))</f>
        <v>85405.85423806691</v>
      </c>
      <c r="BA26" s="6">
        <f>AZ26*(1+(Assumptions!$B$15))</f>
        <v>87968.029865208926</v>
      </c>
      <c r="BB26" s="6">
        <f>BA26*(1+(Assumptions!$B$15))</f>
        <v>90607.070761165203</v>
      </c>
      <c r="BC26" s="6">
        <f>BB26*(1+(Assumptions!$B$15))</f>
        <v>93325.28288400016</v>
      </c>
    </row>
    <row r="27" spans="1:55" x14ac:dyDescent="0.25">
      <c r="A27" s="132">
        <v>500</v>
      </c>
      <c r="B27" s="133">
        <v>757</v>
      </c>
      <c r="C27" s="134">
        <v>37834</v>
      </c>
      <c r="D27" s="134">
        <v>49796</v>
      </c>
      <c r="E27" s="135">
        <v>68244.990000000005</v>
      </c>
      <c r="F27" s="157"/>
      <c r="G27" s="6">
        <f>IF($C27&lt;(DATE(G$2,12,31)),H27/(1+(Assumptions!$B$14)),0)</f>
        <v>0</v>
      </c>
      <c r="H27" s="6">
        <f>IF($C27&lt;(DATE(H$2,12,31)),I27/(1+(Assumptions!$B$14)),0)</f>
        <v>0</v>
      </c>
      <c r="I27" s="6">
        <f>IF($C27&lt;(DATE(I$2,12,31)),J27/(1+(Assumptions!$B$14)),0)</f>
        <v>0</v>
      </c>
      <c r="J27" s="6">
        <f>IF($C27&lt;(DATE(J$2,12,31)),K27/(1+(Assumptions!$B$14)),0)</f>
        <v>0</v>
      </c>
      <c r="K27" s="6">
        <f>IF($C27&lt;(DATE(K$2,12,31)),L27/(1+(Assumptions!$B$14)),0)</f>
        <v>0</v>
      </c>
      <c r="L27" s="6">
        <f>IF($C27&lt;(DATE(L$2,12,31)),M27/(1+(Assumptions!$B$14)),0)</f>
        <v>0</v>
      </c>
      <c r="M27" s="6">
        <f>IF($C27&lt;(DATE(M$2,12,31)),N27/(1+(Assumptions!$B$14)),0)</f>
        <v>0</v>
      </c>
      <c r="N27" s="6">
        <f>IF($C27&lt;(DATE(N$2,12,31)),O27/(1+(Assumptions!$B$14)),0)</f>
        <v>0</v>
      </c>
      <c r="O27" s="6">
        <f>IF($C27&lt;(DATE(O$2,12,31)),P27/(1+(Assumptions!$B$14)),0)</f>
        <v>0</v>
      </c>
      <c r="P27" s="6">
        <f>IF($C27&lt;(DATE(P$2,12,31)),Q27/(1+(Assumptions!$B$14)),0)</f>
        <v>0</v>
      </c>
      <c r="Q27" s="6">
        <f>IF($C27&lt;(DATE(Q$2,12,31)),R27/(1+(Assumptions!$B$14)),0)</f>
        <v>0</v>
      </c>
      <c r="R27" s="6">
        <f>IF($C27&lt;(DATE(R$2,12,31)),S27/(1+(Assumptions!$B$14)),0)</f>
        <v>0</v>
      </c>
      <c r="S27" s="6">
        <f>IF($C27&lt;(DATE(S$2,12,31)),T27/(1+(Assumptions!$B$14)),0)</f>
        <v>0</v>
      </c>
      <c r="T27" s="6">
        <f>IF($C27&lt;(DATE(T$2,12,31)),U27/(1+(Assumptions!$B$14)),0)</f>
        <v>0</v>
      </c>
      <c r="U27" s="6">
        <f>IF($C27&lt;(DATE(U$2,12,31)),V27/(1+(Assumptions!$B$14)),0)</f>
        <v>0</v>
      </c>
      <c r="V27" s="6">
        <f>IF($C27&lt;(DATE(V$2,12,31)),W27/(1+(Assumptions!$B$14)),0)</f>
        <v>0</v>
      </c>
      <c r="W27" s="6">
        <f>IF($C27&lt;(DATE(W$2,12,31)),X27/(1+(Assumptions!$B$14)),0)</f>
        <v>0</v>
      </c>
      <c r="X27" s="6">
        <f>IF($C27&lt;(DATE(X$2,12,31)),Y27/(1+(Assumptions!$B$14)),0)</f>
        <v>0</v>
      </c>
      <c r="Y27" s="6">
        <f>IF($C27&lt;(DATE(Y$2,12,31)),Z27/(1+(Assumptions!$B$14)),0)</f>
        <v>0</v>
      </c>
      <c r="Z27" s="6">
        <f>IF($C27&lt;(DATE(Z$2,12,31)),AA27/(1+(Assumptions!$B$14)),0)</f>
        <v>0</v>
      </c>
      <c r="AA27" s="6">
        <f>IF($C27&lt;(DATE(AA$2,12,31)),AB27/(1+(Assumptions!$B$14)),0)</f>
        <v>0</v>
      </c>
      <c r="AB27" s="6">
        <f>IF($C27&lt;(DATE(AB$2,12,31)),AC27/(1+(Assumptions!$B$14)),0)</f>
        <v>0</v>
      </c>
      <c r="AC27" s="6">
        <f>IF($C27&lt;(DATE(AC$2,12,31)),AD27/(1+(Assumptions!$B$14)),0)</f>
        <v>0</v>
      </c>
      <c r="AD27" s="6">
        <f>IF($C27&lt;(DATE(AD$2,12,31)),AE27/(1+(Assumptions!$B$14)),0)</f>
        <v>0</v>
      </c>
      <c r="AE27" s="6">
        <f>IF($C27&lt;(DATE(AE$2,12,31)),AF27/(1+(Assumptions!$B$14)),0)</f>
        <v>0</v>
      </c>
      <c r="AF27" s="6">
        <f>IF($C27&lt;(DATE(AF$2,12,31)),AG27/(1+(Assumptions!$B$14)),0)</f>
        <v>0</v>
      </c>
      <c r="AG27" s="6">
        <f>IF($C27&lt;(DATE(AG$2,12,31)),AH27/(1+(Assumptions!$B$14)),0)</f>
        <v>44330.64417872591</v>
      </c>
      <c r="AH27" s="6">
        <f>IF($C27&lt;(DATE(AH$2,12,31)),AI27/(1+(Assumptions!$B$14)),0)</f>
        <v>46103.869945874947</v>
      </c>
      <c r="AI27" s="6">
        <f>IF($C27&lt;(DATE(AI$2,12,31)),AJ27/(1+(Assumptions!$B$14)),0)</f>
        <v>47948.024743709946</v>
      </c>
      <c r="AJ27" s="6">
        <f>IF($C27&lt;(DATE(AJ$2,12,31)),AK27/(1+(Assumptions!$B$14)),0)</f>
        <v>49865.945733458342</v>
      </c>
      <c r="AK27" s="6">
        <f>IF($C27&lt;(DATE(AK$2,12,31)),AL27/(1+(Assumptions!$B$14)),0)</f>
        <v>51860.583562796681</v>
      </c>
      <c r="AL27" s="6">
        <f>IF($C27&lt;(DATE(AL$2,12,31)),AM27/(1+(Assumptions!$B$14)),0)</f>
        <v>53935.006905308546</v>
      </c>
      <c r="AM27" s="6">
        <f>IF($C27&lt;(DATE(AM$2,12,31)),AN27/(1+(Assumptions!$B$14)),0)</f>
        <v>56092.407181520888</v>
      </c>
      <c r="AN27" s="6">
        <f>IF($C27&lt;(DATE(AN$2,12,31)),AO27/(1+(Assumptions!$B$14)),0)</f>
        <v>58336.103468781723</v>
      </c>
      <c r="AO27" s="6">
        <f>IF($C27&lt;(DATE(AO$2,12,31)),AP27/(1+(Assumptions!$B$14)),0)</f>
        <v>60669.547607532993</v>
      </c>
      <c r="AP27" s="6">
        <f>IF($C27&lt;(DATE(AP$2,12,31)),AQ27/(1+(Assumptions!$B$14)),0)</f>
        <v>63096.329511834316</v>
      </c>
      <c r="AQ27" s="6">
        <f>IF($C27&lt;(DATE(AQ$2,12,31)),AR27/(1+(Assumptions!$B$14)),0)</f>
        <v>65620.182692307688</v>
      </c>
      <c r="AR27" s="6">
        <f t="shared" si="0"/>
        <v>68244.990000000005</v>
      </c>
      <c r="AS27" s="6">
        <f>AR27*(1+(Assumptions!$B$15))</f>
        <v>70292.339700000011</v>
      </c>
      <c r="AT27" s="6">
        <f>AS27*(1+(Assumptions!$B$15))</f>
        <v>72401.109891000015</v>
      </c>
      <c r="AU27" s="6">
        <f>AT27*(1+(Assumptions!$B$15))</f>
        <v>74573.14318773002</v>
      </c>
      <c r="AV27" s="6">
        <f>AU27*(1+(Assumptions!$B$15))</f>
        <v>76810.337483361916</v>
      </c>
      <c r="AW27" s="6">
        <f>AV27*(1+(Assumptions!$B$15))</f>
        <v>79114.647607862775</v>
      </c>
      <c r="AX27" s="6">
        <f>AW27*(1+(Assumptions!$B$15))</f>
        <v>81488.087036098659</v>
      </c>
      <c r="AY27" s="6">
        <f>AX27*(1+(Assumptions!$B$15))</f>
        <v>83932.729647181623</v>
      </c>
      <c r="AZ27" s="6">
        <f>AY27*(1+(Assumptions!$B$15))</f>
        <v>86450.711536597068</v>
      </c>
      <c r="BA27" s="6">
        <f>AZ27*(1+(Assumptions!$B$15))</f>
        <v>89044.232882694982</v>
      </c>
      <c r="BB27" s="6">
        <f>BA27*(1+(Assumptions!$B$15))</f>
        <v>91715.559869175835</v>
      </c>
      <c r="BC27" s="6">
        <f>BB27*(1+(Assumptions!$B$15))</f>
        <v>94467.026665251105</v>
      </c>
    </row>
    <row r="28" spans="1:55" x14ac:dyDescent="0.25">
      <c r="A28" s="132">
        <v>500</v>
      </c>
      <c r="B28" s="133">
        <v>756</v>
      </c>
      <c r="C28" s="134">
        <v>37838</v>
      </c>
      <c r="D28" s="134">
        <v>49035</v>
      </c>
      <c r="E28" s="135">
        <v>69069.8</v>
      </c>
      <c r="F28" s="157"/>
      <c r="G28" s="6">
        <f>IF($C28&lt;(DATE(G$2,12,31)),H28/(1+(Assumptions!$B$14)),0)</f>
        <v>0</v>
      </c>
      <c r="H28" s="6">
        <f>IF($C28&lt;(DATE(H$2,12,31)),I28/(1+(Assumptions!$B$14)),0)</f>
        <v>0</v>
      </c>
      <c r="I28" s="6">
        <f>IF($C28&lt;(DATE(I$2,12,31)),J28/(1+(Assumptions!$B$14)),0)</f>
        <v>0</v>
      </c>
      <c r="J28" s="6">
        <f>IF($C28&lt;(DATE(J$2,12,31)),K28/(1+(Assumptions!$B$14)),0)</f>
        <v>0</v>
      </c>
      <c r="K28" s="6">
        <f>IF($C28&lt;(DATE(K$2,12,31)),L28/(1+(Assumptions!$B$14)),0)</f>
        <v>0</v>
      </c>
      <c r="L28" s="6">
        <f>IF($C28&lt;(DATE(L$2,12,31)),M28/(1+(Assumptions!$B$14)),0)</f>
        <v>0</v>
      </c>
      <c r="M28" s="6">
        <f>IF($C28&lt;(DATE(M$2,12,31)),N28/(1+(Assumptions!$B$14)),0)</f>
        <v>0</v>
      </c>
      <c r="N28" s="6">
        <f>IF($C28&lt;(DATE(N$2,12,31)),O28/(1+(Assumptions!$B$14)),0)</f>
        <v>0</v>
      </c>
      <c r="O28" s="6">
        <f>IF($C28&lt;(DATE(O$2,12,31)),P28/(1+(Assumptions!$B$14)),0)</f>
        <v>0</v>
      </c>
      <c r="P28" s="6">
        <f>IF($C28&lt;(DATE(P$2,12,31)),Q28/(1+(Assumptions!$B$14)),0)</f>
        <v>0</v>
      </c>
      <c r="Q28" s="6">
        <f>IF($C28&lt;(DATE(Q$2,12,31)),R28/(1+(Assumptions!$B$14)),0)</f>
        <v>0</v>
      </c>
      <c r="R28" s="6">
        <f>IF($C28&lt;(DATE(R$2,12,31)),S28/(1+(Assumptions!$B$14)),0)</f>
        <v>0</v>
      </c>
      <c r="S28" s="6">
        <f>IF($C28&lt;(DATE(S$2,12,31)),T28/(1+(Assumptions!$B$14)),0)</f>
        <v>0</v>
      </c>
      <c r="T28" s="6">
        <f>IF($C28&lt;(DATE(T$2,12,31)),U28/(1+(Assumptions!$B$14)),0)</f>
        <v>0</v>
      </c>
      <c r="U28" s="6">
        <f>IF($C28&lt;(DATE(U$2,12,31)),V28/(1+(Assumptions!$B$14)),0)</f>
        <v>0</v>
      </c>
      <c r="V28" s="6">
        <f>IF($C28&lt;(DATE(V$2,12,31)),W28/(1+(Assumptions!$B$14)),0)</f>
        <v>0</v>
      </c>
      <c r="W28" s="6">
        <f>IF($C28&lt;(DATE(W$2,12,31)),X28/(1+(Assumptions!$B$14)),0)</f>
        <v>0</v>
      </c>
      <c r="X28" s="6">
        <f>IF($C28&lt;(DATE(X$2,12,31)),Y28/(1+(Assumptions!$B$14)),0)</f>
        <v>0</v>
      </c>
      <c r="Y28" s="6">
        <f>IF($C28&lt;(DATE(Y$2,12,31)),Z28/(1+(Assumptions!$B$14)),0)</f>
        <v>0</v>
      </c>
      <c r="Z28" s="6">
        <f>IF($C28&lt;(DATE(Z$2,12,31)),AA28/(1+(Assumptions!$B$14)),0)</f>
        <v>0</v>
      </c>
      <c r="AA28" s="6">
        <f>IF($C28&lt;(DATE(AA$2,12,31)),AB28/(1+(Assumptions!$B$14)),0)</f>
        <v>0</v>
      </c>
      <c r="AB28" s="6">
        <f>IF($C28&lt;(DATE(AB$2,12,31)),AC28/(1+(Assumptions!$B$14)),0)</f>
        <v>0</v>
      </c>
      <c r="AC28" s="6">
        <f>IF($C28&lt;(DATE(AC$2,12,31)),AD28/(1+(Assumptions!$B$14)),0)</f>
        <v>0</v>
      </c>
      <c r="AD28" s="6">
        <f>IF($C28&lt;(DATE(AD$2,12,31)),AE28/(1+(Assumptions!$B$14)),0)</f>
        <v>0</v>
      </c>
      <c r="AE28" s="6">
        <f>IF($C28&lt;(DATE(AE$2,12,31)),AF28/(1+(Assumptions!$B$14)),0)</f>
        <v>0</v>
      </c>
      <c r="AF28" s="6">
        <f>IF($C28&lt;(DATE(AF$2,12,31)),AG28/(1+(Assumptions!$B$14)),0)</f>
        <v>0</v>
      </c>
      <c r="AG28" s="6">
        <f>IF($C28&lt;(DATE(AG$2,12,31)),AH28/(1+(Assumptions!$B$14)),0)</f>
        <v>44866.425026888603</v>
      </c>
      <c r="AH28" s="6">
        <f>IF($C28&lt;(DATE(AH$2,12,31)),AI28/(1+(Assumptions!$B$14)),0)</f>
        <v>46661.082027964148</v>
      </c>
      <c r="AI28" s="6">
        <f>IF($C28&lt;(DATE(AI$2,12,31)),AJ28/(1+(Assumptions!$B$14)),0)</f>
        <v>48527.525309082717</v>
      </c>
      <c r="AJ28" s="6">
        <f>IF($C28&lt;(DATE(AJ$2,12,31)),AK28/(1+(Assumptions!$B$14)),0)</f>
        <v>50468.626321446027</v>
      </c>
      <c r="AK28" s="6">
        <f>IF($C28&lt;(DATE(AK$2,12,31)),AL28/(1+(Assumptions!$B$14)),0)</f>
        <v>52487.371374303868</v>
      </c>
      <c r="AL28" s="6">
        <f>IF($C28&lt;(DATE(AL$2,12,31)),AM28/(1+(Assumptions!$B$14)),0)</f>
        <v>54586.866229276027</v>
      </c>
      <c r="AM28" s="6">
        <f>IF($C28&lt;(DATE(AM$2,12,31)),AN28/(1+(Assumptions!$B$14)),0)</f>
        <v>56770.340878447074</v>
      </c>
      <c r="AN28" s="6">
        <f>IF($C28&lt;(DATE(AN$2,12,31)),AO28/(1+(Assumptions!$B$14)),0)</f>
        <v>59041.154513584959</v>
      </c>
      <c r="AO28" s="6">
        <f>IF($C28&lt;(DATE(AO$2,12,31)),AP28/(1+(Assumptions!$B$14)),0)</f>
        <v>61402.80069412836</v>
      </c>
      <c r="AP28" s="6">
        <f>IF($C28&lt;(DATE(AP$2,12,31)),AQ28/(1+(Assumptions!$B$14)),0)</f>
        <v>63858.912721893495</v>
      </c>
      <c r="AQ28" s="6">
        <f>IF($C28&lt;(DATE(AQ$2,12,31)),AR28/(1+(Assumptions!$B$14)),0)</f>
        <v>66413.269230769234</v>
      </c>
      <c r="AR28" s="6">
        <f t="shared" si="0"/>
        <v>69069.8</v>
      </c>
      <c r="AS28" s="6">
        <f>AR28*(1+(Assumptions!$B$15))</f>
        <v>71141.894</v>
      </c>
      <c r="AT28" s="6">
        <f>AS28*(1+(Assumptions!$B$15))</f>
        <v>73276.150819999995</v>
      </c>
      <c r="AU28" s="6">
        <f>AT28*(1+(Assumptions!$B$15))</f>
        <v>75474.435344600002</v>
      </c>
      <c r="AV28" s="6">
        <f>AU28*(1+(Assumptions!$B$15))</f>
        <v>77738.668404937998</v>
      </c>
      <c r="AW28" s="6">
        <f>AV28*(1+(Assumptions!$B$15))</f>
        <v>80070.828457086143</v>
      </c>
      <c r="AX28" s="6">
        <f>AW28*(1+(Assumptions!$B$15))</f>
        <v>82472.953310798723</v>
      </c>
      <c r="AY28" s="6">
        <f>AX28*(1+(Assumptions!$B$15))</f>
        <v>84947.141910122693</v>
      </c>
      <c r="AZ28" s="6">
        <f>AY28*(1+(Assumptions!$B$15))</f>
        <v>87495.556167426374</v>
      </c>
      <c r="BA28" s="6">
        <f>AZ28*(1+(Assumptions!$B$15))</f>
        <v>90120.422852449163</v>
      </c>
      <c r="BB28" s="6">
        <f>BA28*(1+(Assumptions!$B$15))</f>
        <v>92824.035538022639</v>
      </c>
      <c r="BC28" s="6">
        <f>BB28*(1+(Assumptions!$B$15))</f>
        <v>95608.756604163325</v>
      </c>
    </row>
    <row r="29" spans="1:55" x14ac:dyDescent="0.25">
      <c r="A29" s="132">
        <v>500</v>
      </c>
      <c r="B29" s="133">
        <v>755</v>
      </c>
      <c r="C29" s="134">
        <v>37725</v>
      </c>
      <c r="D29" s="134">
        <v>51349</v>
      </c>
      <c r="E29" s="135">
        <v>69894.61</v>
      </c>
      <c r="F29" s="157"/>
      <c r="G29" s="6">
        <f>IF($C29&lt;(DATE(G$2,12,31)),H29/(1+(Assumptions!$B$14)),0)</f>
        <v>0</v>
      </c>
      <c r="H29" s="6">
        <f>IF($C29&lt;(DATE(H$2,12,31)),I29/(1+(Assumptions!$B$14)),0)</f>
        <v>0</v>
      </c>
      <c r="I29" s="6">
        <f>IF($C29&lt;(DATE(I$2,12,31)),J29/(1+(Assumptions!$B$14)),0)</f>
        <v>0</v>
      </c>
      <c r="J29" s="6">
        <f>IF($C29&lt;(DATE(J$2,12,31)),K29/(1+(Assumptions!$B$14)),0)</f>
        <v>0</v>
      </c>
      <c r="K29" s="6">
        <f>IF($C29&lt;(DATE(K$2,12,31)),L29/(1+(Assumptions!$B$14)),0)</f>
        <v>0</v>
      </c>
      <c r="L29" s="6">
        <f>IF($C29&lt;(DATE(L$2,12,31)),M29/(1+(Assumptions!$B$14)),0)</f>
        <v>0</v>
      </c>
      <c r="M29" s="6">
        <f>IF($C29&lt;(DATE(M$2,12,31)),N29/(1+(Assumptions!$B$14)),0)</f>
        <v>0</v>
      </c>
      <c r="N29" s="6">
        <f>IF($C29&lt;(DATE(N$2,12,31)),O29/(1+(Assumptions!$B$14)),0)</f>
        <v>0</v>
      </c>
      <c r="O29" s="6">
        <f>IF($C29&lt;(DATE(O$2,12,31)),P29/(1+(Assumptions!$B$14)),0)</f>
        <v>0</v>
      </c>
      <c r="P29" s="6">
        <f>IF($C29&lt;(DATE(P$2,12,31)),Q29/(1+(Assumptions!$B$14)),0)</f>
        <v>0</v>
      </c>
      <c r="Q29" s="6">
        <f>IF($C29&lt;(DATE(Q$2,12,31)),R29/(1+(Assumptions!$B$14)),0)</f>
        <v>0</v>
      </c>
      <c r="R29" s="6">
        <f>IF($C29&lt;(DATE(R$2,12,31)),S29/(1+(Assumptions!$B$14)),0)</f>
        <v>0</v>
      </c>
      <c r="S29" s="6">
        <f>IF($C29&lt;(DATE(S$2,12,31)),T29/(1+(Assumptions!$B$14)),0)</f>
        <v>0</v>
      </c>
      <c r="T29" s="6">
        <f>IF($C29&lt;(DATE(T$2,12,31)),U29/(1+(Assumptions!$B$14)),0)</f>
        <v>0</v>
      </c>
      <c r="U29" s="6">
        <f>IF($C29&lt;(DATE(U$2,12,31)),V29/(1+(Assumptions!$B$14)),0)</f>
        <v>0</v>
      </c>
      <c r="V29" s="6">
        <f>IF($C29&lt;(DATE(V$2,12,31)),W29/(1+(Assumptions!$B$14)),0)</f>
        <v>0</v>
      </c>
      <c r="W29" s="6">
        <f>IF($C29&lt;(DATE(W$2,12,31)),X29/(1+(Assumptions!$B$14)),0)</f>
        <v>0</v>
      </c>
      <c r="X29" s="6">
        <f>IF($C29&lt;(DATE(X$2,12,31)),Y29/(1+(Assumptions!$B$14)),0)</f>
        <v>0</v>
      </c>
      <c r="Y29" s="6">
        <f>IF($C29&lt;(DATE(Y$2,12,31)),Z29/(1+(Assumptions!$B$14)),0)</f>
        <v>0</v>
      </c>
      <c r="Z29" s="6">
        <f>IF($C29&lt;(DATE(Z$2,12,31)),AA29/(1+(Assumptions!$B$14)),0)</f>
        <v>0</v>
      </c>
      <c r="AA29" s="6">
        <f>IF($C29&lt;(DATE(AA$2,12,31)),AB29/(1+(Assumptions!$B$14)),0)</f>
        <v>0</v>
      </c>
      <c r="AB29" s="6">
        <f>IF($C29&lt;(DATE(AB$2,12,31)),AC29/(1+(Assumptions!$B$14)),0)</f>
        <v>0</v>
      </c>
      <c r="AC29" s="6">
        <f>IF($C29&lt;(DATE(AC$2,12,31)),AD29/(1+(Assumptions!$B$14)),0)</f>
        <v>0</v>
      </c>
      <c r="AD29" s="6">
        <f>IF($C29&lt;(DATE(AD$2,12,31)),AE29/(1+(Assumptions!$B$14)),0)</f>
        <v>0</v>
      </c>
      <c r="AE29" s="6">
        <f>IF($C29&lt;(DATE(AE$2,12,31)),AF29/(1+(Assumptions!$B$14)),0)</f>
        <v>0</v>
      </c>
      <c r="AF29" s="6">
        <f>IF($C29&lt;(DATE(AF$2,12,31)),AG29/(1+(Assumptions!$B$14)),0)</f>
        <v>0</v>
      </c>
      <c r="AG29" s="6">
        <f>IF($C29&lt;(DATE(AG$2,12,31)),AH29/(1+(Assumptions!$B$14)),0)</f>
        <v>45402.205875051295</v>
      </c>
      <c r="AH29" s="6">
        <f>IF($C29&lt;(DATE(AH$2,12,31)),AI29/(1+(Assumptions!$B$14)),0)</f>
        <v>47218.29411005335</v>
      </c>
      <c r="AI29" s="6">
        <f>IF($C29&lt;(DATE(AI$2,12,31)),AJ29/(1+(Assumptions!$B$14)),0)</f>
        <v>49107.025874455489</v>
      </c>
      <c r="AJ29" s="6">
        <f>IF($C29&lt;(DATE(AJ$2,12,31)),AK29/(1+(Assumptions!$B$14)),0)</f>
        <v>51071.306909433712</v>
      </c>
      <c r="AK29" s="6">
        <f>IF($C29&lt;(DATE(AK$2,12,31)),AL29/(1+(Assumptions!$B$14)),0)</f>
        <v>53114.159185811062</v>
      </c>
      <c r="AL29" s="6">
        <f>IF($C29&lt;(DATE(AL$2,12,31)),AM29/(1+(Assumptions!$B$14)),0)</f>
        <v>55238.725553243508</v>
      </c>
      <c r="AM29" s="6">
        <f>IF($C29&lt;(DATE(AM$2,12,31)),AN29/(1+(Assumptions!$B$14)),0)</f>
        <v>57448.274575373252</v>
      </c>
      <c r="AN29" s="6">
        <f>IF($C29&lt;(DATE(AN$2,12,31)),AO29/(1+(Assumptions!$B$14)),0)</f>
        <v>59746.205558388181</v>
      </c>
      <c r="AO29" s="6">
        <f>IF($C29&lt;(DATE(AO$2,12,31)),AP29/(1+(Assumptions!$B$14)),0)</f>
        <v>62136.053780723712</v>
      </c>
      <c r="AP29" s="6">
        <f>IF($C29&lt;(DATE(AP$2,12,31)),AQ29/(1+(Assumptions!$B$14)),0)</f>
        <v>64621.495931952661</v>
      </c>
      <c r="AQ29" s="6">
        <f>IF($C29&lt;(DATE(AQ$2,12,31)),AR29/(1+(Assumptions!$B$14)),0)</f>
        <v>67206.355769230766</v>
      </c>
      <c r="AR29" s="6">
        <f t="shared" si="0"/>
        <v>69894.61</v>
      </c>
      <c r="AS29" s="6">
        <f>AR29*(1+(Assumptions!$B$15))</f>
        <v>71991.448300000004</v>
      </c>
      <c r="AT29" s="6">
        <f>AS29*(1+(Assumptions!$B$15))</f>
        <v>74151.191749000005</v>
      </c>
      <c r="AU29" s="6">
        <f>AT29*(1+(Assumptions!$B$15))</f>
        <v>76375.727501470014</v>
      </c>
      <c r="AV29" s="6">
        <f>AU29*(1+(Assumptions!$B$15))</f>
        <v>78666.999326514109</v>
      </c>
      <c r="AW29" s="6">
        <f>AV29*(1+(Assumptions!$B$15))</f>
        <v>81027.009306309541</v>
      </c>
      <c r="AX29" s="6">
        <f>AW29*(1+(Assumptions!$B$15))</f>
        <v>83457.81958549883</v>
      </c>
      <c r="AY29" s="6">
        <f>AX29*(1+(Assumptions!$B$15))</f>
        <v>85961.554173063792</v>
      </c>
      <c r="AZ29" s="6">
        <f>AY29*(1+(Assumptions!$B$15))</f>
        <v>88540.400798255709</v>
      </c>
      <c r="BA29" s="6">
        <f>AZ29*(1+(Assumptions!$B$15))</f>
        <v>91196.612822203388</v>
      </c>
      <c r="BB29" s="6">
        <f>BA29*(1+(Assumptions!$B$15))</f>
        <v>93932.511206869487</v>
      </c>
      <c r="BC29" s="6">
        <f>BB29*(1+(Assumptions!$B$15))</f>
        <v>96750.486543075574</v>
      </c>
    </row>
    <row r="30" spans="1:55" x14ac:dyDescent="0.25">
      <c r="A30" s="132">
        <v>600</v>
      </c>
      <c r="B30" s="133">
        <v>754</v>
      </c>
      <c r="C30" s="134">
        <v>37389</v>
      </c>
      <c r="D30" s="134">
        <v>52994</v>
      </c>
      <c r="E30" s="135">
        <v>70719.42</v>
      </c>
      <c r="F30" s="157"/>
      <c r="G30" s="6">
        <f>IF($C30&lt;(DATE(G$2,12,31)),H30/(1+(Assumptions!$B$14)),0)</f>
        <v>0</v>
      </c>
      <c r="H30" s="6">
        <f>IF($C30&lt;(DATE(H$2,12,31)),I30/(1+(Assumptions!$B$14)),0)</f>
        <v>0</v>
      </c>
      <c r="I30" s="6">
        <f>IF($C30&lt;(DATE(I$2,12,31)),J30/(1+(Assumptions!$B$14)),0)</f>
        <v>0</v>
      </c>
      <c r="J30" s="6">
        <f>IF($C30&lt;(DATE(J$2,12,31)),K30/(1+(Assumptions!$B$14)),0)</f>
        <v>0</v>
      </c>
      <c r="K30" s="6">
        <f>IF($C30&lt;(DATE(K$2,12,31)),L30/(1+(Assumptions!$B$14)),0)</f>
        <v>0</v>
      </c>
      <c r="L30" s="6">
        <f>IF($C30&lt;(DATE(L$2,12,31)),M30/(1+(Assumptions!$B$14)),0)</f>
        <v>0</v>
      </c>
      <c r="M30" s="6">
        <f>IF($C30&lt;(DATE(M$2,12,31)),N30/(1+(Assumptions!$B$14)),0)</f>
        <v>0</v>
      </c>
      <c r="N30" s="6">
        <f>IF($C30&lt;(DATE(N$2,12,31)),O30/(1+(Assumptions!$B$14)),0)</f>
        <v>0</v>
      </c>
      <c r="O30" s="6">
        <f>IF($C30&lt;(DATE(O$2,12,31)),P30/(1+(Assumptions!$B$14)),0)</f>
        <v>0</v>
      </c>
      <c r="P30" s="6">
        <f>IF($C30&lt;(DATE(P$2,12,31)),Q30/(1+(Assumptions!$B$14)),0)</f>
        <v>0</v>
      </c>
      <c r="Q30" s="6">
        <f>IF($C30&lt;(DATE(Q$2,12,31)),R30/(1+(Assumptions!$B$14)),0)</f>
        <v>0</v>
      </c>
      <c r="R30" s="6">
        <f>IF($C30&lt;(DATE(R$2,12,31)),S30/(1+(Assumptions!$B$14)),0)</f>
        <v>0</v>
      </c>
      <c r="S30" s="6">
        <f>IF($C30&lt;(DATE(S$2,12,31)),T30/(1+(Assumptions!$B$14)),0)</f>
        <v>0</v>
      </c>
      <c r="T30" s="6">
        <f>IF($C30&lt;(DATE(T$2,12,31)),U30/(1+(Assumptions!$B$14)),0)</f>
        <v>0</v>
      </c>
      <c r="U30" s="6">
        <f>IF($C30&lt;(DATE(U$2,12,31)),V30/(1+(Assumptions!$B$14)),0)</f>
        <v>0</v>
      </c>
      <c r="V30" s="6">
        <f>IF($C30&lt;(DATE(V$2,12,31)),W30/(1+(Assumptions!$B$14)),0)</f>
        <v>0</v>
      </c>
      <c r="W30" s="6">
        <f>IF($C30&lt;(DATE(W$2,12,31)),X30/(1+(Assumptions!$B$14)),0)</f>
        <v>0</v>
      </c>
      <c r="X30" s="6">
        <f>IF($C30&lt;(DATE(X$2,12,31)),Y30/(1+(Assumptions!$B$14)),0)</f>
        <v>0</v>
      </c>
      <c r="Y30" s="6">
        <f>IF($C30&lt;(DATE(Y$2,12,31)),Z30/(1+(Assumptions!$B$14)),0)</f>
        <v>0</v>
      </c>
      <c r="Z30" s="6">
        <f>IF($C30&lt;(DATE(Z$2,12,31)),AA30/(1+(Assumptions!$B$14)),0)</f>
        <v>0</v>
      </c>
      <c r="AA30" s="6">
        <f>IF($C30&lt;(DATE(AA$2,12,31)),AB30/(1+(Assumptions!$B$14)),0)</f>
        <v>0</v>
      </c>
      <c r="AB30" s="6">
        <f>IF($C30&lt;(DATE(AB$2,12,31)),AC30/(1+(Assumptions!$B$14)),0)</f>
        <v>0</v>
      </c>
      <c r="AC30" s="6">
        <f>IF($C30&lt;(DATE(AC$2,12,31)),AD30/(1+(Assumptions!$B$14)),0)</f>
        <v>0</v>
      </c>
      <c r="AD30" s="6">
        <f>IF($C30&lt;(DATE(AD$2,12,31)),AE30/(1+(Assumptions!$B$14)),0)</f>
        <v>0</v>
      </c>
      <c r="AE30" s="6">
        <f>IF($C30&lt;(DATE(AE$2,12,31)),AF30/(1+(Assumptions!$B$14)),0)</f>
        <v>0</v>
      </c>
      <c r="AF30" s="6">
        <f>IF($C30&lt;(DATE(AF$2,12,31)),AG30/(1+(Assumptions!$B$14)),0)</f>
        <v>44171.141080013454</v>
      </c>
      <c r="AG30" s="6">
        <f>IF($C30&lt;(DATE(AG$2,12,31)),AH30/(1+(Assumptions!$B$14)),0)</f>
        <v>45937.986723213995</v>
      </c>
      <c r="AH30" s="6">
        <f>IF($C30&lt;(DATE(AH$2,12,31)),AI30/(1+(Assumptions!$B$14)),0)</f>
        <v>47775.506192142559</v>
      </c>
      <c r="AI30" s="6">
        <f>IF($C30&lt;(DATE(AI$2,12,31)),AJ30/(1+(Assumptions!$B$14)),0)</f>
        <v>49686.52643982826</v>
      </c>
      <c r="AJ30" s="6">
        <f>IF($C30&lt;(DATE(AJ$2,12,31)),AK30/(1+(Assumptions!$B$14)),0)</f>
        <v>51673.987497421389</v>
      </c>
      <c r="AK30" s="6">
        <f>IF($C30&lt;(DATE(AK$2,12,31)),AL30/(1+(Assumptions!$B$14)),0)</f>
        <v>53740.946997318249</v>
      </c>
      <c r="AL30" s="6">
        <f>IF($C30&lt;(DATE(AL$2,12,31)),AM30/(1+(Assumptions!$B$14)),0)</f>
        <v>55890.584877210982</v>
      </c>
      <c r="AM30" s="6">
        <f>IF($C30&lt;(DATE(AM$2,12,31)),AN30/(1+(Assumptions!$B$14)),0)</f>
        <v>58126.208272299424</v>
      </c>
      <c r="AN30" s="6">
        <f>IF($C30&lt;(DATE(AN$2,12,31)),AO30/(1+(Assumptions!$B$14)),0)</f>
        <v>60451.256603191403</v>
      </c>
      <c r="AO30" s="6">
        <f>IF($C30&lt;(DATE(AO$2,12,31)),AP30/(1+(Assumptions!$B$14)),0)</f>
        <v>62869.306867319065</v>
      </c>
      <c r="AP30" s="6">
        <f>IF($C30&lt;(DATE(AP$2,12,31)),AQ30/(1+(Assumptions!$B$14)),0)</f>
        <v>65384.079142011826</v>
      </c>
      <c r="AQ30" s="6">
        <f>IF($C30&lt;(DATE(AQ$2,12,31)),AR30/(1+(Assumptions!$B$14)),0)</f>
        <v>67999.442307692298</v>
      </c>
      <c r="AR30" s="6">
        <f t="shared" si="0"/>
        <v>70719.42</v>
      </c>
      <c r="AS30" s="6">
        <f>AR30*(1+(Assumptions!$B$15))</f>
        <v>72841.002600000007</v>
      </c>
      <c r="AT30" s="6">
        <f>AS30*(1+(Assumptions!$B$15))</f>
        <v>75026.232678000015</v>
      </c>
      <c r="AU30" s="6">
        <f>AT30*(1+(Assumptions!$B$15))</f>
        <v>77277.01965834001</v>
      </c>
      <c r="AV30" s="6">
        <f>AU30*(1+(Assumptions!$B$15))</f>
        <v>79595.330248090206</v>
      </c>
      <c r="AW30" s="6">
        <f>AV30*(1+(Assumptions!$B$15))</f>
        <v>81983.19015553291</v>
      </c>
      <c r="AX30" s="6">
        <f>AW30*(1+(Assumptions!$B$15))</f>
        <v>84442.685860198893</v>
      </c>
      <c r="AY30" s="6">
        <f>AX30*(1+(Assumptions!$B$15))</f>
        <v>86975.966436004863</v>
      </c>
      <c r="AZ30" s="6">
        <f>AY30*(1+(Assumptions!$B$15))</f>
        <v>89585.245429085015</v>
      </c>
      <c r="BA30" s="6">
        <f>AZ30*(1+(Assumptions!$B$15))</f>
        <v>92272.802791957569</v>
      </c>
      <c r="BB30" s="6">
        <f>BA30*(1+(Assumptions!$B$15))</f>
        <v>95040.986875716291</v>
      </c>
      <c r="BC30" s="6">
        <f>BB30*(1+(Assumptions!$B$15))</f>
        <v>97892.21648198778</v>
      </c>
    </row>
    <row r="31" spans="1:55" x14ac:dyDescent="0.25">
      <c r="A31" s="132">
        <v>600</v>
      </c>
      <c r="B31" s="133">
        <v>753</v>
      </c>
      <c r="C31" s="134">
        <v>37662</v>
      </c>
      <c r="D31" s="134">
        <v>48396</v>
      </c>
      <c r="E31" s="135">
        <v>71544.240000000005</v>
      </c>
      <c r="F31" s="157"/>
      <c r="G31" s="6">
        <f>IF($C31&lt;(DATE(G$2,12,31)),H31/(1+(Assumptions!$B$14)),0)</f>
        <v>0</v>
      </c>
      <c r="H31" s="6">
        <f>IF($C31&lt;(DATE(H$2,12,31)),I31/(1+(Assumptions!$B$14)),0)</f>
        <v>0</v>
      </c>
      <c r="I31" s="6">
        <f>IF($C31&lt;(DATE(I$2,12,31)),J31/(1+(Assumptions!$B$14)),0)</f>
        <v>0</v>
      </c>
      <c r="J31" s="6">
        <f>IF($C31&lt;(DATE(J$2,12,31)),K31/(1+(Assumptions!$B$14)),0)</f>
        <v>0</v>
      </c>
      <c r="K31" s="6">
        <f>IF($C31&lt;(DATE(K$2,12,31)),L31/(1+(Assumptions!$B$14)),0)</f>
        <v>0</v>
      </c>
      <c r="L31" s="6">
        <f>IF($C31&lt;(DATE(L$2,12,31)),M31/(1+(Assumptions!$B$14)),0)</f>
        <v>0</v>
      </c>
      <c r="M31" s="6">
        <f>IF($C31&lt;(DATE(M$2,12,31)),N31/(1+(Assumptions!$B$14)),0)</f>
        <v>0</v>
      </c>
      <c r="N31" s="6">
        <f>IF($C31&lt;(DATE(N$2,12,31)),O31/(1+(Assumptions!$B$14)),0)</f>
        <v>0</v>
      </c>
      <c r="O31" s="6">
        <f>IF($C31&lt;(DATE(O$2,12,31)),P31/(1+(Assumptions!$B$14)),0)</f>
        <v>0</v>
      </c>
      <c r="P31" s="6">
        <f>IF($C31&lt;(DATE(P$2,12,31)),Q31/(1+(Assumptions!$B$14)),0)</f>
        <v>0</v>
      </c>
      <c r="Q31" s="6">
        <f>IF($C31&lt;(DATE(Q$2,12,31)),R31/(1+(Assumptions!$B$14)),0)</f>
        <v>0</v>
      </c>
      <c r="R31" s="6">
        <f>IF($C31&lt;(DATE(R$2,12,31)),S31/(1+(Assumptions!$B$14)),0)</f>
        <v>0</v>
      </c>
      <c r="S31" s="6">
        <f>IF($C31&lt;(DATE(S$2,12,31)),T31/(1+(Assumptions!$B$14)),0)</f>
        <v>0</v>
      </c>
      <c r="T31" s="6">
        <f>IF($C31&lt;(DATE(T$2,12,31)),U31/(1+(Assumptions!$B$14)),0)</f>
        <v>0</v>
      </c>
      <c r="U31" s="6">
        <f>IF($C31&lt;(DATE(U$2,12,31)),V31/(1+(Assumptions!$B$14)),0)</f>
        <v>0</v>
      </c>
      <c r="V31" s="6">
        <f>IF($C31&lt;(DATE(V$2,12,31)),W31/(1+(Assumptions!$B$14)),0)</f>
        <v>0</v>
      </c>
      <c r="W31" s="6">
        <f>IF($C31&lt;(DATE(W$2,12,31)),X31/(1+(Assumptions!$B$14)),0)</f>
        <v>0</v>
      </c>
      <c r="X31" s="6">
        <f>IF($C31&lt;(DATE(X$2,12,31)),Y31/(1+(Assumptions!$B$14)),0)</f>
        <v>0</v>
      </c>
      <c r="Y31" s="6">
        <f>IF($C31&lt;(DATE(Y$2,12,31)),Z31/(1+(Assumptions!$B$14)),0)</f>
        <v>0</v>
      </c>
      <c r="Z31" s="6">
        <f>IF($C31&lt;(DATE(Z$2,12,31)),AA31/(1+(Assumptions!$B$14)),0)</f>
        <v>0</v>
      </c>
      <c r="AA31" s="6">
        <f>IF($C31&lt;(DATE(AA$2,12,31)),AB31/(1+(Assumptions!$B$14)),0)</f>
        <v>0</v>
      </c>
      <c r="AB31" s="6">
        <f>IF($C31&lt;(DATE(AB$2,12,31)),AC31/(1+(Assumptions!$B$14)),0)</f>
        <v>0</v>
      </c>
      <c r="AC31" s="6">
        <f>IF($C31&lt;(DATE(AC$2,12,31)),AD31/(1+(Assumptions!$B$14)),0)</f>
        <v>0</v>
      </c>
      <c r="AD31" s="6">
        <f>IF($C31&lt;(DATE(AD$2,12,31)),AE31/(1+(Assumptions!$B$14)),0)</f>
        <v>0</v>
      </c>
      <c r="AE31" s="6">
        <f>IF($C31&lt;(DATE(AE$2,12,31)),AF31/(1+(Assumptions!$B$14)),0)</f>
        <v>0</v>
      </c>
      <c r="AF31" s="6">
        <f>IF($C31&lt;(DATE(AF$2,12,31)),AG31/(1+(Assumptions!$B$14)),0)</f>
        <v>0</v>
      </c>
      <c r="AG31" s="6">
        <f>IF($C31&lt;(DATE(AG$2,12,31)),AH31/(1+(Assumptions!$B$14)),0)</f>
        <v>46473.77406718603</v>
      </c>
      <c r="AH31" s="6">
        <f>IF($C31&lt;(DATE(AH$2,12,31)),AI31/(1+(Assumptions!$B$14)),0)</f>
        <v>48332.725029873473</v>
      </c>
      <c r="AI31" s="6">
        <f>IF($C31&lt;(DATE(AI$2,12,31)),AJ31/(1+(Assumptions!$B$14)),0)</f>
        <v>50266.034031068411</v>
      </c>
      <c r="AJ31" s="6">
        <f>IF($C31&lt;(DATE(AJ$2,12,31)),AK31/(1+(Assumptions!$B$14)),0)</f>
        <v>52276.675392311146</v>
      </c>
      <c r="AK31" s="6">
        <f>IF($C31&lt;(DATE(AK$2,12,31)),AL31/(1+(Assumptions!$B$14)),0)</f>
        <v>54367.742408003593</v>
      </c>
      <c r="AL31" s="6">
        <f>IF($C31&lt;(DATE(AL$2,12,31)),AM31/(1+(Assumptions!$B$14)),0)</f>
        <v>56542.45210432374</v>
      </c>
      <c r="AM31" s="6">
        <f>IF($C31&lt;(DATE(AM$2,12,31)),AN31/(1+(Assumptions!$B$14)),0)</f>
        <v>58804.150188496693</v>
      </c>
      <c r="AN31" s="6">
        <f>IF($C31&lt;(DATE(AN$2,12,31)),AO31/(1+(Assumptions!$B$14)),0)</f>
        <v>61156.316196036561</v>
      </c>
      <c r="AO31" s="6">
        <f>IF($C31&lt;(DATE(AO$2,12,31)),AP31/(1+(Assumptions!$B$14)),0)</f>
        <v>63602.568843878027</v>
      </c>
      <c r="AP31" s="6">
        <f>IF($C31&lt;(DATE(AP$2,12,31)),AQ31/(1+(Assumptions!$B$14)),0)</f>
        <v>66146.671597633147</v>
      </c>
      <c r="AQ31" s="6">
        <f>IF($C31&lt;(DATE(AQ$2,12,31)),AR31/(1+(Assumptions!$B$14)),0)</f>
        <v>68792.538461538468</v>
      </c>
      <c r="AR31" s="6">
        <f t="shared" si="0"/>
        <v>71544.240000000005</v>
      </c>
      <c r="AS31" s="6">
        <f>AR31*(1+(Assumptions!$B$15))</f>
        <v>73690.567200000005</v>
      </c>
      <c r="AT31" s="6">
        <f>AS31*(1+(Assumptions!$B$15))</f>
        <v>75901.284216</v>
      </c>
      <c r="AU31" s="6">
        <f>AT31*(1+(Assumptions!$B$15))</f>
        <v>78178.322742479999</v>
      </c>
      <c r="AV31" s="6">
        <f>AU31*(1+(Assumptions!$B$15))</f>
        <v>80523.672424754404</v>
      </c>
      <c r="AW31" s="6">
        <f>AV31*(1+(Assumptions!$B$15))</f>
        <v>82939.382597497039</v>
      </c>
      <c r="AX31" s="6">
        <f>AW31*(1+(Assumptions!$B$15))</f>
        <v>85427.564075421949</v>
      </c>
      <c r="AY31" s="6">
        <f>AX31*(1+(Assumptions!$B$15))</f>
        <v>87990.390997684604</v>
      </c>
      <c r="AZ31" s="6">
        <f>AY31*(1+(Assumptions!$B$15))</f>
        <v>90630.102727615144</v>
      </c>
      <c r="BA31" s="6">
        <f>AZ31*(1+(Assumptions!$B$15))</f>
        <v>93349.005809443595</v>
      </c>
      <c r="BB31" s="6">
        <f>BA31*(1+(Assumptions!$B$15))</f>
        <v>96149.475983726908</v>
      </c>
      <c r="BC31" s="6">
        <f>BB31*(1+(Assumptions!$B$15))</f>
        <v>99033.960263238725</v>
      </c>
    </row>
    <row r="32" spans="1:55" x14ac:dyDescent="0.25">
      <c r="A32" s="132">
        <v>600</v>
      </c>
      <c r="B32" s="133">
        <v>752</v>
      </c>
      <c r="C32" s="134">
        <v>37650</v>
      </c>
      <c r="D32" s="134">
        <v>53936</v>
      </c>
      <c r="E32" s="135">
        <v>72369.05</v>
      </c>
      <c r="F32" s="157"/>
      <c r="G32" s="6">
        <f>IF($C32&lt;(DATE(G$2,12,31)),H32/(1+(Assumptions!$B$14)),0)</f>
        <v>0</v>
      </c>
      <c r="H32" s="6">
        <f>IF($C32&lt;(DATE(H$2,12,31)),I32/(1+(Assumptions!$B$14)),0)</f>
        <v>0</v>
      </c>
      <c r="I32" s="6">
        <f>IF($C32&lt;(DATE(I$2,12,31)),J32/(1+(Assumptions!$B$14)),0)</f>
        <v>0</v>
      </c>
      <c r="J32" s="6">
        <f>IF($C32&lt;(DATE(J$2,12,31)),K32/(1+(Assumptions!$B$14)),0)</f>
        <v>0</v>
      </c>
      <c r="K32" s="6">
        <f>IF($C32&lt;(DATE(K$2,12,31)),L32/(1+(Assumptions!$B$14)),0)</f>
        <v>0</v>
      </c>
      <c r="L32" s="6">
        <f>IF($C32&lt;(DATE(L$2,12,31)),M32/(1+(Assumptions!$B$14)),0)</f>
        <v>0</v>
      </c>
      <c r="M32" s="6">
        <f>IF($C32&lt;(DATE(M$2,12,31)),N32/(1+(Assumptions!$B$14)),0)</f>
        <v>0</v>
      </c>
      <c r="N32" s="6">
        <f>IF($C32&lt;(DATE(N$2,12,31)),O32/(1+(Assumptions!$B$14)),0)</f>
        <v>0</v>
      </c>
      <c r="O32" s="6">
        <f>IF($C32&lt;(DATE(O$2,12,31)),P32/(1+(Assumptions!$B$14)),0)</f>
        <v>0</v>
      </c>
      <c r="P32" s="6">
        <f>IF($C32&lt;(DATE(P$2,12,31)),Q32/(1+(Assumptions!$B$14)),0)</f>
        <v>0</v>
      </c>
      <c r="Q32" s="6">
        <f>IF($C32&lt;(DATE(Q$2,12,31)),R32/(1+(Assumptions!$B$14)),0)</f>
        <v>0</v>
      </c>
      <c r="R32" s="6">
        <f>IF($C32&lt;(DATE(R$2,12,31)),S32/(1+(Assumptions!$B$14)),0)</f>
        <v>0</v>
      </c>
      <c r="S32" s="6">
        <f>IF($C32&lt;(DATE(S$2,12,31)),T32/(1+(Assumptions!$B$14)),0)</f>
        <v>0</v>
      </c>
      <c r="T32" s="6">
        <f>IF($C32&lt;(DATE(T$2,12,31)),U32/(1+(Assumptions!$B$14)),0)</f>
        <v>0</v>
      </c>
      <c r="U32" s="6">
        <f>IF($C32&lt;(DATE(U$2,12,31)),V32/(1+(Assumptions!$B$14)),0)</f>
        <v>0</v>
      </c>
      <c r="V32" s="6">
        <f>IF($C32&lt;(DATE(V$2,12,31)),W32/(1+(Assumptions!$B$14)),0)</f>
        <v>0</v>
      </c>
      <c r="W32" s="6">
        <f>IF($C32&lt;(DATE(W$2,12,31)),X32/(1+(Assumptions!$B$14)),0)</f>
        <v>0</v>
      </c>
      <c r="X32" s="6">
        <f>IF($C32&lt;(DATE(X$2,12,31)),Y32/(1+(Assumptions!$B$14)),0)</f>
        <v>0</v>
      </c>
      <c r="Y32" s="6">
        <f>IF($C32&lt;(DATE(Y$2,12,31)),Z32/(1+(Assumptions!$B$14)),0)</f>
        <v>0</v>
      </c>
      <c r="Z32" s="6">
        <f>IF($C32&lt;(DATE(Z$2,12,31)),AA32/(1+(Assumptions!$B$14)),0)</f>
        <v>0</v>
      </c>
      <c r="AA32" s="6">
        <f>IF($C32&lt;(DATE(AA$2,12,31)),AB32/(1+(Assumptions!$B$14)),0)</f>
        <v>0</v>
      </c>
      <c r="AB32" s="6">
        <f>IF($C32&lt;(DATE(AB$2,12,31)),AC32/(1+(Assumptions!$B$14)),0)</f>
        <v>0</v>
      </c>
      <c r="AC32" s="6">
        <f>IF($C32&lt;(DATE(AC$2,12,31)),AD32/(1+(Assumptions!$B$14)),0)</f>
        <v>0</v>
      </c>
      <c r="AD32" s="6">
        <f>IF($C32&lt;(DATE(AD$2,12,31)),AE32/(1+(Assumptions!$B$14)),0)</f>
        <v>0</v>
      </c>
      <c r="AE32" s="6">
        <f>IF($C32&lt;(DATE(AE$2,12,31)),AF32/(1+(Assumptions!$B$14)),0)</f>
        <v>0</v>
      </c>
      <c r="AF32" s="6">
        <f>IF($C32&lt;(DATE(AF$2,12,31)),AG32/(1+(Assumptions!$B$14)),0)</f>
        <v>0</v>
      </c>
      <c r="AG32" s="6">
        <f>IF($C32&lt;(DATE(AG$2,12,31)),AH32/(1+(Assumptions!$B$14)),0)</f>
        <v>47009.554915348708</v>
      </c>
      <c r="AH32" s="6">
        <f>IF($C32&lt;(DATE(AH$2,12,31)),AI32/(1+(Assumptions!$B$14)),0)</f>
        <v>48889.937111962659</v>
      </c>
      <c r="AI32" s="6">
        <f>IF($C32&lt;(DATE(AI$2,12,31)),AJ32/(1+(Assumptions!$B$14)),0)</f>
        <v>50845.534596441168</v>
      </c>
      <c r="AJ32" s="6">
        <f>IF($C32&lt;(DATE(AJ$2,12,31)),AK32/(1+(Assumptions!$B$14)),0)</f>
        <v>52879.355980298817</v>
      </c>
      <c r="AK32" s="6">
        <f>IF($C32&lt;(DATE(AK$2,12,31)),AL32/(1+(Assumptions!$B$14)),0)</f>
        <v>54994.530219510772</v>
      </c>
      <c r="AL32" s="6">
        <f>IF($C32&lt;(DATE(AL$2,12,31)),AM32/(1+(Assumptions!$B$14)),0)</f>
        <v>57194.311428291207</v>
      </c>
      <c r="AM32" s="6">
        <f>IF($C32&lt;(DATE(AM$2,12,31)),AN32/(1+(Assumptions!$B$14)),0)</f>
        <v>59482.083885422857</v>
      </c>
      <c r="AN32" s="6">
        <f>IF($C32&lt;(DATE(AN$2,12,31)),AO32/(1+(Assumptions!$B$14)),0)</f>
        <v>61861.367240839776</v>
      </c>
      <c r="AO32" s="6">
        <f>IF($C32&lt;(DATE(AO$2,12,31)),AP32/(1+(Assumptions!$B$14)),0)</f>
        <v>64335.821930473372</v>
      </c>
      <c r="AP32" s="6">
        <f>IF($C32&lt;(DATE(AP$2,12,31)),AQ32/(1+(Assumptions!$B$14)),0)</f>
        <v>66909.254807692312</v>
      </c>
      <c r="AQ32" s="6">
        <f>IF($C32&lt;(DATE(AQ$2,12,31)),AR32/(1+(Assumptions!$B$14)),0)</f>
        <v>69585.625</v>
      </c>
      <c r="AR32" s="6">
        <f t="shared" si="0"/>
        <v>72369.05</v>
      </c>
      <c r="AS32" s="6">
        <f>AR32*(1+(Assumptions!$B$15))</f>
        <v>74540.121500000008</v>
      </c>
      <c r="AT32" s="6">
        <f>AS32*(1+(Assumptions!$B$15))</f>
        <v>76776.32514500001</v>
      </c>
      <c r="AU32" s="6">
        <f>AT32*(1+(Assumptions!$B$15))</f>
        <v>79079.61489935001</v>
      </c>
      <c r="AV32" s="6">
        <f>AU32*(1+(Assumptions!$B$15))</f>
        <v>81452.003346330515</v>
      </c>
      <c r="AW32" s="6">
        <f>AV32*(1+(Assumptions!$B$15))</f>
        <v>83895.563446720436</v>
      </c>
      <c r="AX32" s="6">
        <f>AW32*(1+(Assumptions!$B$15))</f>
        <v>86412.430350122057</v>
      </c>
      <c r="AY32" s="6">
        <f>AX32*(1+(Assumptions!$B$15))</f>
        <v>89004.803260625718</v>
      </c>
      <c r="AZ32" s="6">
        <f>AY32*(1+(Assumptions!$B$15))</f>
        <v>91674.947358444493</v>
      </c>
      <c r="BA32" s="6">
        <f>AZ32*(1+(Assumptions!$B$15))</f>
        <v>94425.195779197835</v>
      </c>
      <c r="BB32" s="6">
        <f>BA32*(1+(Assumptions!$B$15))</f>
        <v>97257.951652573771</v>
      </c>
      <c r="BC32" s="6">
        <f>BB32*(1+(Assumptions!$B$15))</f>
        <v>100175.69020215099</v>
      </c>
    </row>
    <row r="33" spans="1:55" x14ac:dyDescent="0.25">
      <c r="A33" s="132">
        <v>600</v>
      </c>
      <c r="B33" s="133">
        <v>747</v>
      </c>
      <c r="C33" s="134">
        <v>37313</v>
      </c>
      <c r="D33" s="134">
        <v>48122</v>
      </c>
      <c r="E33" s="135">
        <v>73193.86</v>
      </c>
      <c r="F33" s="157"/>
      <c r="G33" s="6">
        <f>IF($C33&lt;(DATE(G$2,12,31)),H33/(1+(Assumptions!$B$14)),0)</f>
        <v>0</v>
      </c>
      <c r="H33" s="6">
        <f>IF($C33&lt;(DATE(H$2,12,31)),I33/(1+(Assumptions!$B$14)),0)</f>
        <v>0</v>
      </c>
      <c r="I33" s="6">
        <f>IF($C33&lt;(DATE(I$2,12,31)),J33/(1+(Assumptions!$B$14)),0)</f>
        <v>0</v>
      </c>
      <c r="J33" s="6">
        <f>IF($C33&lt;(DATE(J$2,12,31)),K33/(1+(Assumptions!$B$14)),0)</f>
        <v>0</v>
      </c>
      <c r="K33" s="6">
        <f>IF($C33&lt;(DATE(K$2,12,31)),L33/(1+(Assumptions!$B$14)),0)</f>
        <v>0</v>
      </c>
      <c r="L33" s="6">
        <f>IF($C33&lt;(DATE(L$2,12,31)),M33/(1+(Assumptions!$B$14)),0)</f>
        <v>0</v>
      </c>
      <c r="M33" s="6">
        <f>IF($C33&lt;(DATE(M$2,12,31)),N33/(1+(Assumptions!$B$14)),0)</f>
        <v>0</v>
      </c>
      <c r="N33" s="6">
        <f>IF($C33&lt;(DATE(N$2,12,31)),O33/(1+(Assumptions!$B$14)),0)</f>
        <v>0</v>
      </c>
      <c r="O33" s="6">
        <f>IF($C33&lt;(DATE(O$2,12,31)),P33/(1+(Assumptions!$B$14)),0)</f>
        <v>0</v>
      </c>
      <c r="P33" s="6">
        <f>IF($C33&lt;(DATE(P$2,12,31)),Q33/(1+(Assumptions!$B$14)),0)</f>
        <v>0</v>
      </c>
      <c r="Q33" s="6">
        <f>IF($C33&lt;(DATE(Q$2,12,31)),R33/(1+(Assumptions!$B$14)),0)</f>
        <v>0</v>
      </c>
      <c r="R33" s="6">
        <f>IF($C33&lt;(DATE(R$2,12,31)),S33/(1+(Assumptions!$B$14)),0)</f>
        <v>0</v>
      </c>
      <c r="S33" s="6">
        <f>IF($C33&lt;(DATE(S$2,12,31)),T33/(1+(Assumptions!$B$14)),0)</f>
        <v>0</v>
      </c>
      <c r="T33" s="6">
        <f>IF($C33&lt;(DATE(T$2,12,31)),U33/(1+(Assumptions!$B$14)),0)</f>
        <v>0</v>
      </c>
      <c r="U33" s="6">
        <f>IF($C33&lt;(DATE(U$2,12,31)),V33/(1+(Assumptions!$B$14)),0)</f>
        <v>0</v>
      </c>
      <c r="V33" s="6">
        <f>IF($C33&lt;(DATE(V$2,12,31)),W33/(1+(Assumptions!$B$14)),0)</f>
        <v>0</v>
      </c>
      <c r="W33" s="6">
        <f>IF($C33&lt;(DATE(W$2,12,31)),X33/(1+(Assumptions!$B$14)),0)</f>
        <v>0</v>
      </c>
      <c r="X33" s="6">
        <f>IF($C33&lt;(DATE(X$2,12,31)),Y33/(1+(Assumptions!$B$14)),0)</f>
        <v>0</v>
      </c>
      <c r="Y33" s="6">
        <f>IF($C33&lt;(DATE(Y$2,12,31)),Z33/(1+(Assumptions!$B$14)),0)</f>
        <v>0</v>
      </c>
      <c r="Z33" s="6">
        <f>IF($C33&lt;(DATE(Z$2,12,31)),AA33/(1+(Assumptions!$B$14)),0)</f>
        <v>0</v>
      </c>
      <c r="AA33" s="6">
        <f>IF($C33&lt;(DATE(AA$2,12,31)),AB33/(1+(Assumptions!$B$14)),0)</f>
        <v>0</v>
      </c>
      <c r="AB33" s="6">
        <f>IF($C33&lt;(DATE(AB$2,12,31)),AC33/(1+(Assumptions!$B$14)),0)</f>
        <v>0</v>
      </c>
      <c r="AC33" s="6">
        <f>IF($C33&lt;(DATE(AC$2,12,31)),AD33/(1+(Assumptions!$B$14)),0)</f>
        <v>0</v>
      </c>
      <c r="AD33" s="6">
        <f>IF($C33&lt;(DATE(AD$2,12,31)),AE33/(1+(Assumptions!$B$14)),0)</f>
        <v>0</v>
      </c>
      <c r="AE33" s="6">
        <f>IF($C33&lt;(DATE(AE$2,12,31)),AF33/(1+(Assumptions!$B$14)),0)</f>
        <v>0</v>
      </c>
      <c r="AF33" s="6">
        <f>IF($C33&lt;(DATE(AF$2,12,31)),AG33/(1+(Assumptions!$B$14)),0)</f>
        <v>45716.669003376352</v>
      </c>
      <c r="AG33" s="6">
        <f>IF($C33&lt;(DATE(AG$2,12,31)),AH33/(1+(Assumptions!$B$14)),0)</f>
        <v>47545.335763511408</v>
      </c>
      <c r="AH33" s="6">
        <f>IF($C33&lt;(DATE(AH$2,12,31)),AI33/(1+(Assumptions!$B$14)),0)</f>
        <v>49447.149194051868</v>
      </c>
      <c r="AI33" s="6">
        <f>IF($C33&lt;(DATE(AI$2,12,31)),AJ33/(1+(Assumptions!$B$14)),0)</f>
        <v>51425.035161813947</v>
      </c>
      <c r="AJ33" s="6">
        <f>IF($C33&lt;(DATE(AJ$2,12,31)),AK33/(1+(Assumptions!$B$14)),0)</f>
        <v>53482.036568286509</v>
      </c>
      <c r="AK33" s="6">
        <f>IF($C33&lt;(DATE(AK$2,12,31)),AL33/(1+(Assumptions!$B$14)),0)</f>
        <v>55621.318031017974</v>
      </c>
      <c r="AL33" s="6">
        <f>IF($C33&lt;(DATE(AL$2,12,31)),AM33/(1+(Assumptions!$B$14)),0)</f>
        <v>57846.170752258695</v>
      </c>
      <c r="AM33" s="6">
        <f>IF($C33&lt;(DATE(AM$2,12,31)),AN33/(1+(Assumptions!$B$14)),0)</f>
        <v>60160.017582349043</v>
      </c>
      <c r="AN33" s="6">
        <f>IF($C33&lt;(DATE(AN$2,12,31)),AO33/(1+(Assumptions!$B$14)),0)</f>
        <v>62566.418285643005</v>
      </c>
      <c r="AO33" s="6">
        <f>IF($C33&lt;(DATE(AO$2,12,31)),AP33/(1+(Assumptions!$B$14)),0)</f>
        <v>65069.075017068724</v>
      </c>
      <c r="AP33" s="6">
        <f>IF($C33&lt;(DATE(AP$2,12,31)),AQ33/(1+(Assumptions!$B$14)),0)</f>
        <v>67671.838017751477</v>
      </c>
      <c r="AQ33" s="6">
        <f>IF($C33&lt;(DATE(AQ$2,12,31)),AR33/(1+(Assumptions!$B$14)),0)</f>
        <v>70378.711538461532</v>
      </c>
      <c r="AR33" s="6">
        <f t="shared" si="0"/>
        <v>73193.86</v>
      </c>
      <c r="AS33" s="6">
        <f>AR33*(1+(Assumptions!$B$15))</f>
        <v>75389.675799999997</v>
      </c>
      <c r="AT33" s="6">
        <f>AS33*(1+(Assumptions!$B$15))</f>
        <v>77651.366074000005</v>
      </c>
      <c r="AU33" s="6">
        <f>AT33*(1+(Assumptions!$B$15))</f>
        <v>79980.907056220007</v>
      </c>
      <c r="AV33" s="6">
        <f>AU33*(1+(Assumptions!$B$15))</f>
        <v>82380.334267906612</v>
      </c>
      <c r="AW33" s="6">
        <f>AV33*(1+(Assumptions!$B$15))</f>
        <v>84851.744295943819</v>
      </c>
      <c r="AX33" s="6">
        <f>AW33*(1+(Assumptions!$B$15))</f>
        <v>87397.296624822135</v>
      </c>
      <c r="AY33" s="6">
        <f>AX33*(1+(Assumptions!$B$15))</f>
        <v>90019.215523566803</v>
      </c>
      <c r="AZ33" s="6">
        <f>AY33*(1+(Assumptions!$B$15))</f>
        <v>92719.791989273814</v>
      </c>
      <c r="BA33" s="6">
        <f>AZ33*(1+(Assumptions!$B$15))</f>
        <v>95501.385748952031</v>
      </c>
      <c r="BB33" s="6">
        <f>BA33*(1+(Assumptions!$B$15))</f>
        <v>98366.42732142059</v>
      </c>
      <c r="BC33" s="6">
        <f>BB33*(1+(Assumptions!$B$15))</f>
        <v>101317.42014106321</v>
      </c>
    </row>
    <row r="34" spans="1:55" x14ac:dyDescent="0.25">
      <c r="A34" s="132">
        <v>600</v>
      </c>
      <c r="B34" s="133">
        <v>746</v>
      </c>
      <c r="C34" s="134">
        <v>37305</v>
      </c>
      <c r="D34" s="134">
        <v>44197</v>
      </c>
      <c r="E34" s="135">
        <v>74018.67</v>
      </c>
      <c r="F34" s="157"/>
      <c r="G34" s="6">
        <f>IF($C34&lt;(DATE(G$2,12,31)),H34/(1+(Assumptions!$B$14)),0)</f>
        <v>0</v>
      </c>
      <c r="H34" s="6">
        <f>IF($C34&lt;(DATE(H$2,12,31)),I34/(1+(Assumptions!$B$14)),0)</f>
        <v>0</v>
      </c>
      <c r="I34" s="6">
        <f>IF($C34&lt;(DATE(I$2,12,31)),J34/(1+(Assumptions!$B$14)),0)</f>
        <v>0</v>
      </c>
      <c r="J34" s="6">
        <f>IF($C34&lt;(DATE(J$2,12,31)),K34/(1+(Assumptions!$B$14)),0)</f>
        <v>0</v>
      </c>
      <c r="K34" s="6">
        <f>IF($C34&lt;(DATE(K$2,12,31)),L34/(1+(Assumptions!$B$14)),0)</f>
        <v>0</v>
      </c>
      <c r="L34" s="6">
        <f>IF($C34&lt;(DATE(L$2,12,31)),M34/(1+(Assumptions!$B$14)),0)</f>
        <v>0</v>
      </c>
      <c r="M34" s="6">
        <f>IF($C34&lt;(DATE(M$2,12,31)),N34/(1+(Assumptions!$B$14)),0)</f>
        <v>0</v>
      </c>
      <c r="N34" s="6">
        <f>IF($C34&lt;(DATE(N$2,12,31)),O34/(1+(Assumptions!$B$14)),0)</f>
        <v>0</v>
      </c>
      <c r="O34" s="6">
        <f>IF($C34&lt;(DATE(O$2,12,31)),P34/(1+(Assumptions!$B$14)),0)</f>
        <v>0</v>
      </c>
      <c r="P34" s="6">
        <f>IF($C34&lt;(DATE(P$2,12,31)),Q34/(1+(Assumptions!$B$14)),0)</f>
        <v>0</v>
      </c>
      <c r="Q34" s="6">
        <f>IF($C34&lt;(DATE(Q$2,12,31)),R34/(1+(Assumptions!$B$14)),0)</f>
        <v>0</v>
      </c>
      <c r="R34" s="6">
        <f>IF($C34&lt;(DATE(R$2,12,31)),S34/(1+(Assumptions!$B$14)),0)</f>
        <v>0</v>
      </c>
      <c r="S34" s="6">
        <f>IF($C34&lt;(DATE(S$2,12,31)),T34/(1+(Assumptions!$B$14)),0)</f>
        <v>0</v>
      </c>
      <c r="T34" s="6">
        <f>IF($C34&lt;(DATE(T$2,12,31)),U34/(1+(Assumptions!$B$14)),0)</f>
        <v>0</v>
      </c>
      <c r="U34" s="6">
        <f>IF($C34&lt;(DATE(U$2,12,31)),V34/(1+(Assumptions!$B$14)),0)</f>
        <v>0</v>
      </c>
      <c r="V34" s="6">
        <f>IF($C34&lt;(DATE(V$2,12,31)),W34/(1+(Assumptions!$B$14)),0)</f>
        <v>0</v>
      </c>
      <c r="W34" s="6">
        <f>IF($C34&lt;(DATE(W$2,12,31)),X34/(1+(Assumptions!$B$14)),0)</f>
        <v>0</v>
      </c>
      <c r="X34" s="6">
        <f>IF($C34&lt;(DATE(X$2,12,31)),Y34/(1+(Assumptions!$B$14)),0)</f>
        <v>0</v>
      </c>
      <c r="Y34" s="6">
        <f>IF($C34&lt;(DATE(Y$2,12,31)),Z34/(1+(Assumptions!$B$14)),0)</f>
        <v>0</v>
      </c>
      <c r="Z34" s="6">
        <f>IF($C34&lt;(DATE(Z$2,12,31)),AA34/(1+(Assumptions!$B$14)),0)</f>
        <v>0</v>
      </c>
      <c r="AA34" s="6">
        <f>IF($C34&lt;(DATE(AA$2,12,31)),AB34/(1+(Assumptions!$B$14)),0)</f>
        <v>0</v>
      </c>
      <c r="AB34" s="6">
        <f>IF($C34&lt;(DATE(AB$2,12,31)),AC34/(1+(Assumptions!$B$14)),0)</f>
        <v>0</v>
      </c>
      <c r="AC34" s="6">
        <f>IF($C34&lt;(DATE(AC$2,12,31)),AD34/(1+(Assumptions!$B$14)),0)</f>
        <v>0</v>
      </c>
      <c r="AD34" s="6">
        <f>IF($C34&lt;(DATE(AD$2,12,31)),AE34/(1+(Assumptions!$B$14)),0)</f>
        <v>0</v>
      </c>
      <c r="AE34" s="6">
        <f>IF($C34&lt;(DATE(AE$2,12,31)),AF34/(1+(Assumptions!$B$14)),0)</f>
        <v>0</v>
      </c>
      <c r="AF34" s="6">
        <f>IF($C34&lt;(DATE(AF$2,12,31)),AG34/(1+(Assumptions!$B$14)),0)</f>
        <v>46231.842895840484</v>
      </c>
      <c r="AG34" s="6">
        <f>IF($C34&lt;(DATE(AG$2,12,31)),AH34/(1+(Assumptions!$B$14)),0)</f>
        <v>48081.116611674108</v>
      </c>
      <c r="AH34" s="6">
        <f>IF($C34&lt;(DATE(AH$2,12,31)),AI34/(1+(Assumptions!$B$14)),0)</f>
        <v>50004.361276141077</v>
      </c>
      <c r="AI34" s="6">
        <f>IF($C34&lt;(DATE(AI$2,12,31)),AJ34/(1+(Assumptions!$B$14)),0)</f>
        <v>52004.535727186725</v>
      </c>
      <c r="AJ34" s="6">
        <f>IF($C34&lt;(DATE(AJ$2,12,31)),AK34/(1+(Assumptions!$B$14)),0)</f>
        <v>54084.717156274193</v>
      </c>
      <c r="AK34" s="6">
        <f>IF($C34&lt;(DATE(AK$2,12,31)),AL34/(1+(Assumptions!$B$14)),0)</f>
        <v>56248.105842525161</v>
      </c>
      <c r="AL34" s="6">
        <f>IF($C34&lt;(DATE(AL$2,12,31)),AM34/(1+(Assumptions!$B$14)),0)</f>
        <v>58498.030076226169</v>
      </c>
      <c r="AM34" s="6">
        <f>IF($C34&lt;(DATE(AM$2,12,31)),AN34/(1+(Assumptions!$B$14)),0)</f>
        <v>60837.951279275221</v>
      </c>
      <c r="AN34" s="6">
        <f>IF($C34&lt;(DATE(AN$2,12,31)),AO34/(1+(Assumptions!$B$14)),0)</f>
        <v>63271.469330446234</v>
      </c>
      <c r="AO34" s="6">
        <f>IF($C34&lt;(DATE(AO$2,12,31)),AP34/(1+(Assumptions!$B$14)),0)</f>
        <v>65802.328103664084</v>
      </c>
      <c r="AP34" s="6">
        <f>IF($C34&lt;(DATE(AP$2,12,31)),AQ34/(1+(Assumptions!$B$14)),0)</f>
        <v>68434.421227810642</v>
      </c>
      <c r="AQ34" s="6">
        <f>IF($C34&lt;(DATE(AQ$2,12,31)),AR34/(1+(Assumptions!$B$14)),0)</f>
        <v>71171.798076923078</v>
      </c>
      <c r="AR34" s="6">
        <f t="shared" si="0"/>
        <v>74018.67</v>
      </c>
      <c r="AS34" s="6">
        <f>AR34*(1+(Assumptions!$B$15))</f>
        <v>76239.230100000001</v>
      </c>
      <c r="AT34" s="6">
        <f>AS34*(1+(Assumptions!$B$15))</f>
        <v>78526.407003</v>
      </c>
      <c r="AU34" s="6">
        <f>AT34*(1+(Assumptions!$B$15))</f>
        <v>80882.199213090003</v>
      </c>
      <c r="AV34" s="6">
        <f>AU34*(1+(Assumptions!$B$15))</f>
        <v>83308.665189482708</v>
      </c>
      <c r="AW34" s="6">
        <f>AV34*(1+(Assumptions!$B$15))</f>
        <v>85807.925145167188</v>
      </c>
      <c r="AX34" s="6">
        <f>AW34*(1+(Assumptions!$B$15))</f>
        <v>88382.162899522213</v>
      </c>
      <c r="AY34" s="6">
        <f>AX34*(1+(Assumptions!$B$15))</f>
        <v>91033.627786507888</v>
      </c>
      <c r="AZ34" s="6">
        <f>AY34*(1+(Assumptions!$B$15))</f>
        <v>93764.636620103134</v>
      </c>
      <c r="BA34" s="6">
        <f>AZ34*(1+(Assumptions!$B$15))</f>
        <v>96577.575718706226</v>
      </c>
      <c r="BB34" s="6">
        <f>BA34*(1+(Assumptions!$B$15))</f>
        <v>99474.902990267423</v>
      </c>
      <c r="BC34" s="6">
        <f>BB34*(1+(Assumptions!$B$15))</f>
        <v>102459.15007997544</v>
      </c>
    </row>
    <row r="35" spans="1:55" x14ac:dyDescent="0.25">
      <c r="A35" s="132">
        <v>600</v>
      </c>
      <c r="B35" s="133">
        <v>743</v>
      </c>
      <c r="C35" s="134">
        <v>37208</v>
      </c>
      <c r="D35" s="134">
        <v>52232</v>
      </c>
      <c r="E35" s="135">
        <v>74843.490000000005</v>
      </c>
      <c r="F35" s="157"/>
      <c r="G35" s="6">
        <f>IF($C35&lt;(DATE(G$2,12,31)),H35/(1+(Assumptions!$B$14)),0)</f>
        <v>0</v>
      </c>
      <c r="H35" s="6">
        <f>IF($C35&lt;(DATE(H$2,12,31)),I35/(1+(Assumptions!$B$14)),0)</f>
        <v>0</v>
      </c>
      <c r="I35" s="6">
        <f>IF($C35&lt;(DATE(I$2,12,31)),J35/(1+(Assumptions!$B$14)),0)</f>
        <v>0</v>
      </c>
      <c r="J35" s="6">
        <f>IF($C35&lt;(DATE(J$2,12,31)),K35/(1+(Assumptions!$B$14)),0)</f>
        <v>0</v>
      </c>
      <c r="K35" s="6">
        <f>IF($C35&lt;(DATE(K$2,12,31)),L35/(1+(Assumptions!$B$14)),0)</f>
        <v>0</v>
      </c>
      <c r="L35" s="6">
        <f>IF($C35&lt;(DATE(L$2,12,31)),M35/(1+(Assumptions!$B$14)),0)</f>
        <v>0</v>
      </c>
      <c r="M35" s="6">
        <f>IF($C35&lt;(DATE(M$2,12,31)),N35/(1+(Assumptions!$B$14)),0)</f>
        <v>0</v>
      </c>
      <c r="N35" s="6">
        <f>IF($C35&lt;(DATE(N$2,12,31)),O35/(1+(Assumptions!$B$14)),0)</f>
        <v>0</v>
      </c>
      <c r="O35" s="6">
        <f>IF($C35&lt;(DATE(O$2,12,31)),P35/(1+(Assumptions!$B$14)),0)</f>
        <v>0</v>
      </c>
      <c r="P35" s="6">
        <f>IF($C35&lt;(DATE(P$2,12,31)),Q35/(1+(Assumptions!$B$14)),0)</f>
        <v>0</v>
      </c>
      <c r="Q35" s="6">
        <f>IF($C35&lt;(DATE(Q$2,12,31)),R35/(1+(Assumptions!$B$14)),0)</f>
        <v>0</v>
      </c>
      <c r="R35" s="6">
        <f>IF($C35&lt;(DATE(R$2,12,31)),S35/(1+(Assumptions!$B$14)),0)</f>
        <v>0</v>
      </c>
      <c r="S35" s="6">
        <f>IF($C35&lt;(DATE(S$2,12,31)),T35/(1+(Assumptions!$B$14)),0)</f>
        <v>0</v>
      </c>
      <c r="T35" s="6">
        <f>IF($C35&lt;(DATE(T$2,12,31)),U35/(1+(Assumptions!$B$14)),0)</f>
        <v>0</v>
      </c>
      <c r="U35" s="6">
        <f>IF($C35&lt;(DATE(U$2,12,31)),V35/(1+(Assumptions!$B$14)),0)</f>
        <v>0</v>
      </c>
      <c r="V35" s="6">
        <f>IF($C35&lt;(DATE(V$2,12,31)),W35/(1+(Assumptions!$B$14)),0)</f>
        <v>0</v>
      </c>
      <c r="W35" s="6">
        <f>IF($C35&lt;(DATE(W$2,12,31)),X35/(1+(Assumptions!$B$14)),0)</f>
        <v>0</v>
      </c>
      <c r="X35" s="6">
        <f>IF($C35&lt;(DATE(X$2,12,31)),Y35/(1+(Assumptions!$B$14)),0)</f>
        <v>0</v>
      </c>
      <c r="Y35" s="6">
        <f>IF($C35&lt;(DATE(Y$2,12,31)),Z35/(1+(Assumptions!$B$14)),0)</f>
        <v>0</v>
      </c>
      <c r="Z35" s="6">
        <f>IF($C35&lt;(DATE(Z$2,12,31)),AA35/(1+(Assumptions!$B$14)),0)</f>
        <v>0</v>
      </c>
      <c r="AA35" s="6">
        <f>IF($C35&lt;(DATE(AA$2,12,31)),AB35/(1+(Assumptions!$B$14)),0)</f>
        <v>0</v>
      </c>
      <c r="AB35" s="6">
        <f>IF($C35&lt;(DATE(AB$2,12,31)),AC35/(1+(Assumptions!$B$14)),0)</f>
        <v>0</v>
      </c>
      <c r="AC35" s="6">
        <f>IF($C35&lt;(DATE(AC$2,12,31)),AD35/(1+(Assumptions!$B$14)),0)</f>
        <v>0</v>
      </c>
      <c r="AD35" s="6">
        <f>IF($C35&lt;(DATE(AD$2,12,31)),AE35/(1+(Assumptions!$B$14)),0)</f>
        <v>0</v>
      </c>
      <c r="AE35" s="6">
        <f>IF($C35&lt;(DATE(AE$2,12,31)),AF35/(1+(Assumptions!$B$14)),0)</f>
        <v>44949.060609879925</v>
      </c>
      <c r="AF35" s="6">
        <f>IF($C35&lt;(DATE(AF$2,12,31)),AG35/(1+(Assumptions!$B$14)),0)</f>
        <v>46747.023034275124</v>
      </c>
      <c r="AG35" s="6">
        <f>IF($C35&lt;(DATE(AG$2,12,31)),AH35/(1+(Assumptions!$B$14)),0)</f>
        <v>48616.903955646128</v>
      </c>
      <c r="AH35" s="6">
        <f>IF($C35&lt;(DATE(AH$2,12,31)),AI35/(1+(Assumptions!$B$14)),0)</f>
        <v>50561.580113871976</v>
      </c>
      <c r="AI35" s="6">
        <f>IF($C35&lt;(DATE(AI$2,12,31)),AJ35/(1+(Assumptions!$B$14)),0)</f>
        <v>52584.043318426855</v>
      </c>
      <c r="AJ35" s="6">
        <f>IF($C35&lt;(DATE(AJ$2,12,31)),AK35/(1+(Assumptions!$B$14)),0)</f>
        <v>54687.405051163929</v>
      </c>
      <c r="AK35" s="6">
        <f>IF($C35&lt;(DATE(AK$2,12,31)),AL35/(1+(Assumptions!$B$14)),0)</f>
        <v>56874.90125321049</v>
      </c>
      <c r="AL35" s="6">
        <f>IF($C35&lt;(DATE(AL$2,12,31)),AM35/(1+(Assumptions!$B$14)),0)</f>
        <v>59149.897303338912</v>
      </c>
      <c r="AM35" s="6">
        <f>IF($C35&lt;(DATE(AM$2,12,31)),AN35/(1+(Assumptions!$B$14)),0)</f>
        <v>61515.893195472469</v>
      </c>
      <c r="AN35" s="6">
        <f>IF($C35&lt;(DATE(AN$2,12,31)),AO35/(1+(Assumptions!$B$14)),0)</f>
        <v>63976.528923291371</v>
      </c>
      <c r="AO35" s="6">
        <f>IF($C35&lt;(DATE(AO$2,12,31)),AP35/(1+(Assumptions!$B$14)),0)</f>
        <v>66535.590080223032</v>
      </c>
      <c r="AP35" s="6">
        <f>IF($C35&lt;(DATE(AP$2,12,31)),AQ35/(1+(Assumptions!$B$14)),0)</f>
        <v>69197.013683431956</v>
      </c>
      <c r="AQ35" s="6">
        <f>IF($C35&lt;(DATE(AQ$2,12,31)),AR35/(1+(Assumptions!$B$14)),0)</f>
        <v>71964.894230769234</v>
      </c>
      <c r="AR35" s="6">
        <f t="shared" si="0"/>
        <v>74843.490000000005</v>
      </c>
      <c r="AS35" s="6">
        <f>AR35*(1+(Assumptions!$B$15))</f>
        <v>77088.794700000013</v>
      </c>
      <c r="AT35" s="6">
        <f>AS35*(1+(Assumptions!$B$15))</f>
        <v>79401.458541000015</v>
      </c>
      <c r="AU35" s="6">
        <f>AT35*(1+(Assumptions!$B$15))</f>
        <v>81783.502297230021</v>
      </c>
      <c r="AV35" s="6">
        <f>AU35*(1+(Assumptions!$B$15))</f>
        <v>84237.007366146921</v>
      </c>
      <c r="AW35" s="6">
        <f>AV35*(1+(Assumptions!$B$15))</f>
        <v>86764.117587131332</v>
      </c>
      <c r="AX35" s="6">
        <f>AW35*(1+(Assumptions!$B$15))</f>
        <v>89367.041114745269</v>
      </c>
      <c r="AY35" s="6">
        <f>AX35*(1+(Assumptions!$B$15))</f>
        <v>92048.05234818763</v>
      </c>
      <c r="AZ35" s="6">
        <f>AY35*(1+(Assumptions!$B$15))</f>
        <v>94809.493918633263</v>
      </c>
      <c r="BA35" s="6">
        <f>AZ35*(1+(Assumptions!$B$15))</f>
        <v>97653.778736192267</v>
      </c>
      <c r="BB35" s="6">
        <f>BA35*(1+(Assumptions!$B$15))</f>
        <v>100583.39209827804</v>
      </c>
      <c r="BC35" s="6">
        <f>BB35*(1+(Assumptions!$B$15))</f>
        <v>103600.89386122639</v>
      </c>
    </row>
    <row r="36" spans="1:55" x14ac:dyDescent="0.25">
      <c r="A36" s="132">
        <v>600</v>
      </c>
      <c r="B36" s="133">
        <v>742</v>
      </c>
      <c r="C36" s="134">
        <v>37165</v>
      </c>
      <c r="D36" s="134">
        <v>47757</v>
      </c>
      <c r="E36" s="135">
        <v>75668.3</v>
      </c>
      <c r="F36" s="157"/>
      <c r="G36" s="6">
        <f>IF($C36&lt;(DATE(G$2,12,31)),H36/(1+(Assumptions!$B$14)),0)</f>
        <v>0</v>
      </c>
      <c r="H36" s="6">
        <f>IF($C36&lt;(DATE(H$2,12,31)),I36/(1+(Assumptions!$B$14)),0)</f>
        <v>0</v>
      </c>
      <c r="I36" s="6">
        <f>IF($C36&lt;(DATE(I$2,12,31)),J36/(1+(Assumptions!$B$14)),0)</f>
        <v>0</v>
      </c>
      <c r="J36" s="6">
        <f>IF($C36&lt;(DATE(J$2,12,31)),K36/(1+(Assumptions!$B$14)),0)</f>
        <v>0</v>
      </c>
      <c r="K36" s="6">
        <f>IF($C36&lt;(DATE(K$2,12,31)),L36/(1+(Assumptions!$B$14)),0)</f>
        <v>0</v>
      </c>
      <c r="L36" s="6">
        <f>IF($C36&lt;(DATE(L$2,12,31)),M36/(1+(Assumptions!$B$14)),0)</f>
        <v>0</v>
      </c>
      <c r="M36" s="6">
        <f>IF($C36&lt;(DATE(M$2,12,31)),N36/(1+(Assumptions!$B$14)),0)</f>
        <v>0</v>
      </c>
      <c r="N36" s="6">
        <f>IF($C36&lt;(DATE(N$2,12,31)),O36/(1+(Assumptions!$B$14)),0)</f>
        <v>0</v>
      </c>
      <c r="O36" s="6">
        <f>IF($C36&lt;(DATE(O$2,12,31)),P36/(1+(Assumptions!$B$14)),0)</f>
        <v>0</v>
      </c>
      <c r="P36" s="6">
        <f>IF($C36&lt;(DATE(P$2,12,31)),Q36/(1+(Assumptions!$B$14)),0)</f>
        <v>0</v>
      </c>
      <c r="Q36" s="6">
        <f>IF($C36&lt;(DATE(Q$2,12,31)),R36/(1+(Assumptions!$B$14)),0)</f>
        <v>0</v>
      </c>
      <c r="R36" s="6">
        <f>IF($C36&lt;(DATE(R$2,12,31)),S36/(1+(Assumptions!$B$14)),0)</f>
        <v>0</v>
      </c>
      <c r="S36" s="6">
        <f>IF($C36&lt;(DATE(S$2,12,31)),T36/(1+(Assumptions!$B$14)),0)</f>
        <v>0</v>
      </c>
      <c r="T36" s="6">
        <f>IF($C36&lt;(DATE(T$2,12,31)),U36/(1+(Assumptions!$B$14)),0)</f>
        <v>0</v>
      </c>
      <c r="U36" s="6">
        <f>IF($C36&lt;(DATE(U$2,12,31)),V36/(1+(Assumptions!$B$14)),0)</f>
        <v>0</v>
      </c>
      <c r="V36" s="6">
        <f>IF($C36&lt;(DATE(V$2,12,31)),W36/(1+(Assumptions!$B$14)),0)</f>
        <v>0</v>
      </c>
      <c r="W36" s="6">
        <f>IF($C36&lt;(DATE(W$2,12,31)),X36/(1+(Assumptions!$B$14)),0)</f>
        <v>0</v>
      </c>
      <c r="X36" s="6">
        <f>IF($C36&lt;(DATE(X$2,12,31)),Y36/(1+(Assumptions!$B$14)),0)</f>
        <v>0</v>
      </c>
      <c r="Y36" s="6">
        <f>IF($C36&lt;(DATE(Y$2,12,31)),Z36/(1+(Assumptions!$B$14)),0)</f>
        <v>0</v>
      </c>
      <c r="Z36" s="6">
        <f>IF($C36&lt;(DATE(Z$2,12,31)),AA36/(1+(Assumptions!$B$14)),0)</f>
        <v>0</v>
      </c>
      <c r="AA36" s="6">
        <f>IF($C36&lt;(DATE(AA$2,12,31)),AB36/(1+(Assumptions!$B$14)),0)</f>
        <v>0</v>
      </c>
      <c r="AB36" s="6">
        <f>IF($C36&lt;(DATE(AB$2,12,31)),AC36/(1+(Assumptions!$B$14)),0)</f>
        <v>0</v>
      </c>
      <c r="AC36" s="6">
        <f>IF($C36&lt;(DATE(AC$2,12,31)),AD36/(1+(Assumptions!$B$14)),0)</f>
        <v>0</v>
      </c>
      <c r="AD36" s="6">
        <f>IF($C36&lt;(DATE(AD$2,12,31)),AE36/(1+(Assumptions!$B$14)),0)</f>
        <v>0</v>
      </c>
      <c r="AE36" s="6">
        <f>IF($C36&lt;(DATE(AE$2,12,31)),AF36/(1+(Assumptions!$B$14)),0)</f>
        <v>45444.420121864663</v>
      </c>
      <c r="AF36" s="6">
        <f>IF($C36&lt;(DATE(AF$2,12,31)),AG36/(1+(Assumptions!$B$14)),0)</f>
        <v>47262.196926739249</v>
      </c>
      <c r="AG36" s="6">
        <f>IF($C36&lt;(DATE(AG$2,12,31)),AH36/(1+(Assumptions!$B$14)),0)</f>
        <v>49152.684803808821</v>
      </c>
      <c r="AH36" s="6">
        <f>IF($C36&lt;(DATE(AH$2,12,31)),AI36/(1+(Assumptions!$B$14)),0)</f>
        <v>51118.792195961178</v>
      </c>
      <c r="AI36" s="6">
        <f>IF($C36&lt;(DATE(AI$2,12,31)),AJ36/(1+(Assumptions!$B$14)),0)</f>
        <v>53163.543883799626</v>
      </c>
      <c r="AJ36" s="6">
        <f>IF($C36&lt;(DATE(AJ$2,12,31)),AK36/(1+(Assumptions!$B$14)),0)</f>
        <v>55290.085639151614</v>
      </c>
      <c r="AK36" s="6">
        <f>IF($C36&lt;(DATE(AK$2,12,31)),AL36/(1+(Assumptions!$B$14)),0)</f>
        <v>57501.689064717677</v>
      </c>
      <c r="AL36" s="6">
        <f>IF($C36&lt;(DATE(AL$2,12,31)),AM36/(1+(Assumptions!$B$14)),0)</f>
        <v>59801.756627306386</v>
      </c>
      <c r="AM36" s="6">
        <f>IF($C36&lt;(DATE(AM$2,12,31)),AN36/(1+(Assumptions!$B$14)),0)</f>
        <v>62193.826892398647</v>
      </c>
      <c r="AN36" s="6">
        <f>IF($C36&lt;(DATE(AN$2,12,31)),AO36/(1+(Assumptions!$B$14)),0)</f>
        <v>64681.579968094593</v>
      </c>
      <c r="AO36" s="6">
        <f>IF($C36&lt;(DATE(AO$2,12,31)),AP36/(1+(Assumptions!$B$14)),0)</f>
        <v>67268.843166818377</v>
      </c>
      <c r="AP36" s="6">
        <f>IF($C36&lt;(DATE(AP$2,12,31)),AQ36/(1+(Assumptions!$B$14)),0)</f>
        <v>69959.596893491122</v>
      </c>
      <c r="AQ36" s="6">
        <f>IF($C36&lt;(DATE(AQ$2,12,31)),AR36/(1+(Assumptions!$B$14)),0)</f>
        <v>72757.980769230766</v>
      </c>
      <c r="AR36" s="6">
        <f t="shared" si="0"/>
        <v>75668.3</v>
      </c>
      <c r="AS36" s="6">
        <f>AR36*(1+(Assumptions!$B$15))</f>
        <v>77938.349000000002</v>
      </c>
      <c r="AT36" s="6">
        <f>AS36*(1+(Assumptions!$B$15))</f>
        <v>80276.49947000001</v>
      </c>
      <c r="AU36" s="6">
        <f>AT36*(1+(Assumptions!$B$15))</f>
        <v>82684.794454100018</v>
      </c>
      <c r="AV36" s="6">
        <f>AU36*(1+(Assumptions!$B$15))</f>
        <v>85165.338287723018</v>
      </c>
      <c r="AW36" s="6">
        <f>AV36*(1+(Assumptions!$B$15))</f>
        <v>87720.298436354715</v>
      </c>
      <c r="AX36" s="6">
        <f>AW36*(1+(Assumptions!$B$15))</f>
        <v>90351.907389445361</v>
      </c>
      <c r="AY36" s="6">
        <f>AX36*(1+(Assumptions!$B$15))</f>
        <v>93062.464611128729</v>
      </c>
      <c r="AZ36" s="6">
        <f>AY36*(1+(Assumptions!$B$15))</f>
        <v>95854.338549462598</v>
      </c>
      <c r="BA36" s="6">
        <f>AZ36*(1+(Assumptions!$B$15))</f>
        <v>98729.968705946478</v>
      </c>
      <c r="BB36" s="6">
        <f>BA36*(1+(Assumptions!$B$15))</f>
        <v>101691.86776712487</v>
      </c>
      <c r="BC36" s="6">
        <f>BB36*(1+(Assumptions!$B$15))</f>
        <v>104742.62380013862</v>
      </c>
    </row>
    <row r="37" spans="1:55" x14ac:dyDescent="0.25">
      <c r="A37" s="132">
        <v>600</v>
      </c>
      <c r="B37" s="133">
        <v>740</v>
      </c>
      <c r="C37" s="134">
        <v>37144</v>
      </c>
      <c r="D37" s="134">
        <v>51167</v>
      </c>
      <c r="E37" s="135">
        <v>77317.919999999998</v>
      </c>
      <c r="F37" s="157"/>
      <c r="G37" s="6">
        <f>IF($C37&lt;(DATE(G$2,12,31)),H37/(1+(Assumptions!$B$14)),0)</f>
        <v>0</v>
      </c>
      <c r="H37" s="6">
        <f>IF($C37&lt;(DATE(H$2,12,31)),I37/(1+(Assumptions!$B$14)),0)</f>
        <v>0</v>
      </c>
      <c r="I37" s="6">
        <f>IF($C37&lt;(DATE(I$2,12,31)),J37/(1+(Assumptions!$B$14)),0)</f>
        <v>0</v>
      </c>
      <c r="J37" s="6">
        <f>IF($C37&lt;(DATE(J$2,12,31)),K37/(1+(Assumptions!$B$14)),0)</f>
        <v>0</v>
      </c>
      <c r="K37" s="6">
        <f>IF($C37&lt;(DATE(K$2,12,31)),L37/(1+(Assumptions!$B$14)),0)</f>
        <v>0</v>
      </c>
      <c r="L37" s="6">
        <f>IF($C37&lt;(DATE(L$2,12,31)),M37/(1+(Assumptions!$B$14)),0)</f>
        <v>0</v>
      </c>
      <c r="M37" s="6">
        <f>IF($C37&lt;(DATE(M$2,12,31)),N37/(1+(Assumptions!$B$14)),0)</f>
        <v>0</v>
      </c>
      <c r="N37" s="6">
        <f>IF($C37&lt;(DATE(N$2,12,31)),O37/(1+(Assumptions!$B$14)),0)</f>
        <v>0</v>
      </c>
      <c r="O37" s="6">
        <f>IF($C37&lt;(DATE(O$2,12,31)),P37/(1+(Assumptions!$B$14)),0)</f>
        <v>0</v>
      </c>
      <c r="P37" s="6">
        <f>IF($C37&lt;(DATE(P$2,12,31)),Q37/(1+(Assumptions!$B$14)),0)</f>
        <v>0</v>
      </c>
      <c r="Q37" s="6">
        <f>IF($C37&lt;(DATE(Q$2,12,31)),R37/(1+(Assumptions!$B$14)),0)</f>
        <v>0</v>
      </c>
      <c r="R37" s="6">
        <f>IF($C37&lt;(DATE(R$2,12,31)),S37/(1+(Assumptions!$B$14)),0)</f>
        <v>0</v>
      </c>
      <c r="S37" s="6">
        <f>IF($C37&lt;(DATE(S$2,12,31)),T37/(1+(Assumptions!$B$14)),0)</f>
        <v>0</v>
      </c>
      <c r="T37" s="6">
        <f>IF($C37&lt;(DATE(T$2,12,31)),U37/(1+(Assumptions!$B$14)),0)</f>
        <v>0</v>
      </c>
      <c r="U37" s="6">
        <f>IF($C37&lt;(DATE(U$2,12,31)),V37/(1+(Assumptions!$B$14)),0)</f>
        <v>0</v>
      </c>
      <c r="V37" s="6">
        <f>IF($C37&lt;(DATE(V$2,12,31)),W37/(1+(Assumptions!$B$14)),0)</f>
        <v>0</v>
      </c>
      <c r="W37" s="6">
        <f>IF($C37&lt;(DATE(W$2,12,31)),X37/(1+(Assumptions!$B$14)),0)</f>
        <v>0</v>
      </c>
      <c r="X37" s="6">
        <f>IF($C37&lt;(DATE(X$2,12,31)),Y37/(1+(Assumptions!$B$14)),0)</f>
        <v>0</v>
      </c>
      <c r="Y37" s="6">
        <f>IF($C37&lt;(DATE(Y$2,12,31)),Z37/(1+(Assumptions!$B$14)),0)</f>
        <v>0</v>
      </c>
      <c r="Z37" s="6">
        <f>IF($C37&lt;(DATE(Z$2,12,31)),AA37/(1+(Assumptions!$B$14)),0)</f>
        <v>0</v>
      </c>
      <c r="AA37" s="6">
        <f>IF($C37&lt;(DATE(AA$2,12,31)),AB37/(1+(Assumptions!$B$14)),0)</f>
        <v>0</v>
      </c>
      <c r="AB37" s="6">
        <f>IF($C37&lt;(DATE(AB$2,12,31)),AC37/(1+(Assumptions!$B$14)),0)</f>
        <v>0</v>
      </c>
      <c r="AC37" s="6">
        <f>IF($C37&lt;(DATE(AC$2,12,31)),AD37/(1+(Assumptions!$B$14)),0)</f>
        <v>0</v>
      </c>
      <c r="AD37" s="6">
        <f>IF($C37&lt;(DATE(AD$2,12,31)),AE37/(1+(Assumptions!$B$14)),0)</f>
        <v>0</v>
      </c>
      <c r="AE37" s="6">
        <f>IF($C37&lt;(DATE(AE$2,12,31)),AF37/(1+(Assumptions!$B$14)),0)</f>
        <v>46435.139145834153</v>
      </c>
      <c r="AF37" s="6">
        <f>IF($C37&lt;(DATE(AF$2,12,31)),AG37/(1+(Assumptions!$B$14)),0)</f>
        <v>48292.54471166752</v>
      </c>
      <c r="AG37" s="6">
        <f>IF($C37&lt;(DATE(AG$2,12,31)),AH37/(1+(Assumptions!$B$14)),0)</f>
        <v>50224.246500134221</v>
      </c>
      <c r="AH37" s="6">
        <f>IF($C37&lt;(DATE(AH$2,12,31)),AI37/(1+(Assumptions!$B$14)),0)</f>
        <v>52233.216360139595</v>
      </c>
      <c r="AI37" s="6">
        <f>IF($C37&lt;(DATE(AI$2,12,31)),AJ37/(1+(Assumptions!$B$14)),0)</f>
        <v>54322.545014545183</v>
      </c>
      <c r="AJ37" s="6">
        <f>IF($C37&lt;(DATE(AJ$2,12,31)),AK37/(1+(Assumptions!$B$14)),0)</f>
        <v>56495.44681512699</v>
      </c>
      <c r="AK37" s="6">
        <f>IF($C37&lt;(DATE(AK$2,12,31)),AL37/(1+(Assumptions!$B$14)),0)</f>
        <v>58755.264687732073</v>
      </c>
      <c r="AL37" s="6">
        <f>IF($C37&lt;(DATE(AL$2,12,31)),AM37/(1+(Assumptions!$B$14)),0)</f>
        <v>61105.475275241355</v>
      </c>
      <c r="AM37" s="6">
        <f>IF($C37&lt;(DATE(AM$2,12,31)),AN37/(1+(Assumptions!$B$14)),0)</f>
        <v>63549.694286251011</v>
      </c>
      <c r="AN37" s="6">
        <f>IF($C37&lt;(DATE(AN$2,12,31)),AO37/(1+(Assumptions!$B$14)),0)</f>
        <v>66091.682057701051</v>
      </c>
      <c r="AO37" s="6">
        <f>IF($C37&lt;(DATE(AO$2,12,31)),AP37/(1+(Assumptions!$B$14)),0)</f>
        <v>68735.349340009096</v>
      </c>
      <c r="AP37" s="6">
        <f>IF($C37&lt;(DATE(AP$2,12,31)),AQ37/(1+(Assumptions!$B$14)),0)</f>
        <v>71484.763313609466</v>
      </c>
      <c r="AQ37" s="6">
        <f>IF($C37&lt;(DATE(AQ$2,12,31)),AR37/(1+(Assumptions!$B$14)),0)</f>
        <v>74344.153846153844</v>
      </c>
      <c r="AR37" s="6">
        <f t="shared" si="0"/>
        <v>77317.919999999998</v>
      </c>
      <c r="AS37" s="6">
        <f>AR37*(1+(Assumptions!$B$15))</f>
        <v>79637.457599999994</v>
      </c>
      <c r="AT37" s="6">
        <f>AS37*(1+(Assumptions!$B$15))</f>
        <v>82026.581328</v>
      </c>
      <c r="AU37" s="6">
        <f>AT37*(1+(Assumptions!$B$15))</f>
        <v>84487.378767839997</v>
      </c>
      <c r="AV37" s="6">
        <f>AU37*(1+(Assumptions!$B$15))</f>
        <v>87022.000130875196</v>
      </c>
      <c r="AW37" s="6">
        <f>AV37*(1+(Assumptions!$B$15))</f>
        <v>89632.660134801452</v>
      </c>
      <c r="AX37" s="6">
        <f>AW37*(1+(Assumptions!$B$15))</f>
        <v>92321.639938845503</v>
      </c>
      <c r="AY37" s="6">
        <f>AX37*(1+(Assumptions!$B$15))</f>
        <v>95091.28913701087</v>
      </c>
      <c r="AZ37" s="6">
        <f>AY37*(1+(Assumptions!$B$15))</f>
        <v>97944.027811121196</v>
      </c>
      <c r="BA37" s="6">
        <f>AZ37*(1+(Assumptions!$B$15))</f>
        <v>100882.34864545484</v>
      </c>
      <c r="BB37" s="6">
        <f>BA37*(1+(Assumptions!$B$15))</f>
        <v>103908.81910481848</v>
      </c>
      <c r="BC37" s="6">
        <f>BB37*(1+(Assumptions!$B$15))</f>
        <v>107026.08367796303</v>
      </c>
    </row>
    <row r="38" spans="1:55" x14ac:dyDescent="0.25">
      <c r="A38" s="132">
        <v>600</v>
      </c>
      <c r="B38" s="133">
        <v>734</v>
      </c>
      <c r="C38" s="134">
        <v>36937</v>
      </c>
      <c r="D38" s="134">
        <v>44531</v>
      </c>
      <c r="E38" s="135">
        <v>78967.55</v>
      </c>
      <c r="F38" s="157"/>
      <c r="G38" s="6">
        <f>IF($C38&lt;(DATE(G$2,12,31)),H38/(1+(Assumptions!$B$14)),0)</f>
        <v>0</v>
      </c>
      <c r="H38" s="6">
        <f>IF($C38&lt;(DATE(H$2,12,31)),I38/(1+(Assumptions!$B$14)),0)</f>
        <v>0</v>
      </c>
      <c r="I38" s="6">
        <f>IF($C38&lt;(DATE(I$2,12,31)),J38/(1+(Assumptions!$B$14)),0)</f>
        <v>0</v>
      </c>
      <c r="J38" s="6">
        <f>IF($C38&lt;(DATE(J$2,12,31)),K38/(1+(Assumptions!$B$14)),0)</f>
        <v>0</v>
      </c>
      <c r="K38" s="6">
        <f>IF($C38&lt;(DATE(K$2,12,31)),L38/(1+(Assumptions!$B$14)),0)</f>
        <v>0</v>
      </c>
      <c r="L38" s="6">
        <f>IF($C38&lt;(DATE(L$2,12,31)),M38/(1+(Assumptions!$B$14)),0)</f>
        <v>0</v>
      </c>
      <c r="M38" s="6">
        <f>IF($C38&lt;(DATE(M$2,12,31)),N38/(1+(Assumptions!$B$14)),0)</f>
        <v>0</v>
      </c>
      <c r="N38" s="6">
        <f>IF($C38&lt;(DATE(N$2,12,31)),O38/(1+(Assumptions!$B$14)),0)</f>
        <v>0</v>
      </c>
      <c r="O38" s="6">
        <f>IF($C38&lt;(DATE(O$2,12,31)),P38/(1+(Assumptions!$B$14)),0)</f>
        <v>0</v>
      </c>
      <c r="P38" s="6">
        <f>IF($C38&lt;(DATE(P$2,12,31)),Q38/(1+(Assumptions!$B$14)),0)</f>
        <v>0</v>
      </c>
      <c r="Q38" s="6">
        <f>IF($C38&lt;(DATE(Q$2,12,31)),R38/(1+(Assumptions!$B$14)),0)</f>
        <v>0</v>
      </c>
      <c r="R38" s="6">
        <f>IF($C38&lt;(DATE(R$2,12,31)),S38/(1+(Assumptions!$B$14)),0)</f>
        <v>0</v>
      </c>
      <c r="S38" s="6">
        <f>IF($C38&lt;(DATE(S$2,12,31)),T38/(1+(Assumptions!$B$14)),0)</f>
        <v>0</v>
      </c>
      <c r="T38" s="6">
        <f>IF($C38&lt;(DATE(T$2,12,31)),U38/(1+(Assumptions!$B$14)),0)</f>
        <v>0</v>
      </c>
      <c r="U38" s="6">
        <f>IF($C38&lt;(DATE(U$2,12,31)),V38/(1+(Assumptions!$B$14)),0)</f>
        <v>0</v>
      </c>
      <c r="V38" s="6">
        <f>IF($C38&lt;(DATE(V$2,12,31)),W38/(1+(Assumptions!$B$14)),0)</f>
        <v>0</v>
      </c>
      <c r="W38" s="6">
        <f>IF($C38&lt;(DATE(W$2,12,31)),X38/(1+(Assumptions!$B$14)),0)</f>
        <v>0</v>
      </c>
      <c r="X38" s="6">
        <f>IF($C38&lt;(DATE(X$2,12,31)),Y38/(1+(Assumptions!$B$14)),0)</f>
        <v>0</v>
      </c>
      <c r="Y38" s="6">
        <f>IF($C38&lt;(DATE(Y$2,12,31)),Z38/(1+(Assumptions!$B$14)),0)</f>
        <v>0</v>
      </c>
      <c r="Z38" s="6">
        <f>IF($C38&lt;(DATE(Z$2,12,31)),AA38/(1+(Assumptions!$B$14)),0)</f>
        <v>0</v>
      </c>
      <c r="AA38" s="6">
        <f>IF($C38&lt;(DATE(AA$2,12,31)),AB38/(1+(Assumptions!$B$14)),0)</f>
        <v>0</v>
      </c>
      <c r="AB38" s="6">
        <f>IF($C38&lt;(DATE(AB$2,12,31)),AC38/(1+(Assumptions!$B$14)),0)</f>
        <v>0</v>
      </c>
      <c r="AC38" s="6">
        <f>IF($C38&lt;(DATE(AC$2,12,31)),AD38/(1+(Assumptions!$B$14)),0)</f>
        <v>0</v>
      </c>
      <c r="AD38" s="6">
        <f>IF($C38&lt;(DATE(AD$2,12,31)),AE38/(1+(Assumptions!$B$14)),0)</f>
        <v>0</v>
      </c>
      <c r="AE38" s="6">
        <f>IF($C38&lt;(DATE(AE$2,12,31)),AF38/(1+(Assumptions!$B$14)),0)</f>
        <v>47425.864175544484</v>
      </c>
      <c r="AF38" s="6">
        <f>IF($C38&lt;(DATE(AF$2,12,31)),AG38/(1+(Assumptions!$B$14)),0)</f>
        <v>49322.898742566264</v>
      </c>
      <c r="AG38" s="6">
        <f>IF($C38&lt;(DATE(AG$2,12,31)),AH38/(1+(Assumptions!$B$14)),0)</f>
        <v>51295.814692268919</v>
      </c>
      <c r="AH38" s="6">
        <f>IF($C38&lt;(DATE(AH$2,12,31)),AI38/(1+(Assumptions!$B$14)),0)</f>
        <v>53347.647279959681</v>
      </c>
      <c r="AI38" s="6">
        <f>IF($C38&lt;(DATE(AI$2,12,31)),AJ38/(1+(Assumptions!$B$14)),0)</f>
        <v>55481.55317115807</v>
      </c>
      <c r="AJ38" s="6">
        <f>IF($C38&lt;(DATE(AJ$2,12,31)),AK38/(1+(Assumptions!$B$14)),0)</f>
        <v>57700.815298004396</v>
      </c>
      <c r="AK38" s="6">
        <f>IF($C38&lt;(DATE(AK$2,12,31)),AL38/(1+(Assumptions!$B$14)),0)</f>
        <v>60008.847909924574</v>
      </c>
      <c r="AL38" s="6">
        <f>IF($C38&lt;(DATE(AL$2,12,31)),AM38/(1+(Assumptions!$B$14)),0)</f>
        <v>62409.201826321558</v>
      </c>
      <c r="AM38" s="6">
        <f>IF($C38&lt;(DATE(AM$2,12,31)),AN38/(1+(Assumptions!$B$14)),0)</f>
        <v>64905.569899374423</v>
      </c>
      <c r="AN38" s="6">
        <f>IF($C38&lt;(DATE(AN$2,12,31)),AO38/(1+(Assumptions!$B$14)),0)</f>
        <v>67501.792695349402</v>
      </c>
      <c r="AO38" s="6">
        <f>IF($C38&lt;(DATE(AO$2,12,31)),AP38/(1+(Assumptions!$B$14)),0)</f>
        <v>70201.864403163388</v>
      </c>
      <c r="AP38" s="6">
        <f>IF($C38&lt;(DATE(AP$2,12,31)),AQ38/(1+(Assumptions!$B$14)),0)</f>
        <v>73009.938979289931</v>
      </c>
      <c r="AQ38" s="6">
        <f>IF($C38&lt;(DATE(AQ$2,12,31)),AR38/(1+(Assumptions!$B$14)),0)</f>
        <v>75930.336538461532</v>
      </c>
      <c r="AR38" s="6">
        <f t="shared" si="0"/>
        <v>78967.55</v>
      </c>
      <c r="AS38" s="6">
        <f>AR38*(1+(Assumptions!$B$15))</f>
        <v>81336.57650000001</v>
      </c>
      <c r="AT38" s="6">
        <f>AS38*(1+(Assumptions!$B$15))</f>
        <v>83776.67379500001</v>
      </c>
      <c r="AU38" s="6">
        <f>AT38*(1+(Assumptions!$B$15))</f>
        <v>86289.974008850011</v>
      </c>
      <c r="AV38" s="6">
        <f>AU38*(1+(Assumptions!$B$15))</f>
        <v>88878.67322911552</v>
      </c>
      <c r="AW38" s="6">
        <f>AV38*(1+(Assumptions!$B$15))</f>
        <v>91545.033425988993</v>
      </c>
      <c r="AX38" s="6">
        <f>AW38*(1+(Assumptions!$B$15))</f>
        <v>94291.384428768666</v>
      </c>
      <c r="AY38" s="6">
        <f>AX38*(1+(Assumptions!$B$15))</f>
        <v>97120.125961631726</v>
      </c>
      <c r="AZ38" s="6">
        <f>AY38*(1+(Assumptions!$B$15))</f>
        <v>100033.72974048067</v>
      </c>
      <c r="BA38" s="6">
        <f>AZ38*(1+(Assumptions!$B$15))</f>
        <v>103034.74163269509</v>
      </c>
      <c r="BB38" s="6">
        <f>BA38*(1+(Assumptions!$B$15))</f>
        <v>106125.78388167595</v>
      </c>
      <c r="BC38" s="6">
        <f>BB38*(1+(Assumptions!$B$15))</f>
        <v>109309.55739812623</v>
      </c>
    </row>
    <row r="39" spans="1:55" x14ac:dyDescent="0.25">
      <c r="A39" s="132">
        <v>600</v>
      </c>
      <c r="B39" s="133">
        <v>732</v>
      </c>
      <c r="C39" s="134">
        <v>36794</v>
      </c>
      <c r="D39" s="134">
        <v>51622</v>
      </c>
      <c r="E39" s="135">
        <v>79792.36</v>
      </c>
      <c r="F39" s="157"/>
      <c r="G39" s="6">
        <f>IF($C39&lt;(DATE(G$2,12,31)),H39/(1+(Assumptions!$B$14)),0)</f>
        <v>0</v>
      </c>
      <c r="H39" s="6">
        <f>IF($C39&lt;(DATE(H$2,12,31)),I39/(1+(Assumptions!$B$14)),0)</f>
        <v>0</v>
      </c>
      <c r="I39" s="6">
        <f>IF($C39&lt;(DATE(I$2,12,31)),J39/(1+(Assumptions!$B$14)),0)</f>
        <v>0</v>
      </c>
      <c r="J39" s="6">
        <f>IF($C39&lt;(DATE(J$2,12,31)),K39/(1+(Assumptions!$B$14)),0)</f>
        <v>0</v>
      </c>
      <c r="K39" s="6">
        <f>IF($C39&lt;(DATE(K$2,12,31)),L39/(1+(Assumptions!$B$14)),0)</f>
        <v>0</v>
      </c>
      <c r="L39" s="6">
        <f>IF($C39&lt;(DATE(L$2,12,31)),M39/(1+(Assumptions!$B$14)),0)</f>
        <v>0</v>
      </c>
      <c r="M39" s="6">
        <f>IF($C39&lt;(DATE(M$2,12,31)),N39/(1+(Assumptions!$B$14)),0)</f>
        <v>0</v>
      </c>
      <c r="N39" s="6">
        <f>IF($C39&lt;(DATE(N$2,12,31)),O39/(1+(Assumptions!$B$14)),0)</f>
        <v>0</v>
      </c>
      <c r="O39" s="6">
        <f>IF($C39&lt;(DATE(O$2,12,31)),P39/(1+(Assumptions!$B$14)),0)</f>
        <v>0</v>
      </c>
      <c r="P39" s="6">
        <f>IF($C39&lt;(DATE(P$2,12,31)),Q39/(1+(Assumptions!$B$14)),0)</f>
        <v>0</v>
      </c>
      <c r="Q39" s="6">
        <f>IF($C39&lt;(DATE(Q$2,12,31)),R39/(1+(Assumptions!$B$14)),0)</f>
        <v>0</v>
      </c>
      <c r="R39" s="6">
        <f>IF($C39&lt;(DATE(R$2,12,31)),S39/(1+(Assumptions!$B$14)),0)</f>
        <v>0</v>
      </c>
      <c r="S39" s="6">
        <f>IF($C39&lt;(DATE(S$2,12,31)),T39/(1+(Assumptions!$B$14)),0)</f>
        <v>0</v>
      </c>
      <c r="T39" s="6">
        <f>IF($C39&lt;(DATE(T$2,12,31)),U39/(1+(Assumptions!$B$14)),0)</f>
        <v>0</v>
      </c>
      <c r="U39" s="6">
        <f>IF($C39&lt;(DATE(U$2,12,31)),V39/(1+(Assumptions!$B$14)),0)</f>
        <v>0</v>
      </c>
      <c r="V39" s="6">
        <f>IF($C39&lt;(DATE(V$2,12,31)),W39/(1+(Assumptions!$B$14)),0)</f>
        <v>0</v>
      </c>
      <c r="W39" s="6">
        <f>IF($C39&lt;(DATE(W$2,12,31)),X39/(1+(Assumptions!$B$14)),0)</f>
        <v>0</v>
      </c>
      <c r="X39" s="6">
        <f>IF($C39&lt;(DATE(X$2,12,31)),Y39/(1+(Assumptions!$B$14)),0)</f>
        <v>0</v>
      </c>
      <c r="Y39" s="6">
        <f>IF($C39&lt;(DATE(Y$2,12,31)),Z39/(1+(Assumptions!$B$14)),0)</f>
        <v>0</v>
      </c>
      <c r="Z39" s="6">
        <f>IF($C39&lt;(DATE(Z$2,12,31)),AA39/(1+(Assumptions!$B$14)),0)</f>
        <v>0</v>
      </c>
      <c r="AA39" s="6">
        <f>IF($C39&lt;(DATE(AA$2,12,31)),AB39/(1+(Assumptions!$B$14)),0)</f>
        <v>0</v>
      </c>
      <c r="AB39" s="6">
        <f>IF($C39&lt;(DATE(AB$2,12,31)),AC39/(1+(Assumptions!$B$14)),0)</f>
        <v>0</v>
      </c>
      <c r="AC39" s="6">
        <f>IF($C39&lt;(DATE(AC$2,12,31)),AD39/(1+(Assumptions!$B$14)),0)</f>
        <v>0</v>
      </c>
      <c r="AD39" s="6">
        <f>IF($C39&lt;(DATE(AD$2,12,31)),AE39/(1+(Assumptions!$B$14)),0)</f>
        <v>46078.099699547354</v>
      </c>
      <c r="AE39" s="6">
        <f>IF($C39&lt;(DATE(AE$2,12,31)),AF39/(1+(Assumptions!$B$14)),0)</f>
        <v>47921.223687529251</v>
      </c>
      <c r="AF39" s="6">
        <f>IF($C39&lt;(DATE(AF$2,12,31)),AG39/(1+(Assumptions!$B$14)),0)</f>
        <v>49838.072635030425</v>
      </c>
      <c r="AG39" s="6">
        <f>IF($C39&lt;(DATE(AG$2,12,31)),AH39/(1+(Assumptions!$B$14)),0)</f>
        <v>51831.595540431641</v>
      </c>
      <c r="AH39" s="6">
        <f>IF($C39&lt;(DATE(AH$2,12,31)),AI39/(1+(Assumptions!$B$14)),0)</f>
        <v>53904.859362048912</v>
      </c>
      <c r="AI39" s="6">
        <f>IF($C39&lt;(DATE(AI$2,12,31)),AJ39/(1+(Assumptions!$B$14)),0)</f>
        <v>56061.05373653087</v>
      </c>
      <c r="AJ39" s="6">
        <f>IF($C39&lt;(DATE(AJ$2,12,31)),AK39/(1+(Assumptions!$B$14)),0)</f>
        <v>58303.49588599211</v>
      </c>
      <c r="AK39" s="6">
        <f>IF($C39&lt;(DATE(AK$2,12,31)),AL39/(1+(Assumptions!$B$14)),0)</f>
        <v>60635.635721431798</v>
      </c>
      <c r="AL39" s="6">
        <f>IF($C39&lt;(DATE(AL$2,12,31)),AM39/(1+(Assumptions!$B$14)),0)</f>
        <v>63061.061150289075</v>
      </c>
      <c r="AM39" s="6">
        <f>IF($C39&lt;(DATE(AM$2,12,31)),AN39/(1+(Assumptions!$B$14)),0)</f>
        <v>65583.503596300638</v>
      </c>
      <c r="AN39" s="6">
        <f>IF($C39&lt;(DATE(AN$2,12,31)),AO39/(1+(Assumptions!$B$14)),0)</f>
        <v>68206.843740152661</v>
      </c>
      <c r="AO39" s="6">
        <f>IF($C39&lt;(DATE(AO$2,12,31)),AP39/(1+(Assumptions!$B$14)),0)</f>
        <v>70935.117489758763</v>
      </c>
      <c r="AP39" s="6">
        <f>IF($C39&lt;(DATE(AP$2,12,31)),AQ39/(1+(Assumptions!$B$14)),0)</f>
        <v>73772.522189349111</v>
      </c>
      <c r="AQ39" s="6">
        <f>IF($C39&lt;(DATE(AQ$2,12,31)),AR39/(1+(Assumptions!$B$14)),0)</f>
        <v>76723.423076923078</v>
      </c>
      <c r="AR39" s="6">
        <f t="shared" si="0"/>
        <v>79792.36</v>
      </c>
      <c r="AS39" s="6">
        <f>AR39*(1+(Assumptions!$B$15))</f>
        <v>82186.130799999999</v>
      </c>
      <c r="AT39" s="6">
        <f>AS39*(1+(Assumptions!$B$15))</f>
        <v>84651.714724000005</v>
      </c>
      <c r="AU39" s="6">
        <f>AT39*(1+(Assumptions!$B$15))</f>
        <v>87191.266165720008</v>
      </c>
      <c r="AV39" s="6">
        <f>AU39*(1+(Assumptions!$B$15))</f>
        <v>89807.004150691617</v>
      </c>
      <c r="AW39" s="6">
        <f>AV39*(1+(Assumptions!$B$15))</f>
        <v>92501.214275212362</v>
      </c>
      <c r="AX39" s="6">
        <f>AW39*(1+(Assumptions!$B$15))</f>
        <v>95276.25070346873</v>
      </c>
      <c r="AY39" s="6">
        <f>AX39*(1+(Assumptions!$B$15))</f>
        <v>98134.538224572796</v>
      </c>
      <c r="AZ39" s="6">
        <f>AY39*(1+(Assumptions!$B$15))</f>
        <v>101078.57437130998</v>
      </c>
      <c r="BA39" s="6">
        <f>AZ39*(1+(Assumptions!$B$15))</f>
        <v>104110.93160244929</v>
      </c>
      <c r="BB39" s="6">
        <f>BA39*(1+(Assumptions!$B$15))</f>
        <v>107234.25955052277</v>
      </c>
      <c r="BC39" s="6">
        <f>BB39*(1+(Assumptions!$B$15))</f>
        <v>110451.28733703845</v>
      </c>
    </row>
    <row r="40" spans="1:55" x14ac:dyDescent="0.25">
      <c r="A40" s="132">
        <v>600</v>
      </c>
      <c r="B40" s="133">
        <v>730</v>
      </c>
      <c r="C40" s="134">
        <v>36712</v>
      </c>
      <c r="D40" s="134">
        <v>49126</v>
      </c>
      <c r="E40" s="135">
        <v>80617.17</v>
      </c>
      <c r="F40" s="157"/>
      <c r="G40" s="6">
        <f>IF($C40&lt;(DATE(G$2,12,31)),H40/(1+(Assumptions!$B$14)),0)</f>
        <v>0</v>
      </c>
      <c r="H40" s="6">
        <f>IF($C40&lt;(DATE(H$2,12,31)),I40/(1+(Assumptions!$B$14)),0)</f>
        <v>0</v>
      </c>
      <c r="I40" s="6">
        <f>IF($C40&lt;(DATE(I$2,12,31)),J40/(1+(Assumptions!$B$14)),0)</f>
        <v>0</v>
      </c>
      <c r="J40" s="6">
        <f>IF($C40&lt;(DATE(J$2,12,31)),K40/(1+(Assumptions!$B$14)),0)</f>
        <v>0</v>
      </c>
      <c r="K40" s="6">
        <f>IF($C40&lt;(DATE(K$2,12,31)),L40/(1+(Assumptions!$B$14)),0)</f>
        <v>0</v>
      </c>
      <c r="L40" s="6">
        <f>IF($C40&lt;(DATE(L$2,12,31)),M40/(1+(Assumptions!$B$14)),0)</f>
        <v>0</v>
      </c>
      <c r="M40" s="6">
        <f>IF($C40&lt;(DATE(M$2,12,31)),N40/(1+(Assumptions!$B$14)),0)</f>
        <v>0</v>
      </c>
      <c r="N40" s="6">
        <f>IF($C40&lt;(DATE(N$2,12,31)),O40/(1+(Assumptions!$B$14)),0)</f>
        <v>0</v>
      </c>
      <c r="O40" s="6">
        <f>IF($C40&lt;(DATE(O$2,12,31)),P40/(1+(Assumptions!$B$14)),0)</f>
        <v>0</v>
      </c>
      <c r="P40" s="6">
        <f>IF($C40&lt;(DATE(P$2,12,31)),Q40/(1+(Assumptions!$B$14)),0)</f>
        <v>0</v>
      </c>
      <c r="Q40" s="6">
        <f>IF($C40&lt;(DATE(Q$2,12,31)),R40/(1+(Assumptions!$B$14)),0)</f>
        <v>0</v>
      </c>
      <c r="R40" s="6">
        <f>IF($C40&lt;(DATE(R$2,12,31)),S40/(1+(Assumptions!$B$14)),0)</f>
        <v>0</v>
      </c>
      <c r="S40" s="6">
        <f>IF($C40&lt;(DATE(S$2,12,31)),T40/(1+(Assumptions!$B$14)),0)</f>
        <v>0</v>
      </c>
      <c r="T40" s="6">
        <f>IF($C40&lt;(DATE(T$2,12,31)),U40/(1+(Assumptions!$B$14)),0)</f>
        <v>0</v>
      </c>
      <c r="U40" s="6">
        <f>IF($C40&lt;(DATE(U$2,12,31)),V40/(1+(Assumptions!$B$14)),0)</f>
        <v>0</v>
      </c>
      <c r="V40" s="6">
        <f>IF($C40&lt;(DATE(V$2,12,31)),W40/(1+(Assumptions!$B$14)),0)</f>
        <v>0</v>
      </c>
      <c r="W40" s="6">
        <f>IF($C40&lt;(DATE(W$2,12,31)),X40/(1+(Assumptions!$B$14)),0)</f>
        <v>0</v>
      </c>
      <c r="X40" s="6">
        <f>IF($C40&lt;(DATE(X$2,12,31)),Y40/(1+(Assumptions!$B$14)),0)</f>
        <v>0</v>
      </c>
      <c r="Y40" s="6">
        <f>IF($C40&lt;(DATE(Y$2,12,31)),Z40/(1+(Assumptions!$B$14)),0)</f>
        <v>0</v>
      </c>
      <c r="Z40" s="6">
        <f>IF($C40&lt;(DATE(Z$2,12,31)),AA40/(1+(Assumptions!$B$14)),0)</f>
        <v>0</v>
      </c>
      <c r="AA40" s="6">
        <f>IF($C40&lt;(DATE(AA$2,12,31)),AB40/(1+(Assumptions!$B$14)),0)</f>
        <v>0</v>
      </c>
      <c r="AB40" s="6">
        <f>IF($C40&lt;(DATE(AB$2,12,31)),AC40/(1+(Assumptions!$B$14)),0)</f>
        <v>0</v>
      </c>
      <c r="AC40" s="6">
        <f>IF($C40&lt;(DATE(AC$2,12,31)),AD40/(1+(Assumptions!$B$14)),0)</f>
        <v>0</v>
      </c>
      <c r="AD40" s="6">
        <f>IF($C40&lt;(DATE(AD$2,12,31)),AE40/(1+(Assumptions!$B$14)),0)</f>
        <v>46554.406922609603</v>
      </c>
      <c r="AE40" s="6">
        <f>IF($C40&lt;(DATE(AE$2,12,31)),AF40/(1+(Assumptions!$B$14)),0)</f>
        <v>48416.583199513989</v>
      </c>
      <c r="AF40" s="6">
        <f>IF($C40&lt;(DATE(AF$2,12,31)),AG40/(1+(Assumptions!$B$14)),0)</f>
        <v>50353.24652749455</v>
      </c>
      <c r="AG40" s="6">
        <f>IF($C40&lt;(DATE(AG$2,12,31)),AH40/(1+(Assumptions!$B$14)),0)</f>
        <v>52367.376388594334</v>
      </c>
      <c r="AH40" s="6">
        <f>IF($C40&lt;(DATE(AH$2,12,31)),AI40/(1+(Assumptions!$B$14)),0)</f>
        <v>54462.071444138106</v>
      </c>
      <c r="AI40" s="6">
        <f>IF($C40&lt;(DATE(AI$2,12,31)),AJ40/(1+(Assumptions!$B$14)),0)</f>
        <v>56640.554301903634</v>
      </c>
      <c r="AJ40" s="6">
        <f>IF($C40&lt;(DATE(AJ$2,12,31)),AK40/(1+(Assumptions!$B$14)),0)</f>
        <v>58906.17647397978</v>
      </c>
      <c r="AK40" s="6">
        <f>IF($C40&lt;(DATE(AK$2,12,31)),AL40/(1+(Assumptions!$B$14)),0)</f>
        <v>61262.42353293897</v>
      </c>
      <c r="AL40" s="6">
        <f>IF($C40&lt;(DATE(AL$2,12,31)),AM40/(1+(Assumptions!$B$14)),0)</f>
        <v>63712.920474256534</v>
      </c>
      <c r="AM40" s="6">
        <f>IF($C40&lt;(DATE(AM$2,12,31)),AN40/(1+(Assumptions!$B$14)),0)</f>
        <v>66261.437293226802</v>
      </c>
      <c r="AN40" s="6">
        <f>IF($C40&lt;(DATE(AN$2,12,31)),AO40/(1+(Assumptions!$B$14)),0)</f>
        <v>68911.894784955875</v>
      </c>
      <c r="AO40" s="6">
        <f>IF($C40&lt;(DATE(AO$2,12,31)),AP40/(1+(Assumptions!$B$14)),0)</f>
        <v>71668.370576354107</v>
      </c>
      <c r="AP40" s="6">
        <f>IF($C40&lt;(DATE(AP$2,12,31)),AQ40/(1+(Assumptions!$B$14)),0)</f>
        <v>74535.105399408276</v>
      </c>
      <c r="AQ40" s="6">
        <f>IF($C40&lt;(DATE(AQ$2,12,31)),AR40/(1+(Assumptions!$B$14)),0)</f>
        <v>77516.50961538461</v>
      </c>
      <c r="AR40" s="6">
        <f t="shared" si="0"/>
        <v>80617.17</v>
      </c>
      <c r="AS40" s="6">
        <f>AR40*(1+(Assumptions!$B$15))</f>
        <v>83035.685100000002</v>
      </c>
      <c r="AT40" s="6">
        <f>AS40*(1+(Assumptions!$B$15))</f>
        <v>85526.755653</v>
      </c>
      <c r="AU40" s="6">
        <f>AT40*(1+(Assumptions!$B$15))</f>
        <v>88092.558322590005</v>
      </c>
      <c r="AV40" s="6">
        <f>AU40*(1+(Assumptions!$B$15))</f>
        <v>90735.335072267713</v>
      </c>
      <c r="AW40" s="6">
        <f>AV40*(1+(Assumptions!$B$15))</f>
        <v>93457.395124435745</v>
      </c>
      <c r="AX40" s="6">
        <f>AW40*(1+(Assumptions!$B$15))</f>
        <v>96261.116978168822</v>
      </c>
      <c r="AY40" s="6">
        <f>AX40*(1+(Assumptions!$B$15))</f>
        <v>99148.950487513895</v>
      </c>
      <c r="AZ40" s="6">
        <f>AY40*(1+(Assumptions!$B$15))</f>
        <v>102123.41900213932</v>
      </c>
      <c r="BA40" s="6">
        <f>AZ40*(1+(Assumptions!$B$15))</f>
        <v>105187.1215722035</v>
      </c>
      <c r="BB40" s="6">
        <f>BA40*(1+(Assumptions!$B$15))</f>
        <v>108342.7352193696</v>
      </c>
      <c r="BC40" s="6">
        <f>BB40*(1+(Assumptions!$B$15))</f>
        <v>111593.0172759507</v>
      </c>
    </row>
    <row r="41" spans="1:55" x14ac:dyDescent="0.25">
      <c r="A41" s="132">
        <v>600</v>
      </c>
      <c r="B41" s="133">
        <v>729</v>
      </c>
      <c r="C41" s="134">
        <v>36675</v>
      </c>
      <c r="D41" s="134">
        <v>52201</v>
      </c>
      <c r="E41" s="135">
        <v>81441.990000000005</v>
      </c>
      <c r="F41" s="157"/>
      <c r="G41" s="6">
        <f>IF($C41&lt;(DATE(G$2,12,31)),H41/(1+(Assumptions!$B$14)),0)</f>
        <v>0</v>
      </c>
      <c r="H41" s="6">
        <f>IF($C41&lt;(DATE(H$2,12,31)),I41/(1+(Assumptions!$B$14)),0)</f>
        <v>0</v>
      </c>
      <c r="I41" s="6">
        <f>IF($C41&lt;(DATE(I$2,12,31)),J41/(1+(Assumptions!$B$14)),0)</f>
        <v>0</v>
      </c>
      <c r="J41" s="6">
        <f>IF($C41&lt;(DATE(J$2,12,31)),K41/(1+(Assumptions!$B$14)),0)</f>
        <v>0</v>
      </c>
      <c r="K41" s="6">
        <f>IF($C41&lt;(DATE(K$2,12,31)),L41/(1+(Assumptions!$B$14)),0)</f>
        <v>0</v>
      </c>
      <c r="L41" s="6">
        <f>IF($C41&lt;(DATE(L$2,12,31)),M41/(1+(Assumptions!$B$14)),0)</f>
        <v>0</v>
      </c>
      <c r="M41" s="6">
        <f>IF($C41&lt;(DATE(M$2,12,31)),N41/(1+(Assumptions!$B$14)),0)</f>
        <v>0</v>
      </c>
      <c r="N41" s="6">
        <f>IF($C41&lt;(DATE(N$2,12,31)),O41/(1+(Assumptions!$B$14)),0)</f>
        <v>0</v>
      </c>
      <c r="O41" s="6">
        <f>IF($C41&lt;(DATE(O$2,12,31)),P41/(1+(Assumptions!$B$14)),0)</f>
        <v>0</v>
      </c>
      <c r="P41" s="6">
        <f>IF($C41&lt;(DATE(P$2,12,31)),Q41/(1+(Assumptions!$B$14)),0)</f>
        <v>0</v>
      </c>
      <c r="Q41" s="6">
        <f>IF($C41&lt;(DATE(Q$2,12,31)),R41/(1+(Assumptions!$B$14)),0)</f>
        <v>0</v>
      </c>
      <c r="R41" s="6">
        <f>IF($C41&lt;(DATE(R$2,12,31)),S41/(1+(Assumptions!$B$14)),0)</f>
        <v>0</v>
      </c>
      <c r="S41" s="6">
        <f>IF($C41&lt;(DATE(S$2,12,31)),T41/(1+(Assumptions!$B$14)),0)</f>
        <v>0</v>
      </c>
      <c r="T41" s="6">
        <f>IF($C41&lt;(DATE(T$2,12,31)),U41/(1+(Assumptions!$B$14)),0)</f>
        <v>0</v>
      </c>
      <c r="U41" s="6">
        <f>IF($C41&lt;(DATE(U$2,12,31)),V41/(1+(Assumptions!$B$14)),0)</f>
        <v>0</v>
      </c>
      <c r="V41" s="6">
        <f>IF($C41&lt;(DATE(V$2,12,31)),W41/(1+(Assumptions!$B$14)),0)</f>
        <v>0</v>
      </c>
      <c r="W41" s="6">
        <f>IF($C41&lt;(DATE(W$2,12,31)),X41/(1+(Assumptions!$B$14)),0)</f>
        <v>0</v>
      </c>
      <c r="X41" s="6">
        <f>IF($C41&lt;(DATE(X$2,12,31)),Y41/(1+(Assumptions!$B$14)),0)</f>
        <v>0</v>
      </c>
      <c r="Y41" s="6">
        <f>IF($C41&lt;(DATE(Y$2,12,31)),Z41/(1+(Assumptions!$B$14)),0)</f>
        <v>0</v>
      </c>
      <c r="Z41" s="6">
        <f>IF($C41&lt;(DATE(Z$2,12,31)),AA41/(1+(Assumptions!$B$14)),0)</f>
        <v>0</v>
      </c>
      <c r="AA41" s="6">
        <f>IF($C41&lt;(DATE(AA$2,12,31)),AB41/(1+(Assumptions!$B$14)),0)</f>
        <v>0</v>
      </c>
      <c r="AB41" s="6">
        <f>IF($C41&lt;(DATE(AB$2,12,31)),AC41/(1+(Assumptions!$B$14)),0)</f>
        <v>0</v>
      </c>
      <c r="AC41" s="6">
        <f>IF($C41&lt;(DATE(AC$2,12,31)),AD41/(1+(Assumptions!$B$14)),0)</f>
        <v>0</v>
      </c>
      <c r="AD41" s="6">
        <f>IF($C41&lt;(DATE(AD$2,12,31)),AE41/(1+(Assumptions!$B$14)),0)</f>
        <v>47030.719920422678</v>
      </c>
      <c r="AE41" s="6">
        <f>IF($C41&lt;(DATE(AE$2,12,31)),AF41/(1+(Assumptions!$B$14)),0)</f>
        <v>48911.948717239589</v>
      </c>
      <c r="AF41" s="6">
        <f>IF($C41&lt;(DATE(AF$2,12,31)),AG41/(1+(Assumptions!$B$14)),0)</f>
        <v>50868.426665929175</v>
      </c>
      <c r="AG41" s="6">
        <f>IF($C41&lt;(DATE(AG$2,12,31)),AH41/(1+(Assumptions!$B$14)),0)</f>
        <v>52903.163732566347</v>
      </c>
      <c r="AH41" s="6">
        <f>IF($C41&lt;(DATE(AH$2,12,31)),AI41/(1+(Assumptions!$B$14)),0)</f>
        <v>55019.290281869005</v>
      </c>
      <c r="AI41" s="6">
        <f>IF($C41&lt;(DATE(AI$2,12,31)),AJ41/(1+(Assumptions!$B$14)),0)</f>
        <v>57220.061893143771</v>
      </c>
      <c r="AJ41" s="6">
        <f>IF($C41&lt;(DATE(AJ$2,12,31)),AK41/(1+(Assumptions!$B$14)),0)</f>
        <v>59508.864368869523</v>
      </c>
      <c r="AK41" s="6">
        <f>IF($C41&lt;(DATE(AK$2,12,31)),AL41/(1+(Assumptions!$B$14)),0)</f>
        <v>61889.218943624306</v>
      </c>
      <c r="AL41" s="6">
        <f>IF($C41&lt;(DATE(AL$2,12,31)),AM41/(1+(Assumptions!$B$14)),0)</f>
        <v>64364.787701369278</v>
      </c>
      <c r="AM41" s="6">
        <f>IF($C41&lt;(DATE(AM$2,12,31)),AN41/(1+(Assumptions!$B$14)),0)</f>
        <v>66939.379209424049</v>
      </c>
      <c r="AN41" s="6">
        <f>IF($C41&lt;(DATE(AN$2,12,31)),AO41/(1+(Assumptions!$B$14)),0)</f>
        <v>69616.954377801012</v>
      </c>
      <c r="AO41" s="6">
        <f>IF($C41&lt;(DATE(AO$2,12,31)),AP41/(1+(Assumptions!$B$14)),0)</f>
        <v>72401.632552913055</v>
      </c>
      <c r="AP41" s="6">
        <f>IF($C41&lt;(DATE(AP$2,12,31)),AQ41/(1+(Assumptions!$B$14)),0)</f>
        <v>75297.697855029575</v>
      </c>
      <c r="AQ41" s="6">
        <f>IF($C41&lt;(DATE(AQ$2,12,31)),AR41/(1+(Assumptions!$B$14)),0)</f>
        <v>78309.605769230766</v>
      </c>
      <c r="AR41" s="6">
        <f t="shared" si="0"/>
        <v>81441.990000000005</v>
      </c>
      <c r="AS41" s="6">
        <f>AR41*(1+(Assumptions!$B$15))</f>
        <v>83885.2497</v>
      </c>
      <c r="AT41" s="6">
        <f>AS41*(1+(Assumptions!$B$15))</f>
        <v>86401.807191</v>
      </c>
      <c r="AU41" s="6">
        <f>AT41*(1+(Assumptions!$B$15))</f>
        <v>88993.861406730008</v>
      </c>
      <c r="AV41" s="6">
        <f>AU41*(1+(Assumptions!$B$15))</f>
        <v>91663.677248931912</v>
      </c>
      <c r="AW41" s="6">
        <f>AV41*(1+(Assumptions!$B$15))</f>
        <v>94413.587566399874</v>
      </c>
      <c r="AX41" s="6">
        <f>AW41*(1+(Assumptions!$B$15))</f>
        <v>97245.995193391878</v>
      </c>
      <c r="AY41" s="6">
        <f>AX41*(1+(Assumptions!$B$15))</f>
        <v>100163.37504919364</v>
      </c>
      <c r="AZ41" s="6">
        <f>AY41*(1+(Assumptions!$B$15))</f>
        <v>103168.27630066944</v>
      </c>
      <c r="BA41" s="6">
        <f>AZ41*(1+(Assumptions!$B$15))</f>
        <v>106263.32458968952</v>
      </c>
      <c r="BB41" s="6">
        <f>BA41*(1+(Assumptions!$B$15))</f>
        <v>109451.22432738022</v>
      </c>
      <c r="BC41" s="6">
        <f>BB41*(1+(Assumptions!$B$15))</f>
        <v>112734.76105720163</v>
      </c>
    </row>
    <row r="42" spans="1:55" x14ac:dyDescent="0.25">
      <c r="A42" s="132">
        <v>600</v>
      </c>
      <c r="B42" s="133">
        <v>726</v>
      </c>
      <c r="C42" s="134">
        <v>36612</v>
      </c>
      <c r="D42" s="134">
        <v>43952</v>
      </c>
      <c r="E42" s="135">
        <v>82266.8</v>
      </c>
      <c r="F42" s="157"/>
      <c r="G42" s="6">
        <f>IF($C42&lt;(DATE(G$2,12,31)),H42/(1+(Assumptions!$B$14)),0)</f>
        <v>0</v>
      </c>
      <c r="H42" s="6">
        <f>IF($C42&lt;(DATE(H$2,12,31)),I42/(1+(Assumptions!$B$14)),0)</f>
        <v>0</v>
      </c>
      <c r="I42" s="6">
        <f>IF($C42&lt;(DATE(I$2,12,31)),J42/(1+(Assumptions!$B$14)),0)</f>
        <v>0</v>
      </c>
      <c r="J42" s="6">
        <f>IF($C42&lt;(DATE(J$2,12,31)),K42/(1+(Assumptions!$B$14)),0)</f>
        <v>0</v>
      </c>
      <c r="K42" s="6">
        <f>IF($C42&lt;(DATE(K$2,12,31)),L42/(1+(Assumptions!$B$14)),0)</f>
        <v>0</v>
      </c>
      <c r="L42" s="6">
        <f>IF($C42&lt;(DATE(L$2,12,31)),M42/(1+(Assumptions!$B$14)),0)</f>
        <v>0</v>
      </c>
      <c r="M42" s="6">
        <f>IF($C42&lt;(DATE(M$2,12,31)),N42/(1+(Assumptions!$B$14)),0)</f>
        <v>0</v>
      </c>
      <c r="N42" s="6">
        <f>IF($C42&lt;(DATE(N$2,12,31)),O42/(1+(Assumptions!$B$14)),0)</f>
        <v>0</v>
      </c>
      <c r="O42" s="6">
        <f>IF($C42&lt;(DATE(O$2,12,31)),P42/(1+(Assumptions!$B$14)),0)</f>
        <v>0</v>
      </c>
      <c r="P42" s="6">
        <f>IF($C42&lt;(DATE(P$2,12,31)),Q42/(1+(Assumptions!$B$14)),0)</f>
        <v>0</v>
      </c>
      <c r="Q42" s="6">
        <f>IF($C42&lt;(DATE(Q$2,12,31)),R42/(1+(Assumptions!$B$14)),0)</f>
        <v>0</v>
      </c>
      <c r="R42" s="6">
        <f>IF($C42&lt;(DATE(R$2,12,31)),S42/(1+(Assumptions!$B$14)),0)</f>
        <v>0</v>
      </c>
      <c r="S42" s="6">
        <f>IF($C42&lt;(DATE(S$2,12,31)),T42/(1+(Assumptions!$B$14)),0)</f>
        <v>0</v>
      </c>
      <c r="T42" s="6">
        <f>IF($C42&lt;(DATE(T$2,12,31)),U42/(1+(Assumptions!$B$14)),0)</f>
        <v>0</v>
      </c>
      <c r="U42" s="6">
        <f>IF($C42&lt;(DATE(U$2,12,31)),V42/(1+(Assumptions!$B$14)),0)</f>
        <v>0</v>
      </c>
      <c r="V42" s="6">
        <f>IF($C42&lt;(DATE(V$2,12,31)),W42/(1+(Assumptions!$B$14)),0)</f>
        <v>0</v>
      </c>
      <c r="W42" s="6">
        <f>IF($C42&lt;(DATE(W$2,12,31)),X42/(1+(Assumptions!$B$14)),0)</f>
        <v>0</v>
      </c>
      <c r="X42" s="6">
        <f>IF($C42&lt;(DATE(X$2,12,31)),Y42/(1+(Assumptions!$B$14)),0)</f>
        <v>0</v>
      </c>
      <c r="Y42" s="6">
        <f>IF($C42&lt;(DATE(Y$2,12,31)),Z42/(1+(Assumptions!$B$14)),0)</f>
        <v>0</v>
      </c>
      <c r="Z42" s="6">
        <f>IF($C42&lt;(DATE(Z$2,12,31)),AA42/(1+(Assumptions!$B$14)),0)</f>
        <v>0</v>
      </c>
      <c r="AA42" s="6">
        <f>IF($C42&lt;(DATE(AA$2,12,31)),AB42/(1+(Assumptions!$B$14)),0)</f>
        <v>0</v>
      </c>
      <c r="AB42" s="6">
        <f>IF($C42&lt;(DATE(AB$2,12,31)),AC42/(1+(Assumptions!$B$14)),0)</f>
        <v>0</v>
      </c>
      <c r="AC42" s="6">
        <f>IF($C42&lt;(DATE(AC$2,12,31)),AD42/(1+(Assumptions!$B$14)),0)</f>
        <v>0</v>
      </c>
      <c r="AD42" s="6">
        <f>IF($C42&lt;(DATE(AD$2,12,31)),AE42/(1+(Assumptions!$B$14)),0)</f>
        <v>47507.027143484942</v>
      </c>
      <c r="AE42" s="6">
        <f>IF($C42&lt;(DATE(AE$2,12,31)),AF42/(1+(Assumptions!$B$14)),0)</f>
        <v>49407.308229224342</v>
      </c>
      <c r="AF42" s="6">
        <f>IF($C42&lt;(DATE(AF$2,12,31)),AG42/(1+(Assumptions!$B$14)),0)</f>
        <v>51383.600558393315</v>
      </c>
      <c r="AG42" s="6">
        <f>IF($C42&lt;(DATE(AG$2,12,31)),AH42/(1+(Assumptions!$B$14)),0)</f>
        <v>53438.944580729047</v>
      </c>
      <c r="AH42" s="6">
        <f>IF($C42&lt;(DATE(AH$2,12,31)),AI42/(1+(Assumptions!$B$14)),0)</f>
        <v>55576.502363958207</v>
      </c>
      <c r="AI42" s="6">
        <f>IF($C42&lt;(DATE(AI$2,12,31)),AJ42/(1+(Assumptions!$B$14)),0)</f>
        <v>57799.562458516535</v>
      </c>
      <c r="AJ42" s="6">
        <f>IF($C42&lt;(DATE(AJ$2,12,31)),AK42/(1+(Assumptions!$B$14)),0)</f>
        <v>60111.5449568572</v>
      </c>
      <c r="AK42" s="6">
        <f>IF($C42&lt;(DATE(AK$2,12,31)),AL42/(1+(Assumptions!$B$14)),0)</f>
        <v>62516.006755131493</v>
      </c>
      <c r="AL42" s="6">
        <f>IF($C42&lt;(DATE(AL$2,12,31)),AM42/(1+(Assumptions!$B$14)),0)</f>
        <v>65016.647025336752</v>
      </c>
      <c r="AM42" s="6">
        <f>IF($C42&lt;(DATE(AM$2,12,31)),AN42/(1+(Assumptions!$B$14)),0)</f>
        <v>67617.312906350227</v>
      </c>
      <c r="AN42" s="6">
        <f>IF($C42&lt;(DATE(AN$2,12,31)),AO42/(1+(Assumptions!$B$14)),0)</f>
        <v>70322.005422604241</v>
      </c>
      <c r="AO42" s="6">
        <f>IF($C42&lt;(DATE(AO$2,12,31)),AP42/(1+(Assumptions!$B$14)),0)</f>
        <v>73134.885639508415</v>
      </c>
      <c r="AP42" s="6">
        <f>IF($C42&lt;(DATE(AP$2,12,31)),AQ42/(1+(Assumptions!$B$14)),0)</f>
        <v>76060.281065088755</v>
      </c>
      <c r="AQ42" s="6">
        <f>IF($C42&lt;(DATE(AQ$2,12,31)),AR42/(1+(Assumptions!$B$14)),0)</f>
        <v>79102.692307692312</v>
      </c>
      <c r="AR42" s="6">
        <f t="shared" si="0"/>
        <v>82266.8</v>
      </c>
      <c r="AS42" s="6">
        <f>AR42*(1+(Assumptions!$B$15))</f>
        <v>84734.804000000004</v>
      </c>
      <c r="AT42" s="6">
        <f>AS42*(1+(Assumptions!$B$15))</f>
        <v>87276.84812000001</v>
      </c>
      <c r="AU42" s="6">
        <f>AT42*(1+(Assumptions!$B$15))</f>
        <v>89895.153563600019</v>
      </c>
      <c r="AV42" s="6">
        <f>AU42*(1+(Assumptions!$B$15))</f>
        <v>92592.008170508023</v>
      </c>
      <c r="AW42" s="6">
        <f>AV42*(1+(Assumptions!$B$15))</f>
        <v>95369.768415623272</v>
      </c>
      <c r="AX42" s="6">
        <f>AW42*(1+(Assumptions!$B$15))</f>
        <v>98230.861468091971</v>
      </c>
      <c r="AY42" s="6">
        <f>AX42*(1+(Assumptions!$B$15))</f>
        <v>101177.78731213474</v>
      </c>
      <c r="AZ42" s="6">
        <f>AY42*(1+(Assumptions!$B$15))</f>
        <v>104213.12093149878</v>
      </c>
      <c r="BA42" s="6">
        <f>AZ42*(1+(Assumptions!$B$15))</f>
        <v>107339.51455944375</v>
      </c>
      <c r="BB42" s="6">
        <f>BA42*(1+(Assumptions!$B$15))</f>
        <v>110559.69999622706</v>
      </c>
      <c r="BC42" s="6">
        <f>BB42*(1+(Assumptions!$B$15))</f>
        <v>113876.49099611388</v>
      </c>
    </row>
    <row r="43" spans="1:55" x14ac:dyDescent="0.25">
      <c r="A43" s="132">
        <v>600</v>
      </c>
      <c r="B43" s="133">
        <v>721</v>
      </c>
      <c r="C43" s="134">
        <v>36262</v>
      </c>
      <c r="D43" s="134">
        <v>45689</v>
      </c>
      <c r="E43" s="135">
        <v>83091.61</v>
      </c>
      <c r="F43" s="157"/>
      <c r="G43" s="6">
        <f>IF($C43&lt;(DATE(G$2,12,31)),H43/(1+(Assumptions!$B$14)),0)</f>
        <v>0</v>
      </c>
      <c r="H43" s="6">
        <f>IF($C43&lt;(DATE(H$2,12,31)),I43/(1+(Assumptions!$B$14)),0)</f>
        <v>0</v>
      </c>
      <c r="I43" s="6">
        <f>IF($C43&lt;(DATE(I$2,12,31)),J43/(1+(Assumptions!$B$14)),0)</f>
        <v>0</v>
      </c>
      <c r="J43" s="6">
        <f>IF($C43&lt;(DATE(J$2,12,31)),K43/(1+(Assumptions!$B$14)),0)</f>
        <v>0</v>
      </c>
      <c r="K43" s="6">
        <f>IF($C43&lt;(DATE(K$2,12,31)),L43/(1+(Assumptions!$B$14)),0)</f>
        <v>0</v>
      </c>
      <c r="L43" s="6">
        <f>IF($C43&lt;(DATE(L$2,12,31)),M43/(1+(Assumptions!$B$14)),0)</f>
        <v>0</v>
      </c>
      <c r="M43" s="6">
        <f>IF($C43&lt;(DATE(M$2,12,31)),N43/(1+(Assumptions!$B$14)),0)</f>
        <v>0</v>
      </c>
      <c r="N43" s="6">
        <f>IF($C43&lt;(DATE(N$2,12,31)),O43/(1+(Assumptions!$B$14)),0)</f>
        <v>0</v>
      </c>
      <c r="O43" s="6">
        <f>IF($C43&lt;(DATE(O$2,12,31)),P43/(1+(Assumptions!$B$14)),0)</f>
        <v>0</v>
      </c>
      <c r="P43" s="6">
        <f>IF($C43&lt;(DATE(P$2,12,31)),Q43/(1+(Assumptions!$B$14)),0)</f>
        <v>0</v>
      </c>
      <c r="Q43" s="6">
        <f>IF($C43&lt;(DATE(Q$2,12,31)),R43/(1+(Assumptions!$B$14)),0)</f>
        <v>0</v>
      </c>
      <c r="R43" s="6">
        <f>IF($C43&lt;(DATE(R$2,12,31)),S43/(1+(Assumptions!$B$14)),0)</f>
        <v>0</v>
      </c>
      <c r="S43" s="6">
        <f>IF($C43&lt;(DATE(S$2,12,31)),T43/(1+(Assumptions!$B$14)),0)</f>
        <v>0</v>
      </c>
      <c r="T43" s="6">
        <f>IF($C43&lt;(DATE(T$2,12,31)),U43/(1+(Assumptions!$B$14)),0)</f>
        <v>0</v>
      </c>
      <c r="U43" s="6">
        <f>IF($C43&lt;(DATE(U$2,12,31)),V43/(1+(Assumptions!$B$14)),0)</f>
        <v>0</v>
      </c>
      <c r="V43" s="6">
        <f>IF($C43&lt;(DATE(V$2,12,31)),W43/(1+(Assumptions!$B$14)),0)</f>
        <v>0</v>
      </c>
      <c r="W43" s="6">
        <f>IF($C43&lt;(DATE(W$2,12,31)),X43/(1+(Assumptions!$B$14)),0)</f>
        <v>0</v>
      </c>
      <c r="X43" s="6">
        <f>IF($C43&lt;(DATE(X$2,12,31)),Y43/(1+(Assumptions!$B$14)),0)</f>
        <v>0</v>
      </c>
      <c r="Y43" s="6">
        <f>IF($C43&lt;(DATE(Y$2,12,31)),Z43/(1+(Assumptions!$B$14)),0)</f>
        <v>0</v>
      </c>
      <c r="Z43" s="6">
        <f>IF($C43&lt;(DATE(Z$2,12,31)),AA43/(1+(Assumptions!$B$14)),0)</f>
        <v>0</v>
      </c>
      <c r="AA43" s="6">
        <f>IF($C43&lt;(DATE(AA$2,12,31)),AB43/(1+(Assumptions!$B$14)),0)</f>
        <v>0</v>
      </c>
      <c r="AB43" s="6">
        <f>IF($C43&lt;(DATE(AB$2,12,31)),AC43/(1+(Assumptions!$B$14)),0)</f>
        <v>0</v>
      </c>
      <c r="AC43" s="6">
        <f>IF($C43&lt;(DATE(AC$2,12,31)),AD43/(1+(Assumptions!$B$14)),0)</f>
        <v>46137.821506295368</v>
      </c>
      <c r="AD43" s="6">
        <f>IF($C43&lt;(DATE(AD$2,12,31)),AE43/(1+(Assumptions!$B$14)),0)</f>
        <v>47983.334366547184</v>
      </c>
      <c r="AE43" s="6">
        <f>IF($C43&lt;(DATE(AE$2,12,31)),AF43/(1+(Assumptions!$B$14)),0)</f>
        <v>49902.667741209072</v>
      </c>
      <c r="AF43" s="6">
        <f>IF($C43&lt;(DATE(AF$2,12,31)),AG43/(1+(Assumptions!$B$14)),0)</f>
        <v>51898.77445085744</v>
      </c>
      <c r="AG43" s="6">
        <f>IF($C43&lt;(DATE(AG$2,12,31)),AH43/(1+(Assumptions!$B$14)),0)</f>
        <v>53974.725428891739</v>
      </c>
      <c r="AH43" s="6">
        <f>IF($C43&lt;(DATE(AH$2,12,31)),AI43/(1+(Assumptions!$B$14)),0)</f>
        <v>56133.714446047408</v>
      </c>
      <c r="AI43" s="6">
        <f>IF($C43&lt;(DATE(AI$2,12,31)),AJ43/(1+(Assumptions!$B$14)),0)</f>
        <v>58379.063023889306</v>
      </c>
      <c r="AJ43" s="6">
        <f>IF($C43&lt;(DATE(AJ$2,12,31)),AK43/(1+(Assumptions!$B$14)),0)</f>
        <v>60714.225544844878</v>
      </c>
      <c r="AK43" s="6">
        <f>IF($C43&lt;(DATE(AK$2,12,31)),AL43/(1+(Assumptions!$B$14)),0)</f>
        <v>63142.794566638673</v>
      </c>
      <c r="AL43" s="6">
        <f>IF($C43&lt;(DATE(AL$2,12,31)),AM43/(1+(Assumptions!$B$14)),0)</f>
        <v>65668.506349304225</v>
      </c>
      <c r="AM43" s="6">
        <f>IF($C43&lt;(DATE(AM$2,12,31)),AN43/(1+(Assumptions!$B$14)),0)</f>
        <v>68295.246603276391</v>
      </c>
      <c r="AN43" s="6">
        <f>IF($C43&lt;(DATE(AN$2,12,31)),AO43/(1+(Assumptions!$B$14)),0)</f>
        <v>71027.056467407456</v>
      </c>
      <c r="AO43" s="6">
        <f>IF($C43&lt;(DATE(AO$2,12,31)),AP43/(1+(Assumptions!$B$14)),0)</f>
        <v>73868.13872610376</v>
      </c>
      <c r="AP43" s="6">
        <f>IF($C43&lt;(DATE(AP$2,12,31)),AQ43/(1+(Assumptions!$B$14)),0)</f>
        <v>76822.86427514792</v>
      </c>
      <c r="AQ43" s="6">
        <f>IF($C43&lt;(DATE(AQ$2,12,31)),AR43/(1+(Assumptions!$B$14)),0)</f>
        <v>79895.778846153844</v>
      </c>
      <c r="AR43" s="6">
        <f t="shared" si="0"/>
        <v>83091.61</v>
      </c>
      <c r="AS43" s="6">
        <f>AR43*(1+(Assumptions!$B$15))</f>
        <v>85584.358300000007</v>
      </c>
      <c r="AT43" s="6">
        <f>AS43*(1+(Assumptions!$B$15))</f>
        <v>88151.889049000005</v>
      </c>
      <c r="AU43" s="6">
        <f>AT43*(1+(Assumptions!$B$15))</f>
        <v>90796.445720470001</v>
      </c>
      <c r="AV43" s="6">
        <f>AU43*(1+(Assumptions!$B$15))</f>
        <v>93520.339092084105</v>
      </c>
      <c r="AW43" s="6">
        <f>AV43*(1+(Assumptions!$B$15))</f>
        <v>96325.949264846626</v>
      </c>
      <c r="AX43" s="6">
        <f>AW43*(1+(Assumptions!$B$15))</f>
        <v>99215.72774279202</v>
      </c>
      <c r="AY43" s="6">
        <f>AX43*(1+(Assumptions!$B$15))</f>
        <v>102192.19957507578</v>
      </c>
      <c r="AZ43" s="6">
        <f>AY43*(1+(Assumptions!$B$15))</f>
        <v>105257.96556232806</v>
      </c>
      <c r="BA43" s="6">
        <f>AZ43*(1+(Assumptions!$B$15))</f>
        <v>108415.7045291979</v>
      </c>
      <c r="BB43" s="6">
        <f>BA43*(1+(Assumptions!$B$15))</f>
        <v>111668.17566507384</v>
      </c>
      <c r="BC43" s="6">
        <f>BB43*(1+(Assumptions!$B$15))</f>
        <v>115018.22093502605</v>
      </c>
    </row>
    <row r="44" spans="1:55" x14ac:dyDescent="0.25">
      <c r="A44" s="132">
        <v>600</v>
      </c>
      <c r="B44" s="133">
        <v>718</v>
      </c>
      <c r="C44" s="134">
        <v>36787</v>
      </c>
      <c r="D44" s="134">
        <v>46905</v>
      </c>
      <c r="E44" s="135">
        <v>83916.42</v>
      </c>
      <c r="F44" s="157"/>
      <c r="G44" s="6">
        <f>IF($C44&lt;(DATE(G$2,12,31)),H44/(1+(Assumptions!$B$14)),0)</f>
        <v>0</v>
      </c>
      <c r="H44" s="6">
        <f>IF($C44&lt;(DATE(H$2,12,31)),I44/(1+(Assumptions!$B$14)),0)</f>
        <v>0</v>
      </c>
      <c r="I44" s="6">
        <f>IF($C44&lt;(DATE(I$2,12,31)),J44/(1+(Assumptions!$B$14)),0)</f>
        <v>0</v>
      </c>
      <c r="J44" s="6">
        <f>IF($C44&lt;(DATE(J$2,12,31)),K44/(1+(Assumptions!$B$14)),0)</f>
        <v>0</v>
      </c>
      <c r="K44" s="6">
        <f>IF($C44&lt;(DATE(K$2,12,31)),L44/(1+(Assumptions!$B$14)),0)</f>
        <v>0</v>
      </c>
      <c r="L44" s="6">
        <f>IF($C44&lt;(DATE(L$2,12,31)),M44/(1+(Assumptions!$B$14)),0)</f>
        <v>0</v>
      </c>
      <c r="M44" s="6">
        <f>IF($C44&lt;(DATE(M$2,12,31)),N44/(1+(Assumptions!$B$14)),0)</f>
        <v>0</v>
      </c>
      <c r="N44" s="6">
        <f>IF($C44&lt;(DATE(N$2,12,31)),O44/(1+(Assumptions!$B$14)),0)</f>
        <v>0</v>
      </c>
      <c r="O44" s="6">
        <f>IF($C44&lt;(DATE(O$2,12,31)),P44/(1+(Assumptions!$B$14)),0)</f>
        <v>0</v>
      </c>
      <c r="P44" s="6">
        <f>IF($C44&lt;(DATE(P$2,12,31)),Q44/(1+(Assumptions!$B$14)),0)</f>
        <v>0</v>
      </c>
      <c r="Q44" s="6">
        <f>IF($C44&lt;(DATE(Q$2,12,31)),R44/(1+(Assumptions!$B$14)),0)</f>
        <v>0</v>
      </c>
      <c r="R44" s="6">
        <f>IF($C44&lt;(DATE(R$2,12,31)),S44/(1+(Assumptions!$B$14)),0)</f>
        <v>0</v>
      </c>
      <c r="S44" s="6">
        <f>IF($C44&lt;(DATE(S$2,12,31)),T44/(1+(Assumptions!$B$14)),0)</f>
        <v>0</v>
      </c>
      <c r="T44" s="6">
        <f>IF($C44&lt;(DATE(T$2,12,31)),U44/(1+(Assumptions!$B$14)),0)</f>
        <v>0</v>
      </c>
      <c r="U44" s="6">
        <f>IF($C44&lt;(DATE(U$2,12,31)),V44/(1+(Assumptions!$B$14)),0)</f>
        <v>0</v>
      </c>
      <c r="V44" s="6">
        <f>IF($C44&lt;(DATE(V$2,12,31)),W44/(1+(Assumptions!$B$14)),0)</f>
        <v>0</v>
      </c>
      <c r="W44" s="6">
        <f>IF($C44&lt;(DATE(W$2,12,31)),X44/(1+(Assumptions!$B$14)),0)</f>
        <v>0</v>
      </c>
      <c r="X44" s="6">
        <f>IF($C44&lt;(DATE(X$2,12,31)),Y44/(1+(Assumptions!$B$14)),0)</f>
        <v>0</v>
      </c>
      <c r="Y44" s="6">
        <f>IF($C44&lt;(DATE(Y$2,12,31)),Z44/(1+(Assumptions!$B$14)),0)</f>
        <v>0</v>
      </c>
      <c r="Z44" s="6">
        <f>IF($C44&lt;(DATE(Z$2,12,31)),AA44/(1+(Assumptions!$B$14)),0)</f>
        <v>0</v>
      </c>
      <c r="AA44" s="6">
        <f>IF($C44&lt;(DATE(AA$2,12,31)),AB44/(1+(Assumptions!$B$14)),0)</f>
        <v>0</v>
      </c>
      <c r="AB44" s="6">
        <f>IF($C44&lt;(DATE(AB$2,12,31)),AC44/(1+(Assumptions!$B$14)),0)</f>
        <v>0</v>
      </c>
      <c r="AC44" s="6">
        <f>IF($C44&lt;(DATE(AC$2,12,31)),AD44/(1+(Assumptions!$B$14)),0)</f>
        <v>0</v>
      </c>
      <c r="AD44" s="6">
        <f>IF($C44&lt;(DATE(AD$2,12,31)),AE44/(1+(Assumptions!$B$14)),0)</f>
        <v>48459.641589609433</v>
      </c>
      <c r="AE44" s="6">
        <f>IF($C44&lt;(DATE(AE$2,12,31)),AF44/(1+(Assumptions!$B$14)),0)</f>
        <v>50398.02725319381</v>
      </c>
      <c r="AF44" s="6">
        <f>IF($C44&lt;(DATE(AF$2,12,31)),AG44/(1+(Assumptions!$B$14)),0)</f>
        <v>52413.948343321565</v>
      </c>
      <c r="AG44" s="6">
        <f>IF($C44&lt;(DATE(AG$2,12,31)),AH44/(1+(Assumptions!$B$14)),0)</f>
        <v>54510.506277054432</v>
      </c>
      <c r="AH44" s="6">
        <f>IF($C44&lt;(DATE(AH$2,12,31)),AI44/(1+(Assumptions!$B$14)),0)</f>
        <v>56690.92652813661</v>
      </c>
      <c r="AI44" s="6">
        <f>IF($C44&lt;(DATE(AI$2,12,31)),AJ44/(1+(Assumptions!$B$14)),0)</f>
        <v>58958.563589262078</v>
      </c>
      <c r="AJ44" s="6">
        <f>IF($C44&lt;(DATE(AJ$2,12,31)),AK44/(1+(Assumptions!$B$14)),0)</f>
        <v>61316.906132832562</v>
      </c>
      <c r="AK44" s="6">
        <f>IF($C44&lt;(DATE(AK$2,12,31)),AL44/(1+(Assumptions!$B$14)),0)</f>
        <v>63769.582378145868</v>
      </c>
      <c r="AL44" s="6">
        <f>IF($C44&lt;(DATE(AL$2,12,31)),AM44/(1+(Assumptions!$B$14)),0)</f>
        <v>66320.365673271706</v>
      </c>
      <c r="AM44" s="6">
        <f>IF($C44&lt;(DATE(AM$2,12,31)),AN44/(1+(Assumptions!$B$14)),0)</f>
        <v>68973.180300202584</v>
      </c>
      <c r="AN44" s="6">
        <f>IF($C44&lt;(DATE(AN$2,12,31)),AO44/(1+(Assumptions!$B$14)),0)</f>
        <v>71732.107512210685</v>
      </c>
      <c r="AO44" s="6">
        <f>IF($C44&lt;(DATE(AO$2,12,31)),AP44/(1+(Assumptions!$B$14)),0)</f>
        <v>74601.391812699119</v>
      </c>
      <c r="AP44" s="6">
        <f>IF($C44&lt;(DATE(AP$2,12,31)),AQ44/(1+(Assumptions!$B$14)),0)</f>
        <v>77585.447485207085</v>
      </c>
      <c r="AQ44" s="6">
        <f>IF($C44&lt;(DATE(AQ$2,12,31)),AR44/(1+(Assumptions!$B$14)),0)</f>
        <v>80688.865384615376</v>
      </c>
      <c r="AR44" s="6">
        <f t="shared" si="0"/>
        <v>83916.42</v>
      </c>
      <c r="AS44" s="6">
        <f>AR44*(1+(Assumptions!$B$15))</f>
        <v>86433.912599999996</v>
      </c>
      <c r="AT44" s="6">
        <f>AS44*(1+(Assumptions!$B$15))</f>
        <v>89026.929978</v>
      </c>
      <c r="AU44" s="6">
        <f>AT44*(1+(Assumptions!$B$15))</f>
        <v>91697.737877339998</v>
      </c>
      <c r="AV44" s="6">
        <f>AU44*(1+(Assumptions!$B$15))</f>
        <v>94448.670013660201</v>
      </c>
      <c r="AW44" s="6">
        <f>AV44*(1+(Assumptions!$B$15))</f>
        <v>97282.130114070009</v>
      </c>
      <c r="AX44" s="6">
        <f>AW44*(1+(Assumptions!$B$15))</f>
        <v>100200.59401749211</v>
      </c>
      <c r="AY44" s="6">
        <f>AX44*(1+(Assumptions!$B$15))</f>
        <v>103206.61183801688</v>
      </c>
      <c r="AZ44" s="6">
        <f>AY44*(1+(Assumptions!$B$15))</f>
        <v>106302.81019315739</v>
      </c>
      <c r="BA44" s="6">
        <f>AZ44*(1+(Assumptions!$B$15))</f>
        <v>109491.89449895211</v>
      </c>
      <c r="BB44" s="6">
        <f>BA44*(1+(Assumptions!$B$15))</f>
        <v>112776.65133392067</v>
      </c>
      <c r="BC44" s="6">
        <f>BB44*(1+(Assumptions!$B$15))</f>
        <v>116159.9508739383</v>
      </c>
    </row>
    <row r="45" spans="1:55" x14ac:dyDescent="0.25">
      <c r="A45" s="132">
        <v>600</v>
      </c>
      <c r="B45" s="133">
        <v>714</v>
      </c>
      <c r="C45" s="134">
        <v>36556</v>
      </c>
      <c r="D45" s="134">
        <v>47515</v>
      </c>
      <c r="E45" s="135">
        <v>84741.24</v>
      </c>
      <c r="F45" s="157"/>
      <c r="G45" s="6">
        <f>IF($C45&lt;(DATE(G$2,12,31)),H45/(1+(Assumptions!$B$14)),0)</f>
        <v>0</v>
      </c>
      <c r="H45" s="6">
        <f>IF($C45&lt;(DATE(H$2,12,31)),I45/(1+(Assumptions!$B$14)),0)</f>
        <v>0</v>
      </c>
      <c r="I45" s="6">
        <f>IF($C45&lt;(DATE(I$2,12,31)),J45/(1+(Assumptions!$B$14)),0)</f>
        <v>0</v>
      </c>
      <c r="J45" s="6">
        <f>IF($C45&lt;(DATE(J$2,12,31)),K45/(1+(Assumptions!$B$14)),0)</f>
        <v>0</v>
      </c>
      <c r="K45" s="6">
        <f>IF($C45&lt;(DATE(K$2,12,31)),L45/(1+(Assumptions!$B$14)),0)</f>
        <v>0</v>
      </c>
      <c r="L45" s="6">
        <f>IF($C45&lt;(DATE(L$2,12,31)),M45/(1+(Assumptions!$B$14)),0)</f>
        <v>0</v>
      </c>
      <c r="M45" s="6">
        <f>IF($C45&lt;(DATE(M$2,12,31)),N45/(1+(Assumptions!$B$14)),0)</f>
        <v>0</v>
      </c>
      <c r="N45" s="6">
        <f>IF($C45&lt;(DATE(N$2,12,31)),O45/(1+(Assumptions!$B$14)),0)</f>
        <v>0</v>
      </c>
      <c r="O45" s="6">
        <f>IF($C45&lt;(DATE(O$2,12,31)),P45/(1+(Assumptions!$B$14)),0)</f>
        <v>0</v>
      </c>
      <c r="P45" s="6">
        <f>IF($C45&lt;(DATE(P$2,12,31)),Q45/(1+(Assumptions!$B$14)),0)</f>
        <v>0</v>
      </c>
      <c r="Q45" s="6">
        <f>IF($C45&lt;(DATE(Q$2,12,31)),R45/(1+(Assumptions!$B$14)),0)</f>
        <v>0</v>
      </c>
      <c r="R45" s="6">
        <f>IF($C45&lt;(DATE(R$2,12,31)),S45/(1+(Assumptions!$B$14)),0)</f>
        <v>0</v>
      </c>
      <c r="S45" s="6">
        <f>IF($C45&lt;(DATE(S$2,12,31)),T45/(1+(Assumptions!$B$14)),0)</f>
        <v>0</v>
      </c>
      <c r="T45" s="6">
        <f>IF($C45&lt;(DATE(T$2,12,31)),U45/(1+(Assumptions!$B$14)),0)</f>
        <v>0</v>
      </c>
      <c r="U45" s="6">
        <f>IF($C45&lt;(DATE(U$2,12,31)),V45/(1+(Assumptions!$B$14)),0)</f>
        <v>0</v>
      </c>
      <c r="V45" s="6">
        <f>IF($C45&lt;(DATE(V$2,12,31)),W45/(1+(Assumptions!$B$14)),0)</f>
        <v>0</v>
      </c>
      <c r="W45" s="6">
        <f>IF($C45&lt;(DATE(W$2,12,31)),X45/(1+(Assumptions!$B$14)),0)</f>
        <v>0</v>
      </c>
      <c r="X45" s="6">
        <f>IF($C45&lt;(DATE(X$2,12,31)),Y45/(1+(Assumptions!$B$14)),0)</f>
        <v>0</v>
      </c>
      <c r="Y45" s="6">
        <f>IF($C45&lt;(DATE(Y$2,12,31)),Z45/(1+(Assumptions!$B$14)),0)</f>
        <v>0</v>
      </c>
      <c r="Z45" s="6">
        <f>IF($C45&lt;(DATE(Z$2,12,31)),AA45/(1+(Assumptions!$B$14)),0)</f>
        <v>0</v>
      </c>
      <c r="AA45" s="6">
        <f>IF($C45&lt;(DATE(AA$2,12,31)),AB45/(1+(Assumptions!$B$14)),0)</f>
        <v>0</v>
      </c>
      <c r="AB45" s="6">
        <f>IF($C45&lt;(DATE(AB$2,12,31)),AC45/(1+(Assumptions!$B$14)),0)</f>
        <v>0</v>
      </c>
      <c r="AC45" s="6">
        <f>IF($C45&lt;(DATE(AC$2,12,31)),AD45/(1+(Assumptions!$B$14)),0)</f>
        <v>0</v>
      </c>
      <c r="AD45" s="6">
        <f>IF($C45&lt;(DATE(AD$2,12,31)),AE45/(1+(Assumptions!$B$14)),0)</f>
        <v>48935.954587422537</v>
      </c>
      <c r="AE45" s="6">
        <f>IF($C45&lt;(DATE(AE$2,12,31)),AF45/(1+(Assumptions!$B$14)),0)</f>
        <v>50893.392770919439</v>
      </c>
      <c r="AF45" s="6">
        <f>IF($C45&lt;(DATE(AF$2,12,31)),AG45/(1+(Assumptions!$B$14)),0)</f>
        <v>52929.128481756219</v>
      </c>
      <c r="AG45" s="6">
        <f>IF($C45&lt;(DATE(AG$2,12,31)),AH45/(1+(Assumptions!$B$14)),0)</f>
        <v>55046.293621026467</v>
      </c>
      <c r="AH45" s="6">
        <f>IF($C45&lt;(DATE(AH$2,12,31)),AI45/(1+(Assumptions!$B$14)),0)</f>
        <v>57248.145365867531</v>
      </c>
      <c r="AI45" s="6">
        <f>IF($C45&lt;(DATE(AI$2,12,31)),AJ45/(1+(Assumptions!$B$14)),0)</f>
        <v>59538.071180502237</v>
      </c>
      <c r="AJ45" s="6">
        <f>IF($C45&lt;(DATE(AJ$2,12,31)),AK45/(1+(Assumptions!$B$14)),0)</f>
        <v>61919.594027722327</v>
      </c>
      <c r="AK45" s="6">
        <f>IF($C45&lt;(DATE(AK$2,12,31)),AL45/(1+(Assumptions!$B$14)),0)</f>
        <v>64396.377788831225</v>
      </c>
      <c r="AL45" s="6">
        <f>IF($C45&lt;(DATE(AL$2,12,31)),AM45/(1+(Assumptions!$B$14)),0)</f>
        <v>66972.232900384479</v>
      </c>
      <c r="AM45" s="6">
        <f>IF($C45&lt;(DATE(AM$2,12,31)),AN45/(1+(Assumptions!$B$14)),0)</f>
        <v>69651.122216399861</v>
      </c>
      <c r="AN45" s="6">
        <f>IF($C45&lt;(DATE(AN$2,12,31)),AO45/(1+(Assumptions!$B$14)),0)</f>
        <v>72437.167105055851</v>
      </c>
      <c r="AO45" s="6">
        <f>IF($C45&lt;(DATE(AO$2,12,31)),AP45/(1+(Assumptions!$B$14)),0)</f>
        <v>75334.653789258082</v>
      </c>
      <c r="AP45" s="6">
        <f>IF($C45&lt;(DATE(AP$2,12,31)),AQ45/(1+(Assumptions!$B$14)),0)</f>
        <v>78348.039940828414</v>
      </c>
      <c r="AQ45" s="6">
        <f>IF($C45&lt;(DATE(AQ$2,12,31)),AR45/(1+(Assumptions!$B$14)),0)</f>
        <v>81481.961538461546</v>
      </c>
      <c r="AR45" s="6">
        <f t="shared" si="0"/>
        <v>84741.24</v>
      </c>
      <c r="AS45" s="6">
        <f>AR45*(1+(Assumptions!$B$15))</f>
        <v>87283.477200000008</v>
      </c>
      <c r="AT45" s="6">
        <f>AS45*(1+(Assumptions!$B$15))</f>
        <v>89901.981516000014</v>
      </c>
      <c r="AU45" s="6">
        <f>AT45*(1+(Assumptions!$B$15))</f>
        <v>92599.040961480016</v>
      </c>
      <c r="AV45" s="6">
        <f>AU45*(1+(Assumptions!$B$15))</f>
        <v>95377.012190324414</v>
      </c>
      <c r="AW45" s="6">
        <f>AV45*(1+(Assumptions!$B$15))</f>
        <v>98238.322556034153</v>
      </c>
      <c r="AX45" s="6">
        <f>AW45*(1+(Assumptions!$B$15))</f>
        <v>101185.47223271518</v>
      </c>
      <c r="AY45" s="6">
        <f>AX45*(1+(Assumptions!$B$15))</f>
        <v>104221.03639969665</v>
      </c>
      <c r="AZ45" s="6">
        <f>AY45*(1+(Assumptions!$B$15))</f>
        <v>107347.66749168755</v>
      </c>
      <c r="BA45" s="6">
        <f>AZ45*(1+(Assumptions!$B$15))</f>
        <v>110568.09751643818</v>
      </c>
      <c r="BB45" s="6">
        <f>BA45*(1+(Assumptions!$B$15))</f>
        <v>113885.14044193133</v>
      </c>
      <c r="BC45" s="6">
        <f>BB45*(1+(Assumptions!$B$15))</f>
        <v>117301.69465518928</v>
      </c>
    </row>
    <row r="46" spans="1:55" x14ac:dyDescent="0.25">
      <c r="A46" s="132">
        <v>600</v>
      </c>
      <c r="B46" s="133">
        <v>709</v>
      </c>
      <c r="C46" s="134">
        <v>35570</v>
      </c>
      <c r="D46" s="134">
        <v>51257</v>
      </c>
      <c r="E46" s="135">
        <v>85566.05</v>
      </c>
      <c r="F46" s="157"/>
      <c r="G46" s="6">
        <f>IF($C46&lt;(DATE(G$2,12,31)),H46/(1+(Assumptions!$B$14)),0)</f>
        <v>0</v>
      </c>
      <c r="H46" s="6">
        <f>IF($C46&lt;(DATE(H$2,12,31)),I46/(1+(Assumptions!$B$14)),0)</f>
        <v>0</v>
      </c>
      <c r="I46" s="6">
        <f>IF($C46&lt;(DATE(I$2,12,31)),J46/(1+(Assumptions!$B$14)),0)</f>
        <v>0</v>
      </c>
      <c r="J46" s="6">
        <f>IF($C46&lt;(DATE(J$2,12,31)),K46/(1+(Assumptions!$B$14)),0)</f>
        <v>0</v>
      </c>
      <c r="K46" s="6">
        <f>IF($C46&lt;(DATE(K$2,12,31)),L46/(1+(Assumptions!$B$14)),0)</f>
        <v>0</v>
      </c>
      <c r="L46" s="6">
        <f>IF($C46&lt;(DATE(L$2,12,31)),M46/(1+(Assumptions!$B$14)),0)</f>
        <v>0</v>
      </c>
      <c r="M46" s="6">
        <f>IF($C46&lt;(DATE(M$2,12,31)),N46/(1+(Assumptions!$B$14)),0)</f>
        <v>0</v>
      </c>
      <c r="N46" s="6">
        <f>IF($C46&lt;(DATE(N$2,12,31)),O46/(1+(Assumptions!$B$14)),0)</f>
        <v>0</v>
      </c>
      <c r="O46" s="6">
        <f>IF($C46&lt;(DATE(O$2,12,31)),P46/(1+(Assumptions!$B$14)),0)</f>
        <v>0</v>
      </c>
      <c r="P46" s="6">
        <f>IF($C46&lt;(DATE(P$2,12,31)),Q46/(1+(Assumptions!$B$14)),0)</f>
        <v>0</v>
      </c>
      <c r="Q46" s="6">
        <f>IF($C46&lt;(DATE(Q$2,12,31)),R46/(1+(Assumptions!$B$14)),0)</f>
        <v>0</v>
      </c>
      <c r="R46" s="6">
        <f>IF($C46&lt;(DATE(R$2,12,31)),S46/(1+(Assumptions!$B$14)),0)</f>
        <v>0</v>
      </c>
      <c r="S46" s="6">
        <f>IF($C46&lt;(DATE(S$2,12,31)),T46/(1+(Assumptions!$B$14)),0)</f>
        <v>0</v>
      </c>
      <c r="T46" s="6">
        <f>IF($C46&lt;(DATE(T$2,12,31)),U46/(1+(Assumptions!$B$14)),0)</f>
        <v>0</v>
      </c>
      <c r="U46" s="6">
        <f>IF($C46&lt;(DATE(U$2,12,31)),V46/(1+(Assumptions!$B$14)),0)</f>
        <v>0</v>
      </c>
      <c r="V46" s="6">
        <f>IF($C46&lt;(DATE(V$2,12,31)),W46/(1+(Assumptions!$B$14)),0)</f>
        <v>0</v>
      </c>
      <c r="W46" s="6">
        <f>IF($C46&lt;(DATE(W$2,12,31)),X46/(1+(Assumptions!$B$14)),0)</f>
        <v>0</v>
      </c>
      <c r="X46" s="6">
        <f>IF($C46&lt;(DATE(X$2,12,31)),Y46/(1+(Assumptions!$B$14)),0)</f>
        <v>0</v>
      </c>
      <c r="Y46" s="6">
        <f>IF($C46&lt;(DATE(Y$2,12,31)),Z46/(1+(Assumptions!$B$14)),0)</f>
        <v>0</v>
      </c>
      <c r="Z46" s="6">
        <f>IF($C46&lt;(DATE(Z$2,12,31)),AA46/(1+(Assumptions!$B$14)),0)</f>
        <v>0</v>
      </c>
      <c r="AA46" s="6">
        <f>IF($C46&lt;(DATE(AA$2,12,31)),AB46/(1+(Assumptions!$B$14)),0)</f>
        <v>43927.320823214897</v>
      </c>
      <c r="AB46" s="6">
        <f>IF($C46&lt;(DATE(AB$2,12,31)),AC46/(1+(Assumptions!$B$14)),0)</f>
        <v>45684.413656143493</v>
      </c>
      <c r="AC46" s="6">
        <f>IF($C46&lt;(DATE(AC$2,12,31)),AD46/(1+(Assumptions!$B$14)),0)</f>
        <v>47511.790202389231</v>
      </c>
      <c r="AD46" s="6">
        <f>IF($C46&lt;(DATE(AD$2,12,31)),AE46/(1+(Assumptions!$B$14)),0)</f>
        <v>49412.261810484801</v>
      </c>
      <c r="AE46" s="6">
        <f>IF($C46&lt;(DATE(AE$2,12,31)),AF46/(1+(Assumptions!$B$14)),0)</f>
        <v>51388.752282904192</v>
      </c>
      <c r="AF46" s="6">
        <f>IF($C46&lt;(DATE(AF$2,12,31)),AG46/(1+(Assumptions!$B$14)),0)</f>
        <v>53444.302374220359</v>
      </c>
      <c r="AG46" s="6">
        <f>IF($C46&lt;(DATE(AG$2,12,31)),AH46/(1+(Assumptions!$B$14)),0)</f>
        <v>55582.074469189174</v>
      </c>
      <c r="AH46" s="6">
        <f>IF($C46&lt;(DATE(AH$2,12,31)),AI46/(1+(Assumptions!$B$14)),0)</f>
        <v>57805.35744795674</v>
      </c>
      <c r="AI46" s="6">
        <f>IF($C46&lt;(DATE(AI$2,12,31)),AJ46/(1+(Assumptions!$B$14)),0)</f>
        <v>60117.571745875015</v>
      </c>
      <c r="AJ46" s="6">
        <f>IF($C46&lt;(DATE(AJ$2,12,31)),AK46/(1+(Assumptions!$B$14)),0)</f>
        <v>62522.274615710019</v>
      </c>
      <c r="AK46" s="6">
        <f>IF($C46&lt;(DATE(AK$2,12,31)),AL46/(1+(Assumptions!$B$14)),0)</f>
        <v>65023.16560033842</v>
      </c>
      <c r="AL46" s="6">
        <f>IF($C46&lt;(DATE(AL$2,12,31)),AM46/(1+(Assumptions!$B$14)),0)</f>
        <v>67624.09222435196</v>
      </c>
      <c r="AM46" s="6">
        <f>IF($C46&lt;(DATE(AM$2,12,31)),AN46/(1+(Assumptions!$B$14)),0)</f>
        <v>70329.055913326039</v>
      </c>
      <c r="AN46" s="6">
        <f>IF($C46&lt;(DATE(AN$2,12,31)),AO46/(1+(Assumptions!$B$14)),0)</f>
        <v>73142.21814985908</v>
      </c>
      <c r="AO46" s="6">
        <f>IF($C46&lt;(DATE(AO$2,12,31)),AP46/(1+(Assumptions!$B$14)),0)</f>
        <v>76067.906875853441</v>
      </c>
      <c r="AP46" s="6">
        <f>IF($C46&lt;(DATE(AP$2,12,31)),AQ46/(1+(Assumptions!$B$14)),0)</f>
        <v>79110.623150887579</v>
      </c>
      <c r="AQ46" s="6">
        <f>IF($C46&lt;(DATE(AQ$2,12,31)),AR46/(1+(Assumptions!$B$14)),0)</f>
        <v>82275.048076923078</v>
      </c>
      <c r="AR46" s="6">
        <f t="shared" si="0"/>
        <v>85566.05</v>
      </c>
      <c r="AS46" s="6">
        <f>AR46*(1+(Assumptions!$B$15))</f>
        <v>88133.031500000012</v>
      </c>
      <c r="AT46" s="6">
        <f>AS46*(1+(Assumptions!$B$15))</f>
        <v>90777.02244500001</v>
      </c>
      <c r="AU46" s="6">
        <f>AT46*(1+(Assumptions!$B$15))</f>
        <v>93500.333118350012</v>
      </c>
      <c r="AV46" s="6">
        <f>AU46*(1+(Assumptions!$B$15))</f>
        <v>96305.343111900511</v>
      </c>
      <c r="AW46" s="6">
        <f>AV46*(1+(Assumptions!$B$15))</f>
        <v>99194.503405257536</v>
      </c>
      <c r="AX46" s="6">
        <f>AW46*(1+(Assumptions!$B$15))</f>
        <v>102170.33850741526</v>
      </c>
      <c r="AY46" s="6">
        <f>AX46*(1+(Assumptions!$B$15))</f>
        <v>105235.44866263772</v>
      </c>
      <c r="AZ46" s="6">
        <f>AY46*(1+(Assumptions!$B$15))</f>
        <v>108392.51212251686</v>
      </c>
      <c r="BA46" s="6">
        <f>AZ46*(1+(Assumptions!$B$15))</f>
        <v>111644.28748619236</v>
      </c>
      <c r="BB46" s="6">
        <f>BA46*(1+(Assumptions!$B$15))</f>
        <v>114993.61611077814</v>
      </c>
      <c r="BC46" s="6">
        <f>BB46*(1+(Assumptions!$B$15))</f>
        <v>118443.42459410148</v>
      </c>
    </row>
    <row r="47" spans="1:55" x14ac:dyDescent="0.25">
      <c r="A47" s="132">
        <v>600</v>
      </c>
      <c r="B47" s="133">
        <v>703</v>
      </c>
      <c r="C47" s="134">
        <v>35278</v>
      </c>
      <c r="D47" s="134">
        <v>51867</v>
      </c>
      <c r="E47" s="135">
        <v>86390.86</v>
      </c>
      <c r="F47" s="157"/>
      <c r="G47" s="6">
        <f>IF($C47&lt;(DATE(G$2,12,31)),H47/(1+(Assumptions!$B$14)),0)</f>
        <v>0</v>
      </c>
      <c r="H47" s="6">
        <f>IF($C47&lt;(DATE(H$2,12,31)),I47/(1+(Assumptions!$B$14)),0)</f>
        <v>0</v>
      </c>
      <c r="I47" s="6">
        <f>IF($C47&lt;(DATE(I$2,12,31)),J47/(1+(Assumptions!$B$14)),0)</f>
        <v>0</v>
      </c>
      <c r="J47" s="6">
        <f>IF($C47&lt;(DATE(J$2,12,31)),K47/(1+(Assumptions!$B$14)),0)</f>
        <v>0</v>
      </c>
      <c r="K47" s="6">
        <f>IF($C47&lt;(DATE(K$2,12,31)),L47/(1+(Assumptions!$B$14)),0)</f>
        <v>0</v>
      </c>
      <c r="L47" s="6">
        <f>IF($C47&lt;(DATE(L$2,12,31)),M47/(1+(Assumptions!$B$14)),0)</f>
        <v>0</v>
      </c>
      <c r="M47" s="6">
        <f>IF($C47&lt;(DATE(M$2,12,31)),N47/(1+(Assumptions!$B$14)),0)</f>
        <v>0</v>
      </c>
      <c r="N47" s="6">
        <f>IF($C47&lt;(DATE(N$2,12,31)),O47/(1+(Assumptions!$B$14)),0)</f>
        <v>0</v>
      </c>
      <c r="O47" s="6">
        <f>IF($C47&lt;(DATE(O$2,12,31)),P47/(1+(Assumptions!$B$14)),0)</f>
        <v>0</v>
      </c>
      <c r="P47" s="6">
        <f>IF($C47&lt;(DATE(P$2,12,31)),Q47/(1+(Assumptions!$B$14)),0)</f>
        <v>0</v>
      </c>
      <c r="Q47" s="6">
        <f>IF($C47&lt;(DATE(Q$2,12,31)),R47/(1+(Assumptions!$B$14)),0)</f>
        <v>0</v>
      </c>
      <c r="R47" s="6">
        <f>IF($C47&lt;(DATE(R$2,12,31)),S47/(1+(Assumptions!$B$14)),0)</f>
        <v>0</v>
      </c>
      <c r="S47" s="6">
        <f>IF($C47&lt;(DATE(S$2,12,31)),T47/(1+(Assumptions!$B$14)),0)</f>
        <v>0</v>
      </c>
      <c r="T47" s="6">
        <f>IF($C47&lt;(DATE(T$2,12,31)),U47/(1+(Assumptions!$B$14)),0)</f>
        <v>0</v>
      </c>
      <c r="U47" s="6">
        <f>IF($C47&lt;(DATE(U$2,12,31)),V47/(1+(Assumptions!$B$14)),0)</f>
        <v>0</v>
      </c>
      <c r="V47" s="6">
        <f>IF($C47&lt;(DATE(V$2,12,31)),W47/(1+(Assumptions!$B$14)),0)</f>
        <v>0</v>
      </c>
      <c r="W47" s="6">
        <f>IF($C47&lt;(DATE(W$2,12,31)),X47/(1+(Assumptions!$B$14)),0)</f>
        <v>0</v>
      </c>
      <c r="X47" s="6">
        <f>IF($C47&lt;(DATE(X$2,12,31)),Y47/(1+(Assumptions!$B$14)),0)</f>
        <v>0</v>
      </c>
      <c r="Y47" s="6">
        <f>IF($C47&lt;(DATE(Y$2,12,31)),Z47/(1+(Assumptions!$B$14)),0)</f>
        <v>0</v>
      </c>
      <c r="Z47" s="6">
        <f>IF($C47&lt;(DATE(Z$2,12,31)),AA47/(1+(Assumptions!$B$14)),0)</f>
        <v>42644.957894351806</v>
      </c>
      <c r="AA47" s="6">
        <f>IF($C47&lt;(DATE(AA$2,12,31)),AB47/(1+(Assumptions!$B$14)),0)</f>
        <v>44350.756210125881</v>
      </c>
      <c r="AB47" s="6">
        <f>IF($C47&lt;(DATE(AB$2,12,31)),AC47/(1+(Assumptions!$B$14)),0)</f>
        <v>46124.786458530914</v>
      </c>
      <c r="AC47" s="6">
        <f>IF($C47&lt;(DATE(AC$2,12,31)),AD47/(1+(Assumptions!$B$14)),0)</f>
        <v>47969.777916872154</v>
      </c>
      <c r="AD47" s="6">
        <f>IF($C47&lt;(DATE(AD$2,12,31)),AE47/(1+(Assumptions!$B$14)),0)</f>
        <v>49888.569033547043</v>
      </c>
      <c r="AE47" s="6">
        <f>IF($C47&lt;(DATE(AE$2,12,31)),AF47/(1+(Assumptions!$B$14)),0)</f>
        <v>51884.11179488893</v>
      </c>
      <c r="AF47" s="6">
        <f>IF($C47&lt;(DATE(AF$2,12,31)),AG47/(1+(Assumptions!$B$14)),0)</f>
        <v>53959.476266684491</v>
      </c>
      <c r="AG47" s="6">
        <f>IF($C47&lt;(DATE(AG$2,12,31)),AH47/(1+(Assumptions!$B$14)),0)</f>
        <v>56117.855317351874</v>
      </c>
      <c r="AH47" s="6">
        <f>IF($C47&lt;(DATE(AH$2,12,31)),AI47/(1+(Assumptions!$B$14)),0)</f>
        <v>58362.569530045948</v>
      </c>
      <c r="AI47" s="6">
        <f>IF($C47&lt;(DATE(AI$2,12,31)),AJ47/(1+(Assumptions!$B$14)),0)</f>
        <v>60697.072311247786</v>
      </c>
      <c r="AJ47" s="6">
        <f>IF($C47&lt;(DATE(AJ$2,12,31)),AK47/(1+(Assumptions!$B$14)),0)</f>
        <v>63124.955203697697</v>
      </c>
      <c r="AK47" s="6">
        <f>IF($C47&lt;(DATE(AK$2,12,31)),AL47/(1+(Assumptions!$B$14)),0)</f>
        <v>65649.953411845607</v>
      </c>
      <c r="AL47" s="6">
        <f>IF($C47&lt;(DATE(AL$2,12,31)),AM47/(1+(Assumptions!$B$14)),0)</f>
        <v>68275.951548319426</v>
      </c>
      <c r="AM47" s="6">
        <f>IF($C47&lt;(DATE(AM$2,12,31)),AN47/(1+(Assumptions!$B$14)),0)</f>
        <v>71006.989610252203</v>
      </c>
      <c r="AN47" s="6">
        <f>IF($C47&lt;(DATE(AN$2,12,31)),AO47/(1+(Assumptions!$B$14)),0)</f>
        <v>73847.269194662294</v>
      </c>
      <c r="AO47" s="6">
        <f>IF($C47&lt;(DATE(AO$2,12,31)),AP47/(1+(Assumptions!$B$14)),0)</f>
        <v>76801.159962448786</v>
      </c>
      <c r="AP47" s="6">
        <f>IF($C47&lt;(DATE(AP$2,12,31)),AQ47/(1+(Assumptions!$B$14)),0)</f>
        <v>79873.206360946744</v>
      </c>
      <c r="AQ47" s="6">
        <f>IF($C47&lt;(DATE(AQ$2,12,31)),AR47/(1+(Assumptions!$B$14)),0)</f>
        <v>83068.13461538461</v>
      </c>
      <c r="AR47" s="6">
        <f t="shared" si="0"/>
        <v>86390.86</v>
      </c>
      <c r="AS47" s="6">
        <f>AR47*(1+(Assumptions!$B$15))</f>
        <v>88982.585800000001</v>
      </c>
      <c r="AT47" s="6">
        <f>AS47*(1+(Assumptions!$B$15))</f>
        <v>91652.063374000005</v>
      </c>
      <c r="AU47" s="6">
        <f>AT47*(1+(Assumptions!$B$15))</f>
        <v>94401.625275220009</v>
      </c>
      <c r="AV47" s="6">
        <f>AU47*(1+(Assumptions!$B$15))</f>
        <v>97233.674033476607</v>
      </c>
      <c r="AW47" s="6">
        <f>AV47*(1+(Assumptions!$B$15))</f>
        <v>100150.6842544809</v>
      </c>
      <c r="AX47" s="6">
        <f>AW47*(1+(Assumptions!$B$15))</f>
        <v>103155.20478211534</v>
      </c>
      <c r="AY47" s="6">
        <f>AX47*(1+(Assumptions!$B$15))</f>
        <v>106249.8609255788</v>
      </c>
      <c r="AZ47" s="6">
        <f>AY47*(1+(Assumptions!$B$15))</f>
        <v>109437.35675334618</v>
      </c>
      <c r="BA47" s="6">
        <f>AZ47*(1+(Assumptions!$B$15))</f>
        <v>112720.47745594656</v>
      </c>
      <c r="BB47" s="6">
        <f>BA47*(1+(Assumptions!$B$15))</f>
        <v>116102.09177962496</v>
      </c>
      <c r="BC47" s="6">
        <f>BB47*(1+(Assumptions!$B$15))</f>
        <v>119585.1545330137</v>
      </c>
    </row>
    <row r="48" spans="1:55" x14ac:dyDescent="0.25">
      <c r="A48" s="132">
        <v>600</v>
      </c>
      <c r="B48" s="133">
        <v>698</v>
      </c>
      <c r="C48" s="134">
        <v>35087</v>
      </c>
      <c r="D48" s="134">
        <v>51745</v>
      </c>
      <c r="E48" s="135">
        <v>87215.67</v>
      </c>
      <c r="F48" s="157"/>
      <c r="G48" s="6">
        <f>IF($C48&lt;(DATE(G$2,12,31)),H48/(1+(Assumptions!$B$14)),0)</f>
        <v>0</v>
      </c>
      <c r="H48" s="6">
        <f>IF($C48&lt;(DATE(H$2,12,31)),I48/(1+(Assumptions!$B$14)),0)</f>
        <v>0</v>
      </c>
      <c r="I48" s="6">
        <f>IF($C48&lt;(DATE(I$2,12,31)),J48/(1+(Assumptions!$B$14)),0)</f>
        <v>0</v>
      </c>
      <c r="J48" s="6">
        <f>IF($C48&lt;(DATE(J$2,12,31)),K48/(1+(Assumptions!$B$14)),0)</f>
        <v>0</v>
      </c>
      <c r="K48" s="6">
        <f>IF($C48&lt;(DATE(K$2,12,31)),L48/(1+(Assumptions!$B$14)),0)</f>
        <v>0</v>
      </c>
      <c r="L48" s="6">
        <f>IF($C48&lt;(DATE(L$2,12,31)),M48/(1+(Assumptions!$B$14)),0)</f>
        <v>0</v>
      </c>
      <c r="M48" s="6">
        <f>IF($C48&lt;(DATE(M$2,12,31)),N48/(1+(Assumptions!$B$14)),0)</f>
        <v>0</v>
      </c>
      <c r="N48" s="6">
        <f>IF($C48&lt;(DATE(N$2,12,31)),O48/(1+(Assumptions!$B$14)),0)</f>
        <v>0</v>
      </c>
      <c r="O48" s="6">
        <f>IF($C48&lt;(DATE(O$2,12,31)),P48/(1+(Assumptions!$B$14)),0)</f>
        <v>0</v>
      </c>
      <c r="P48" s="6">
        <f>IF($C48&lt;(DATE(P$2,12,31)),Q48/(1+(Assumptions!$B$14)),0)</f>
        <v>0</v>
      </c>
      <c r="Q48" s="6">
        <f>IF($C48&lt;(DATE(Q$2,12,31)),R48/(1+(Assumptions!$B$14)),0)</f>
        <v>0</v>
      </c>
      <c r="R48" s="6">
        <f>IF($C48&lt;(DATE(R$2,12,31)),S48/(1+(Assumptions!$B$14)),0)</f>
        <v>0</v>
      </c>
      <c r="S48" s="6">
        <f>IF($C48&lt;(DATE(S$2,12,31)),T48/(1+(Assumptions!$B$14)),0)</f>
        <v>0</v>
      </c>
      <c r="T48" s="6">
        <f>IF($C48&lt;(DATE(T$2,12,31)),U48/(1+(Assumptions!$B$14)),0)</f>
        <v>0</v>
      </c>
      <c r="U48" s="6">
        <f>IF($C48&lt;(DATE(U$2,12,31)),V48/(1+(Assumptions!$B$14)),0)</f>
        <v>0</v>
      </c>
      <c r="V48" s="6">
        <f>IF($C48&lt;(DATE(V$2,12,31)),W48/(1+(Assumptions!$B$14)),0)</f>
        <v>0</v>
      </c>
      <c r="W48" s="6">
        <f>IF($C48&lt;(DATE(W$2,12,31)),X48/(1+(Assumptions!$B$14)),0)</f>
        <v>0</v>
      </c>
      <c r="X48" s="6">
        <f>IF($C48&lt;(DATE(X$2,12,31)),Y48/(1+(Assumptions!$B$14)),0)</f>
        <v>0</v>
      </c>
      <c r="Y48" s="6">
        <f>IF($C48&lt;(DATE(Y$2,12,31)),Z48/(1+(Assumptions!$B$14)),0)</f>
        <v>0</v>
      </c>
      <c r="Z48" s="6">
        <f>IF($C48&lt;(DATE(Z$2,12,31)),AA48/(1+(Assumptions!$B$14)),0)</f>
        <v>43052.10730484315</v>
      </c>
      <c r="AA48" s="6">
        <f>IF($C48&lt;(DATE(AA$2,12,31)),AB48/(1+(Assumptions!$B$14)),0)</f>
        <v>44774.191597036879</v>
      </c>
      <c r="AB48" s="6">
        <f>IF($C48&lt;(DATE(AB$2,12,31)),AC48/(1+(Assumptions!$B$14)),0)</f>
        <v>46565.159260918357</v>
      </c>
      <c r="AC48" s="6">
        <f>IF($C48&lt;(DATE(AC$2,12,31)),AD48/(1+(Assumptions!$B$14)),0)</f>
        <v>48427.765631355091</v>
      </c>
      <c r="AD48" s="6">
        <f>IF($C48&lt;(DATE(AD$2,12,31)),AE48/(1+(Assumptions!$B$14)),0)</f>
        <v>50364.876256609299</v>
      </c>
      <c r="AE48" s="6">
        <f>IF($C48&lt;(DATE(AE$2,12,31)),AF48/(1+(Assumptions!$B$14)),0)</f>
        <v>52379.471306873675</v>
      </c>
      <c r="AF48" s="6">
        <f>IF($C48&lt;(DATE(AF$2,12,31)),AG48/(1+(Assumptions!$B$14)),0)</f>
        <v>54474.650159148623</v>
      </c>
      <c r="AG48" s="6">
        <f>IF($C48&lt;(DATE(AG$2,12,31)),AH48/(1+(Assumptions!$B$14)),0)</f>
        <v>56653.636165514567</v>
      </c>
      <c r="AH48" s="6">
        <f>IF($C48&lt;(DATE(AH$2,12,31)),AI48/(1+(Assumptions!$B$14)),0)</f>
        <v>58919.78161213515</v>
      </c>
      <c r="AI48" s="6">
        <f>IF($C48&lt;(DATE(AI$2,12,31)),AJ48/(1+(Assumptions!$B$14)),0)</f>
        <v>61276.572876620558</v>
      </c>
      <c r="AJ48" s="6">
        <f>IF($C48&lt;(DATE(AJ$2,12,31)),AK48/(1+(Assumptions!$B$14)),0)</f>
        <v>63727.635791685381</v>
      </c>
      <c r="AK48" s="6">
        <f>IF($C48&lt;(DATE(AK$2,12,31)),AL48/(1+(Assumptions!$B$14)),0)</f>
        <v>66276.741223352801</v>
      </c>
      <c r="AL48" s="6">
        <f>IF($C48&lt;(DATE(AL$2,12,31)),AM48/(1+(Assumptions!$B$14)),0)</f>
        <v>68927.810872286922</v>
      </c>
      <c r="AM48" s="6">
        <f>IF($C48&lt;(DATE(AM$2,12,31)),AN48/(1+(Assumptions!$B$14)),0)</f>
        <v>71684.923307178396</v>
      </c>
      <c r="AN48" s="6">
        <f>IF($C48&lt;(DATE(AN$2,12,31)),AO48/(1+(Assumptions!$B$14)),0)</f>
        <v>74552.320239465538</v>
      </c>
      <c r="AO48" s="6">
        <f>IF($C48&lt;(DATE(AO$2,12,31)),AP48/(1+(Assumptions!$B$14)),0)</f>
        <v>77534.41304904416</v>
      </c>
      <c r="AP48" s="6">
        <f>IF($C48&lt;(DATE(AP$2,12,31)),AQ48/(1+(Assumptions!$B$14)),0)</f>
        <v>80635.789571005924</v>
      </c>
      <c r="AQ48" s="6">
        <f>IF($C48&lt;(DATE(AQ$2,12,31)),AR48/(1+(Assumptions!$B$14)),0)</f>
        <v>83861.221153846156</v>
      </c>
      <c r="AR48" s="6">
        <f t="shared" si="0"/>
        <v>87215.67</v>
      </c>
      <c r="AS48" s="6">
        <f>AR48*(1+(Assumptions!$B$15))</f>
        <v>89832.140100000004</v>
      </c>
      <c r="AT48" s="6">
        <f>AS48*(1+(Assumptions!$B$15))</f>
        <v>92527.104303</v>
      </c>
      <c r="AU48" s="6">
        <f>AT48*(1+(Assumptions!$B$15))</f>
        <v>95302.917432090006</v>
      </c>
      <c r="AV48" s="6">
        <f>AU48*(1+(Assumptions!$B$15))</f>
        <v>98162.004955052704</v>
      </c>
      <c r="AW48" s="6">
        <f>AV48*(1+(Assumptions!$B$15))</f>
        <v>101106.86510370429</v>
      </c>
      <c r="AX48" s="6">
        <f>AW48*(1+(Assumptions!$B$15))</f>
        <v>104140.07105681542</v>
      </c>
      <c r="AY48" s="6">
        <f>AX48*(1+(Assumptions!$B$15))</f>
        <v>107264.27318851989</v>
      </c>
      <c r="AZ48" s="6">
        <f>AY48*(1+(Assumptions!$B$15))</f>
        <v>110482.20138417548</v>
      </c>
      <c r="BA48" s="6">
        <f>AZ48*(1+(Assumptions!$B$15))</f>
        <v>113796.66742570075</v>
      </c>
      <c r="BB48" s="6">
        <f>BA48*(1+(Assumptions!$B$15))</f>
        <v>117210.56744847177</v>
      </c>
      <c r="BC48" s="6">
        <f>BB48*(1+(Assumptions!$B$15))</f>
        <v>120726.88447192594</v>
      </c>
    </row>
    <row r="49" spans="1:55" x14ac:dyDescent="0.25">
      <c r="A49" s="132">
        <v>600</v>
      </c>
      <c r="B49" s="133">
        <v>697</v>
      </c>
      <c r="C49" s="134">
        <v>35735</v>
      </c>
      <c r="D49" s="134">
        <v>46054</v>
      </c>
      <c r="E49" s="135">
        <v>88040.49</v>
      </c>
      <c r="F49" s="157"/>
      <c r="G49" s="6">
        <f>IF($C49&lt;(DATE(G$2,12,31)),H49/(1+(Assumptions!$B$14)),0)</f>
        <v>0</v>
      </c>
      <c r="H49" s="6">
        <f>IF($C49&lt;(DATE(H$2,12,31)),I49/(1+(Assumptions!$B$14)),0)</f>
        <v>0</v>
      </c>
      <c r="I49" s="6">
        <f>IF($C49&lt;(DATE(I$2,12,31)),J49/(1+(Assumptions!$B$14)),0)</f>
        <v>0</v>
      </c>
      <c r="J49" s="6">
        <f>IF($C49&lt;(DATE(J$2,12,31)),K49/(1+(Assumptions!$B$14)),0)</f>
        <v>0</v>
      </c>
      <c r="K49" s="6">
        <f>IF($C49&lt;(DATE(K$2,12,31)),L49/(1+(Assumptions!$B$14)),0)</f>
        <v>0</v>
      </c>
      <c r="L49" s="6">
        <f>IF($C49&lt;(DATE(L$2,12,31)),M49/(1+(Assumptions!$B$14)),0)</f>
        <v>0</v>
      </c>
      <c r="M49" s="6">
        <f>IF($C49&lt;(DATE(M$2,12,31)),N49/(1+(Assumptions!$B$14)),0)</f>
        <v>0</v>
      </c>
      <c r="N49" s="6">
        <f>IF($C49&lt;(DATE(N$2,12,31)),O49/(1+(Assumptions!$B$14)),0)</f>
        <v>0</v>
      </c>
      <c r="O49" s="6">
        <f>IF($C49&lt;(DATE(O$2,12,31)),P49/(1+(Assumptions!$B$14)),0)</f>
        <v>0</v>
      </c>
      <c r="P49" s="6">
        <f>IF($C49&lt;(DATE(P$2,12,31)),Q49/(1+(Assumptions!$B$14)),0)</f>
        <v>0</v>
      </c>
      <c r="Q49" s="6">
        <f>IF($C49&lt;(DATE(Q$2,12,31)),R49/(1+(Assumptions!$B$14)),0)</f>
        <v>0</v>
      </c>
      <c r="R49" s="6">
        <f>IF($C49&lt;(DATE(R$2,12,31)),S49/(1+(Assumptions!$B$14)),0)</f>
        <v>0</v>
      </c>
      <c r="S49" s="6">
        <f>IF($C49&lt;(DATE(S$2,12,31)),T49/(1+(Assumptions!$B$14)),0)</f>
        <v>0</v>
      </c>
      <c r="T49" s="6">
        <f>IF($C49&lt;(DATE(T$2,12,31)),U49/(1+(Assumptions!$B$14)),0)</f>
        <v>0</v>
      </c>
      <c r="U49" s="6">
        <f>IF($C49&lt;(DATE(U$2,12,31)),V49/(1+(Assumptions!$B$14)),0)</f>
        <v>0</v>
      </c>
      <c r="V49" s="6">
        <f>IF($C49&lt;(DATE(V$2,12,31)),W49/(1+(Assumptions!$B$14)),0)</f>
        <v>0</v>
      </c>
      <c r="W49" s="6">
        <f>IF($C49&lt;(DATE(W$2,12,31)),X49/(1+(Assumptions!$B$14)),0)</f>
        <v>0</v>
      </c>
      <c r="X49" s="6">
        <f>IF($C49&lt;(DATE(X$2,12,31)),Y49/(1+(Assumptions!$B$14)),0)</f>
        <v>0</v>
      </c>
      <c r="Y49" s="6">
        <f>IF($C49&lt;(DATE(Y$2,12,31)),Z49/(1+(Assumptions!$B$14)),0)</f>
        <v>0</v>
      </c>
      <c r="Z49" s="6">
        <f>IF($C49&lt;(DATE(Z$2,12,31)),AA49/(1+(Assumptions!$B$14)),0)</f>
        <v>0</v>
      </c>
      <c r="AA49" s="6">
        <f>IF($C49&lt;(DATE(AA$2,12,31)),AB49/(1+(Assumptions!$B$14)),0)</f>
        <v>45197.632117680332</v>
      </c>
      <c r="AB49" s="6">
        <f>IF($C49&lt;(DATE(AB$2,12,31)),AC49/(1+(Assumptions!$B$14)),0)</f>
        <v>47005.537402387548</v>
      </c>
      <c r="AC49" s="6">
        <f>IF($C49&lt;(DATE(AC$2,12,31)),AD49/(1+(Assumptions!$B$14)),0)</f>
        <v>48885.758898483051</v>
      </c>
      <c r="AD49" s="6">
        <f>IF($C49&lt;(DATE(AD$2,12,31)),AE49/(1+(Assumptions!$B$14)),0)</f>
        <v>50841.189254422374</v>
      </c>
      <c r="AE49" s="6">
        <f>IF($C49&lt;(DATE(AE$2,12,31)),AF49/(1+(Assumptions!$B$14)),0)</f>
        <v>52874.836824599268</v>
      </c>
      <c r="AF49" s="6">
        <f>IF($C49&lt;(DATE(AF$2,12,31)),AG49/(1+(Assumptions!$B$14)),0)</f>
        <v>54989.830297583241</v>
      </c>
      <c r="AG49" s="6">
        <f>IF($C49&lt;(DATE(AG$2,12,31)),AH49/(1+(Assumptions!$B$14)),0)</f>
        <v>57189.423509486573</v>
      </c>
      <c r="AH49" s="6">
        <f>IF($C49&lt;(DATE(AH$2,12,31)),AI49/(1+(Assumptions!$B$14)),0)</f>
        <v>59477.000449866035</v>
      </c>
      <c r="AI49" s="6">
        <f>IF($C49&lt;(DATE(AI$2,12,31)),AJ49/(1+(Assumptions!$B$14)),0)</f>
        <v>61856.08046786068</v>
      </c>
      <c r="AJ49" s="6">
        <f>IF($C49&lt;(DATE(AJ$2,12,31)),AK49/(1+(Assumptions!$B$14)),0)</f>
        <v>64330.32368657511</v>
      </c>
      <c r="AK49" s="6">
        <f>IF($C49&lt;(DATE(AK$2,12,31)),AL49/(1+(Assumptions!$B$14)),0)</f>
        <v>66903.536634038115</v>
      </c>
      <c r="AL49" s="6">
        <f>IF($C49&lt;(DATE(AL$2,12,31)),AM49/(1+(Assumptions!$B$14)),0)</f>
        <v>69579.678099399636</v>
      </c>
      <c r="AM49" s="6">
        <f>IF($C49&lt;(DATE(AM$2,12,31)),AN49/(1+(Assumptions!$B$14)),0)</f>
        <v>72362.865223375629</v>
      </c>
      <c r="AN49" s="6">
        <f>IF($C49&lt;(DATE(AN$2,12,31)),AO49/(1+(Assumptions!$B$14)),0)</f>
        <v>75257.37983231066</v>
      </c>
      <c r="AO49" s="6">
        <f>IF($C49&lt;(DATE(AO$2,12,31)),AP49/(1+(Assumptions!$B$14)),0)</f>
        <v>78267.675025603094</v>
      </c>
      <c r="AP49" s="6">
        <f>IF($C49&lt;(DATE(AP$2,12,31)),AQ49/(1+(Assumptions!$B$14)),0)</f>
        <v>81398.382026627223</v>
      </c>
      <c r="AQ49" s="6">
        <f>IF($C49&lt;(DATE(AQ$2,12,31)),AR49/(1+(Assumptions!$B$14)),0)</f>
        <v>84654.317307692312</v>
      </c>
      <c r="AR49" s="6">
        <f t="shared" si="0"/>
        <v>88040.49</v>
      </c>
      <c r="AS49" s="6">
        <f>AR49*(1+(Assumptions!$B$15))</f>
        <v>90681.704700000002</v>
      </c>
      <c r="AT49" s="6">
        <f>AS49*(1+(Assumptions!$B$15))</f>
        <v>93402.155841</v>
      </c>
      <c r="AU49" s="6">
        <f>AT49*(1+(Assumptions!$B$15))</f>
        <v>96204.220516230009</v>
      </c>
      <c r="AV49" s="6">
        <f>AU49*(1+(Assumptions!$B$15))</f>
        <v>99090.347131716917</v>
      </c>
      <c r="AW49" s="6">
        <f>AV49*(1+(Assumptions!$B$15))</f>
        <v>102063.05754566843</v>
      </c>
      <c r="AX49" s="6">
        <f>AW49*(1+(Assumptions!$B$15))</f>
        <v>105124.94927203849</v>
      </c>
      <c r="AY49" s="6">
        <f>AX49*(1+(Assumptions!$B$15))</f>
        <v>108278.69775019964</v>
      </c>
      <c r="AZ49" s="6">
        <f>AY49*(1+(Assumptions!$B$15))</f>
        <v>111527.05868270564</v>
      </c>
      <c r="BA49" s="6">
        <f>AZ49*(1+(Assumptions!$B$15))</f>
        <v>114872.87044318681</v>
      </c>
      <c r="BB49" s="6">
        <f>BA49*(1+(Assumptions!$B$15))</f>
        <v>118319.05655648242</v>
      </c>
      <c r="BC49" s="6">
        <f>BB49*(1+(Assumptions!$B$15))</f>
        <v>121868.6282531769</v>
      </c>
    </row>
    <row r="50" spans="1:55" x14ac:dyDescent="0.25">
      <c r="A50" s="132">
        <v>600</v>
      </c>
      <c r="B50" s="133">
        <v>696</v>
      </c>
      <c r="C50" s="134">
        <v>35317</v>
      </c>
      <c r="D50" s="134">
        <v>48274</v>
      </c>
      <c r="E50" s="135">
        <v>88865.3</v>
      </c>
      <c r="F50" s="157"/>
      <c r="G50" s="6">
        <f>IF($C50&lt;(DATE(G$2,12,31)),H50/(1+(Assumptions!$B$14)),0)</f>
        <v>0</v>
      </c>
      <c r="H50" s="6">
        <f>IF($C50&lt;(DATE(H$2,12,31)),I50/(1+(Assumptions!$B$14)),0)</f>
        <v>0</v>
      </c>
      <c r="I50" s="6">
        <f>IF($C50&lt;(DATE(I$2,12,31)),J50/(1+(Assumptions!$B$14)),0)</f>
        <v>0</v>
      </c>
      <c r="J50" s="6">
        <f>IF($C50&lt;(DATE(J$2,12,31)),K50/(1+(Assumptions!$B$14)),0)</f>
        <v>0</v>
      </c>
      <c r="K50" s="6">
        <f>IF($C50&lt;(DATE(K$2,12,31)),L50/(1+(Assumptions!$B$14)),0)</f>
        <v>0</v>
      </c>
      <c r="L50" s="6">
        <f>IF($C50&lt;(DATE(L$2,12,31)),M50/(1+(Assumptions!$B$14)),0)</f>
        <v>0</v>
      </c>
      <c r="M50" s="6">
        <f>IF($C50&lt;(DATE(M$2,12,31)),N50/(1+(Assumptions!$B$14)),0)</f>
        <v>0</v>
      </c>
      <c r="N50" s="6">
        <f>IF($C50&lt;(DATE(N$2,12,31)),O50/(1+(Assumptions!$B$14)),0)</f>
        <v>0</v>
      </c>
      <c r="O50" s="6">
        <f>IF($C50&lt;(DATE(O$2,12,31)),P50/(1+(Assumptions!$B$14)),0)</f>
        <v>0</v>
      </c>
      <c r="P50" s="6">
        <f>IF($C50&lt;(DATE(P$2,12,31)),Q50/(1+(Assumptions!$B$14)),0)</f>
        <v>0</v>
      </c>
      <c r="Q50" s="6">
        <f>IF($C50&lt;(DATE(Q$2,12,31)),R50/(1+(Assumptions!$B$14)),0)</f>
        <v>0</v>
      </c>
      <c r="R50" s="6">
        <f>IF($C50&lt;(DATE(R$2,12,31)),S50/(1+(Assumptions!$B$14)),0)</f>
        <v>0</v>
      </c>
      <c r="S50" s="6">
        <f>IF($C50&lt;(DATE(S$2,12,31)),T50/(1+(Assumptions!$B$14)),0)</f>
        <v>0</v>
      </c>
      <c r="T50" s="6">
        <f>IF($C50&lt;(DATE(T$2,12,31)),U50/(1+(Assumptions!$B$14)),0)</f>
        <v>0</v>
      </c>
      <c r="U50" s="6">
        <f>IF($C50&lt;(DATE(U$2,12,31)),V50/(1+(Assumptions!$B$14)),0)</f>
        <v>0</v>
      </c>
      <c r="V50" s="6">
        <f>IF($C50&lt;(DATE(V$2,12,31)),W50/(1+(Assumptions!$B$14)),0)</f>
        <v>0</v>
      </c>
      <c r="W50" s="6">
        <f>IF($C50&lt;(DATE(W$2,12,31)),X50/(1+(Assumptions!$B$14)),0)</f>
        <v>0</v>
      </c>
      <c r="X50" s="6">
        <f>IF($C50&lt;(DATE(X$2,12,31)),Y50/(1+(Assumptions!$B$14)),0)</f>
        <v>0</v>
      </c>
      <c r="Y50" s="6">
        <f>IF($C50&lt;(DATE(Y$2,12,31)),Z50/(1+(Assumptions!$B$14)),0)</f>
        <v>0</v>
      </c>
      <c r="Z50" s="6">
        <f>IF($C50&lt;(DATE(Z$2,12,31)),AA50/(1+(Assumptions!$B$14)),0)</f>
        <v>43866.411062107036</v>
      </c>
      <c r="AA50" s="6">
        <f>IF($C50&lt;(DATE(AA$2,12,31)),AB50/(1+(Assumptions!$B$14)),0)</f>
        <v>45621.067504591316</v>
      </c>
      <c r="AB50" s="6">
        <f>IF($C50&lt;(DATE(AB$2,12,31)),AC50/(1+(Assumptions!$B$14)),0)</f>
        <v>47445.910204774969</v>
      </c>
      <c r="AC50" s="6">
        <f>IF($C50&lt;(DATE(AC$2,12,31)),AD50/(1+(Assumptions!$B$14)),0)</f>
        <v>49343.746612965973</v>
      </c>
      <c r="AD50" s="6">
        <f>IF($C50&lt;(DATE(AD$2,12,31)),AE50/(1+(Assumptions!$B$14)),0)</f>
        <v>51317.496477484616</v>
      </c>
      <c r="AE50" s="6">
        <f>IF($C50&lt;(DATE(AE$2,12,31)),AF50/(1+(Assumptions!$B$14)),0)</f>
        <v>53370.196336584006</v>
      </c>
      <c r="AF50" s="6">
        <f>IF($C50&lt;(DATE(AF$2,12,31)),AG50/(1+(Assumptions!$B$14)),0)</f>
        <v>55505.004190047366</v>
      </c>
      <c r="AG50" s="6">
        <f>IF($C50&lt;(DATE(AG$2,12,31)),AH50/(1+(Assumptions!$B$14)),0)</f>
        <v>57725.204357649265</v>
      </c>
      <c r="AH50" s="6">
        <f>IF($C50&lt;(DATE(AH$2,12,31)),AI50/(1+(Assumptions!$B$14)),0)</f>
        <v>60034.212531955236</v>
      </c>
      <c r="AI50" s="6">
        <f>IF($C50&lt;(DATE(AI$2,12,31)),AJ50/(1+(Assumptions!$B$14)),0)</f>
        <v>62435.581033233451</v>
      </c>
      <c r="AJ50" s="6">
        <f>IF($C50&lt;(DATE(AJ$2,12,31)),AK50/(1+(Assumptions!$B$14)),0)</f>
        <v>64933.004274562794</v>
      </c>
      <c r="AK50" s="6">
        <f>IF($C50&lt;(DATE(AK$2,12,31)),AL50/(1+(Assumptions!$B$14)),0)</f>
        <v>67530.32444554531</v>
      </c>
      <c r="AL50" s="6">
        <f>IF($C50&lt;(DATE(AL$2,12,31)),AM50/(1+(Assumptions!$B$14)),0)</f>
        <v>70231.537423367117</v>
      </c>
      <c r="AM50" s="6">
        <f>IF($C50&lt;(DATE(AM$2,12,31)),AN50/(1+(Assumptions!$B$14)),0)</f>
        <v>73040.798920301808</v>
      </c>
      <c r="AN50" s="6">
        <f>IF($C50&lt;(DATE(AN$2,12,31)),AO50/(1+(Assumptions!$B$14)),0)</f>
        <v>75962.430877113889</v>
      </c>
      <c r="AO50" s="6">
        <f>IF($C50&lt;(DATE(AO$2,12,31)),AP50/(1+(Assumptions!$B$14)),0)</f>
        <v>79000.928112198453</v>
      </c>
      <c r="AP50" s="6">
        <f>IF($C50&lt;(DATE(AP$2,12,31)),AQ50/(1+(Assumptions!$B$14)),0)</f>
        <v>82160.965236686388</v>
      </c>
      <c r="AQ50" s="6">
        <f>IF($C50&lt;(DATE(AQ$2,12,31)),AR50/(1+(Assumptions!$B$14)),0)</f>
        <v>85447.403846153844</v>
      </c>
      <c r="AR50" s="6">
        <f t="shared" si="0"/>
        <v>88865.3</v>
      </c>
      <c r="AS50" s="6">
        <f>AR50*(1+(Assumptions!$B$15))</f>
        <v>91531.259000000005</v>
      </c>
      <c r="AT50" s="6">
        <f>AS50*(1+(Assumptions!$B$15))</f>
        <v>94277.19677000001</v>
      </c>
      <c r="AU50" s="6">
        <f>AT50*(1+(Assumptions!$B$15))</f>
        <v>97105.512673100005</v>
      </c>
      <c r="AV50" s="6">
        <f>AU50*(1+(Assumptions!$B$15))</f>
        <v>100018.67805329301</v>
      </c>
      <c r="AW50" s="6">
        <f>AV50*(1+(Assumptions!$B$15))</f>
        <v>103019.2383948918</v>
      </c>
      <c r="AX50" s="6">
        <f>AW50*(1+(Assumptions!$B$15))</f>
        <v>106109.81554673855</v>
      </c>
      <c r="AY50" s="6">
        <f>AX50*(1+(Assumptions!$B$15))</f>
        <v>109293.11001314071</v>
      </c>
      <c r="AZ50" s="6">
        <f>AY50*(1+(Assumptions!$B$15))</f>
        <v>112571.90331353495</v>
      </c>
      <c r="BA50" s="6">
        <f>AZ50*(1+(Assumptions!$B$15))</f>
        <v>115949.06041294099</v>
      </c>
      <c r="BB50" s="6">
        <f>BA50*(1+(Assumptions!$B$15))</f>
        <v>119427.53222532923</v>
      </c>
      <c r="BC50" s="6">
        <f>BB50*(1+(Assumptions!$B$15))</f>
        <v>123010.3581920891</v>
      </c>
    </row>
    <row r="51" spans="1:55" x14ac:dyDescent="0.25">
      <c r="A51" s="132">
        <v>600</v>
      </c>
      <c r="B51" s="133">
        <v>694</v>
      </c>
      <c r="C51" s="134">
        <v>34877</v>
      </c>
      <c r="D51" s="134">
        <v>49675</v>
      </c>
      <c r="E51" s="135">
        <v>89690.11</v>
      </c>
      <c r="F51" s="157"/>
      <c r="G51" s="6">
        <f>IF($C51&lt;(DATE(G$2,12,31)),H51/(1+(Assumptions!$B$14)),0)</f>
        <v>0</v>
      </c>
      <c r="H51" s="6">
        <f>IF($C51&lt;(DATE(H$2,12,31)),I51/(1+(Assumptions!$B$14)),0)</f>
        <v>0</v>
      </c>
      <c r="I51" s="6">
        <f>IF($C51&lt;(DATE(I$2,12,31)),J51/(1+(Assumptions!$B$14)),0)</f>
        <v>0</v>
      </c>
      <c r="J51" s="6">
        <f>IF($C51&lt;(DATE(J$2,12,31)),K51/(1+(Assumptions!$B$14)),0)</f>
        <v>0</v>
      </c>
      <c r="K51" s="6">
        <f>IF($C51&lt;(DATE(K$2,12,31)),L51/(1+(Assumptions!$B$14)),0)</f>
        <v>0</v>
      </c>
      <c r="L51" s="6">
        <f>IF($C51&lt;(DATE(L$2,12,31)),M51/(1+(Assumptions!$B$14)),0)</f>
        <v>0</v>
      </c>
      <c r="M51" s="6">
        <f>IF($C51&lt;(DATE(M$2,12,31)),N51/(1+(Assumptions!$B$14)),0)</f>
        <v>0</v>
      </c>
      <c r="N51" s="6">
        <f>IF($C51&lt;(DATE(N$2,12,31)),O51/(1+(Assumptions!$B$14)),0)</f>
        <v>0</v>
      </c>
      <c r="O51" s="6">
        <f>IF($C51&lt;(DATE(O$2,12,31)),P51/(1+(Assumptions!$B$14)),0)</f>
        <v>0</v>
      </c>
      <c r="P51" s="6">
        <f>IF($C51&lt;(DATE(P$2,12,31)),Q51/(1+(Assumptions!$B$14)),0)</f>
        <v>0</v>
      </c>
      <c r="Q51" s="6">
        <f>IF($C51&lt;(DATE(Q$2,12,31)),R51/(1+(Assumptions!$B$14)),0)</f>
        <v>0</v>
      </c>
      <c r="R51" s="6">
        <f>IF($C51&lt;(DATE(R$2,12,31)),S51/(1+(Assumptions!$B$14)),0)</f>
        <v>0</v>
      </c>
      <c r="S51" s="6">
        <f>IF($C51&lt;(DATE(S$2,12,31)),T51/(1+(Assumptions!$B$14)),0)</f>
        <v>0</v>
      </c>
      <c r="T51" s="6">
        <f>IF($C51&lt;(DATE(T$2,12,31)),U51/(1+(Assumptions!$B$14)),0)</f>
        <v>0</v>
      </c>
      <c r="U51" s="6">
        <f>IF($C51&lt;(DATE(U$2,12,31)),V51/(1+(Assumptions!$B$14)),0)</f>
        <v>0</v>
      </c>
      <c r="V51" s="6">
        <f>IF($C51&lt;(DATE(V$2,12,31)),W51/(1+(Assumptions!$B$14)),0)</f>
        <v>0</v>
      </c>
      <c r="W51" s="6">
        <f>IF($C51&lt;(DATE(W$2,12,31)),X51/(1+(Assumptions!$B$14)),0)</f>
        <v>0</v>
      </c>
      <c r="X51" s="6">
        <f>IF($C51&lt;(DATE(X$2,12,31)),Y51/(1+(Assumptions!$B$14)),0)</f>
        <v>0</v>
      </c>
      <c r="Y51" s="6">
        <f>IF($C51&lt;(DATE(Y$2,12,31)),Z51/(1+(Assumptions!$B$14)),0)</f>
        <v>42570.731223652292</v>
      </c>
      <c r="Z51" s="6">
        <f>IF($C51&lt;(DATE(Z$2,12,31)),AA51/(1+(Assumptions!$B$14)),0)</f>
        <v>44273.560472598387</v>
      </c>
      <c r="AA51" s="6">
        <f>IF($C51&lt;(DATE(AA$2,12,31)),AB51/(1+(Assumptions!$B$14)),0)</f>
        <v>46044.502891502321</v>
      </c>
      <c r="AB51" s="6">
        <f>IF($C51&lt;(DATE(AB$2,12,31)),AC51/(1+(Assumptions!$B$14)),0)</f>
        <v>47886.283007162412</v>
      </c>
      <c r="AC51" s="6">
        <f>IF($C51&lt;(DATE(AC$2,12,31)),AD51/(1+(Assumptions!$B$14)),0)</f>
        <v>49801.73432744891</v>
      </c>
      <c r="AD51" s="6">
        <f>IF($C51&lt;(DATE(AD$2,12,31)),AE51/(1+(Assumptions!$B$14)),0)</f>
        <v>51793.803700546872</v>
      </c>
      <c r="AE51" s="6">
        <f>IF($C51&lt;(DATE(AE$2,12,31)),AF51/(1+(Assumptions!$B$14)),0)</f>
        <v>53865.555848568751</v>
      </c>
      <c r="AF51" s="6">
        <f>IF($C51&lt;(DATE(AF$2,12,31)),AG51/(1+(Assumptions!$B$14)),0)</f>
        <v>56020.178082511506</v>
      </c>
      <c r="AG51" s="6">
        <f>IF($C51&lt;(DATE(AG$2,12,31)),AH51/(1+(Assumptions!$B$14)),0)</f>
        <v>58260.985205811965</v>
      </c>
      <c r="AH51" s="6">
        <f>IF($C51&lt;(DATE(AH$2,12,31)),AI51/(1+(Assumptions!$B$14)),0)</f>
        <v>60591.424614044445</v>
      </c>
      <c r="AI51" s="6">
        <f>IF($C51&lt;(DATE(AI$2,12,31)),AJ51/(1+(Assumptions!$B$14)),0)</f>
        <v>63015.081598606223</v>
      </c>
      <c r="AJ51" s="6">
        <f>IF($C51&lt;(DATE(AJ$2,12,31)),AK51/(1+(Assumptions!$B$14)),0)</f>
        <v>65535.684862550472</v>
      </c>
      <c r="AK51" s="6">
        <f>IF($C51&lt;(DATE(AK$2,12,31)),AL51/(1+(Assumptions!$B$14)),0)</f>
        <v>68157.112257052489</v>
      </c>
      <c r="AL51" s="6">
        <f>IF($C51&lt;(DATE(AL$2,12,31)),AM51/(1+(Assumptions!$B$14)),0)</f>
        <v>70883.396747334598</v>
      </c>
      <c r="AM51" s="6">
        <f>IF($C51&lt;(DATE(AM$2,12,31)),AN51/(1+(Assumptions!$B$14)),0)</f>
        <v>73718.732617227986</v>
      </c>
      <c r="AN51" s="6">
        <f>IF($C51&lt;(DATE(AN$2,12,31)),AO51/(1+(Assumptions!$B$14)),0)</f>
        <v>76667.481921917104</v>
      </c>
      <c r="AO51" s="6">
        <f>IF($C51&lt;(DATE(AO$2,12,31)),AP51/(1+(Assumptions!$B$14)),0)</f>
        <v>79734.181198793798</v>
      </c>
      <c r="AP51" s="6">
        <f>IF($C51&lt;(DATE(AP$2,12,31)),AQ51/(1+(Assumptions!$B$14)),0)</f>
        <v>82923.548446745554</v>
      </c>
      <c r="AQ51" s="6">
        <f>IF($C51&lt;(DATE(AQ$2,12,31)),AR51/(1+(Assumptions!$B$14)),0)</f>
        <v>86240.490384615376</v>
      </c>
      <c r="AR51" s="6">
        <f t="shared" si="0"/>
        <v>89690.11</v>
      </c>
      <c r="AS51" s="6">
        <f>AR51*(1+(Assumptions!$B$15))</f>
        <v>92380.813300000009</v>
      </c>
      <c r="AT51" s="6">
        <f>AS51*(1+(Assumptions!$B$15))</f>
        <v>95152.237699000005</v>
      </c>
      <c r="AU51" s="6">
        <f>AT51*(1+(Assumptions!$B$15))</f>
        <v>98006.804829970002</v>
      </c>
      <c r="AV51" s="6">
        <f>AU51*(1+(Assumptions!$B$15))</f>
        <v>100947.00897486911</v>
      </c>
      <c r="AW51" s="6">
        <f>AV51*(1+(Assumptions!$B$15))</f>
        <v>103975.41924411518</v>
      </c>
      <c r="AX51" s="6">
        <f>AW51*(1+(Assumptions!$B$15))</f>
        <v>107094.68182143864</v>
      </c>
      <c r="AY51" s="6">
        <f>AX51*(1+(Assumptions!$B$15))</f>
        <v>110307.5222760818</v>
      </c>
      <c r="AZ51" s="6">
        <f>AY51*(1+(Assumptions!$B$15))</f>
        <v>113616.74794436425</v>
      </c>
      <c r="BA51" s="6">
        <f>AZ51*(1+(Assumptions!$B$15))</f>
        <v>117025.25038269519</v>
      </c>
      <c r="BB51" s="6">
        <f>BA51*(1+(Assumptions!$B$15))</f>
        <v>120536.00789417604</v>
      </c>
      <c r="BC51" s="6">
        <f>BB51*(1+(Assumptions!$B$15))</f>
        <v>124152.08813100134</v>
      </c>
    </row>
    <row r="52" spans="1:55" x14ac:dyDescent="0.25">
      <c r="A52" s="132">
        <v>600</v>
      </c>
      <c r="B52" s="133">
        <v>687</v>
      </c>
      <c r="C52" s="134">
        <v>34680</v>
      </c>
      <c r="D52" s="134">
        <v>48580</v>
      </c>
      <c r="E52" s="135">
        <v>90514.92</v>
      </c>
      <c r="F52" s="157"/>
      <c r="G52" s="6">
        <f>IF($C52&lt;(DATE(G$2,12,31)),H52/(1+(Assumptions!$B$14)),0)</f>
        <v>0</v>
      </c>
      <c r="H52" s="6">
        <f>IF($C52&lt;(DATE(H$2,12,31)),I52/(1+(Assumptions!$B$14)),0)</f>
        <v>0</v>
      </c>
      <c r="I52" s="6">
        <f>IF($C52&lt;(DATE(I$2,12,31)),J52/(1+(Assumptions!$B$14)),0)</f>
        <v>0</v>
      </c>
      <c r="J52" s="6">
        <f>IF($C52&lt;(DATE(J$2,12,31)),K52/(1+(Assumptions!$B$14)),0)</f>
        <v>0</v>
      </c>
      <c r="K52" s="6">
        <f>IF($C52&lt;(DATE(K$2,12,31)),L52/(1+(Assumptions!$B$14)),0)</f>
        <v>0</v>
      </c>
      <c r="L52" s="6">
        <f>IF($C52&lt;(DATE(L$2,12,31)),M52/(1+(Assumptions!$B$14)),0)</f>
        <v>0</v>
      </c>
      <c r="M52" s="6">
        <f>IF($C52&lt;(DATE(M$2,12,31)),N52/(1+(Assumptions!$B$14)),0)</f>
        <v>0</v>
      </c>
      <c r="N52" s="6">
        <f>IF($C52&lt;(DATE(N$2,12,31)),O52/(1+(Assumptions!$B$14)),0)</f>
        <v>0</v>
      </c>
      <c r="O52" s="6">
        <f>IF($C52&lt;(DATE(O$2,12,31)),P52/(1+(Assumptions!$B$14)),0)</f>
        <v>0</v>
      </c>
      <c r="P52" s="6">
        <f>IF($C52&lt;(DATE(P$2,12,31)),Q52/(1+(Assumptions!$B$14)),0)</f>
        <v>0</v>
      </c>
      <c r="Q52" s="6">
        <f>IF($C52&lt;(DATE(Q$2,12,31)),R52/(1+(Assumptions!$B$14)),0)</f>
        <v>0</v>
      </c>
      <c r="R52" s="6">
        <f>IF($C52&lt;(DATE(R$2,12,31)),S52/(1+(Assumptions!$B$14)),0)</f>
        <v>0</v>
      </c>
      <c r="S52" s="6">
        <f>IF($C52&lt;(DATE(S$2,12,31)),T52/(1+(Assumptions!$B$14)),0)</f>
        <v>0</v>
      </c>
      <c r="T52" s="6">
        <f>IF($C52&lt;(DATE(T$2,12,31)),U52/(1+(Assumptions!$B$14)),0)</f>
        <v>0</v>
      </c>
      <c r="U52" s="6">
        <f>IF($C52&lt;(DATE(U$2,12,31)),V52/(1+(Assumptions!$B$14)),0)</f>
        <v>0</v>
      </c>
      <c r="V52" s="6">
        <f>IF($C52&lt;(DATE(V$2,12,31)),W52/(1+(Assumptions!$B$14)),0)</f>
        <v>0</v>
      </c>
      <c r="W52" s="6">
        <f>IF($C52&lt;(DATE(W$2,12,31)),X52/(1+(Assumptions!$B$14)),0)</f>
        <v>0</v>
      </c>
      <c r="X52" s="6">
        <f>IF($C52&lt;(DATE(X$2,12,31)),Y52/(1+(Assumptions!$B$14)),0)</f>
        <v>41309.827924454265</v>
      </c>
      <c r="Y52" s="6">
        <f>IF($C52&lt;(DATE(Y$2,12,31)),Z52/(1+(Assumptions!$B$14)),0)</f>
        <v>42962.221041432436</v>
      </c>
      <c r="Z52" s="6">
        <f>IF($C52&lt;(DATE(Z$2,12,31)),AA52/(1+(Assumptions!$B$14)),0)</f>
        <v>44680.709883089738</v>
      </c>
      <c r="AA52" s="6">
        <f>IF($C52&lt;(DATE(AA$2,12,31)),AB52/(1+(Assumptions!$B$14)),0)</f>
        <v>46467.938278413327</v>
      </c>
      <c r="AB52" s="6">
        <f>IF($C52&lt;(DATE(AB$2,12,31)),AC52/(1+(Assumptions!$B$14)),0)</f>
        <v>48326.655809549862</v>
      </c>
      <c r="AC52" s="6">
        <f>IF($C52&lt;(DATE(AC$2,12,31)),AD52/(1+(Assumptions!$B$14)),0)</f>
        <v>50259.722041931862</v>
      </c>
      <c r="AD52" s="6">
        <f>IF($C52&lt;(DATE(AD$2,12,31)),AE52/(1+(Assumptions!$B$14)),0)</f>
        <v>52270.110923609136</v>
      </c>
      <c r="AE52" s="6">
        <f>IF($C52&lt;(DATE(AE$2,12,31)),AF52/(1+(Assumptions!$B$14)),0)</f>
        <v>54360.915360553503</v>
      </c>
      <c r="AF52" s="6">
        <f>IF($C52&lt;(DATE(AF$2,12,31)),AG52/(1+(Assumptions!$B$14)),0)</f>
        <v>56535.351974975645</v>
      </c>
      <c r="AG52" s="6">
        <f>IF($C52&lt;(DATE(AG$2,12,31)),AH52/(1+(Assumptions!$B$14)),0)</f>
        <v>58796.766053974672</v>
      </c>
      <c r="AH52" s="6">
        <f>IF($C52&lt;(DATE(AH$2,12,31)),AI52/(1+(Assumptions!$B$14)),0)</f>
        <v>61148.636696133661</v>
      </c>
      <c r="AI52" s="6">
        <f>IF($C52&lt;(DATE(AI$2,12,31)),AJ52/(1+(Assumptions!$B$14)),0)</f>
        <v>63594.582163979008</v>
      </c>
      <c r="AJ52" s="6">
        <f>IF($C52&lt;(DATE(AJ$2,12,31)),AK52/(1+(Assumptions!$B$14)),0)</f>
        <v>66138.365450538171</v>
      </c>
      <c r="AK52" s="6">
        <f>IF($C52&lt;(DATE(AK$2,12,31)),AL52/(1+(Assumptions!$B$14)),0)</f>
        <v>68783.900068559698</v>
      </c>
      <c r="AL52" s="6">
        <f>IF($C52&lt;(DATE(AL$2,12,31)),AM52/(1+(Assumptions!$B$14)),0)</f>
        <v>71535.256071302094</v>
      </c>
      <c r="AM52" s="6">
        <f>IF($C52&lt;(DATE(AM$2,12,31)),AN52/(1+(Assumptions!$B$14)),0)</f>
        <v>74396.666314154179</v>
      </c>
      <c r="AN52" s="6">
        <f>IF($C52&lt;(DATE(AN$2,12,31)),AO52/(1+(Assumptions!$B$14)),0)</f>
        <v>77372.532966720348</v>
      </c>
      <c r="AO52" s="6">
        <f>IF($C52&lt;(DATE(AO$2,12,31)),AP52/(1+(Assumptions!$B$14)),0)</f>
        <v>80467.434285389158</v>
      </c>
      <c r="AP52" s="6">
        <f>IF($C52&lt;(DATE(AP$2,12,31)),AQ52/(1+(Assumptions!$B$14)),0)</f>
        <v>83686.131656804733</v>
      </c>
      <c r="AQ52" s="6">
        <f>IF($C52&lt;(DATE(AQ$2,12,31)),AR52/(1+(Assumptions!$B$14)),0)</f>
        <v>87033.576923076922</v>
      </c>
      <c r="AR52" s="6">
        <f t="shared" si="0"/>
        <v>90514.92</v>
      </c>
      <c r="AS52" s="6">
        <f>AR52*(1+(Assumptions!$B$15))</f>
        <v>93230.367599999998</v>
      </c>
      <c r="AT52" s="6">
        <f>AS52*(1+(Assumptions!$B$15))</f>
        <v>96027.278628</v>
      </c>
      <c r="AU52" s="6">
        <f>AT52*(1+(Assumptions!$B$15))</f>
        <v>98908.096986839999</v>
      </c>
      <c r="AV52" s="6">
        <f>AU52*(1+(Assumptions!$B$15))</f>
        <v>101875.33989644521</v>
      </c>
      <c r="AW52" s="6">
        <f>AV52*(1+(Assumptions!$B$15))</f>
        <v>104931.60009333857</v>
      </c>
      <c r="AX52" s="6">
        <f>AW52*(1+(Assumptions!$B$15))</f>
        <v>108079.54809613872</v>
      </c>
      <c r="AY52" s="6">
        <f>AX52*(1+(Assumptions!$B$15))</f>
        <v>111321.93453902288</v>
      </c>
      <c r="AZ52" s="6">
        <f>AY52*(1+(Assumptions!$B$15))</f>
        <v>114661.59257519357</v>
      </c>
      <c r="BA52" s="6">
        <f>AZ52*(1+(Assumptions!$B$15))</f>
        <v>118101.44035244938</v>
      </c>
      <c r="BB52" s="6">
        <f>BA52*(1+(Assumptions!$B$15))</f>
        <v>121644.48356302286</v>
      </c>
      <c r="BC52" s="6">
        <f>BB52*(1+(Assumptions!$B$15))</f>
        <v>125293.81806991356</v>
      </c>
    </row>
    <row r="53" spans="1:55" x14ac:dyDescent="0.25">
      <c r="A53" s="132">
        <v>600</v>
      </c>
      <c r="B53" s="133">
        <v>685</v>
      </c>
      <c r="C53" s="134">
        <v>34579</v>
      </c>
      <c r="D53" s="134">
        <v>50526</v>
      </c>
      <c r="E53" s="135">
        <v>91339.74</v>
      </c>
      <c r="F53" s="157"/>
      <c r="G53" s="6">
        <f>IF($C53&lt;(DATE(G$2,12,31)),H53/(1+(Assumptions!$B$14)),0)</f>
        <v>0</v>
      </c>
      <c r="H53" s="6">
        <f>IF($C53&lt;(DATE(H$2,12,31)),I53/(1+(Assumptions!$B$14)),0)</f>
        <v>0</v>
      </c>
      <c r="I53" s="6">
        <f>IF($C53&lt;(DATE(I$2,12,31)),J53/(1+(Assumptions!$B$14)),0)</f>
        <v>0</v>
      </c>
      <c r="J53" s="6">
        <f>IF($C53&lt;(DATE(J$2,12,31)),K53/(1+(Assumptions!$B$14)),0)</f>
        <v>0</v>
      </c>
      <c r="K53" s="6">
        <f>IF($C53&lt;(DATE(K$2,12,31)),L53/(1+(Assumptions!$B$14)),0)</f>
        <v>0</v>
      </c>
      <c r="L53" s="6">
        <f>IF($C53&lt;(DATE(L$2,12,31)),M53/(1+(Assumptions!$B$14)),0)</f>
        <v>0</v>
      </c>
      <c r="M53" s="6">
        <f>IF($C53&lt;(DATE(M$2,12,31)),N53/(1+(Assumptions!$B$14)),0)</f>
        <v>0</v>
      </c>
      <c r="N53" s="6">
        <f>IF($C53&lt;(DATE(N$2,12,31)),O53/(1+(Assumptions!$B$14)),0)</f>
        <v>0</v>
      </c>
      <c r="O53" s="6">
        <f>IF($C53&lt;(DATE(O$2,12,31)),P53/(1+(Assumptions!$B$14)),0)</f>
        <v>0</v>
      </c>
      <c r="P53" s="6">
        <f>IF($C53&lt;(DATE(P$2,12,31)),Q53/(1+(Assumptions!$B$14)),0)</f>
        <v>0</v>
      </c>
      <c r="Q53" s="6">
        <f>IF($C53&lt;(DATE(Q$2,12,31)),R53/(1+(Assumptions!$B$14)),0)</f>
        <v>0</v>
      </c>
      <c r="R53" s="6">
        <f>IF($C53&lt;(DATE(R$2,12,31)),S53/(1+(Assumptions!$B$14)),0)</f>
        <v>0</v>
      </c>
      <c r="S53" s="6">
        <f>IF($C53&lt;(DATE(S$2,12,31)),T53/(1+(Assumptions!$B$14)),0)</f>
        <v>0</v>
      </c>
      <c r="T53" s="6">
        <f>IF($C53&lt;(DATE(T$2,12,31)),U53/(1+(Assumptions!$B$14)),0)</f>
        <v>0</v>
      </c>
      <c r="U53" s="6">
        <f>IF($C53&lt;(DATE(U$2,12,31)),V53/(1+(Assumptions!$B$14)),0)</f>
        <v>0</v>
      </c>
      <c r="V53" s="6">
        <f>IF($C53&lt;(DATE(V$2,12,31)),W53/(1+(Assumptions!$B$14)),0)</f>
        <v>0</v>
      </c>
      <c r="W53" s="6">
        <f>IF($C53&lt;(DATE(W$2,12,31)),X53/(1+(Assumptions!$B$14)),0)</f>
        <v>0</v>
      </c>
      <c r="X53" s="6">
        <f>IF($C53&lt;(DATE(X$2,12,31)),Y53/(1+(Assumptions!$B$14)),0)</f>
        <v>41686.265005420006</v>
      </c>
      <c r="Y53" s="6">
        <f>IF($C53&lt;(DATE(Y$2,12,31)),Z53/(1+(Assumptions!$B$14)),0)</f>
        <v>43353.715605636811</v>
      </c>
      <c r="Z53" s="6">
        <f>IF($C53&lt;(DATE(Z$2,12,31)),AA53/(1+(Assumptions!$B$14)),0)</f>
        <v>45087.864229862287</v>
      </c>
      <c r="AA53" s="6">
        <f>IF($C53&lt;(DATE(AA$2,12,31)),AB53/(1+(Assumptions!$B$14)),0)</f>
        <v>46891.37879905678</v>
      </c>
      <c r="AB53" s="6">
        <f>IF($C53&lt;(DATE(AB$2,12,31)),AC53/(1+(Assumptions!$B$14)),0)</f>
        <v>48767.033951019053</v>
      </c>
      <c r="AC53" s="6">
        <f>IF($C53&lt;(DATE(AC$2,12,31)),AD53/(1+(Assumptions!$B$14)),0)</f>
        <v>50717.715309059815</v>
      </c>
      <c r="AD53" s="6">
        <f>IF($C53&lt;(DATE(AD$2,12,31)),AE53/(1+(Assumptions!$B$14)),0)</f>
        <v>52746.423921422211</v>
      </c>
      <c r="AE53" s="6">
        <f>IF($C53&lt;(DATE(AE$2,12,31)),AF53/(1+(Assumptions!$B$14)),0)</f>
        <v>54856.280878279103</v>
      </c>
      <c r="AF53" s="6">
        <f>IF($C53&lt;(DATE(AF$2,12,31)),AG53/(1+(Assumptions!$B$14)),0)</f>
        <v>57050.532113410271</v>
      </c>
      <c r="AG53" s="6">
        <f>IF($C53&lt;(DATE(AG$2,12,31)),AH53/(1+(Assumptions!$B$14)),0)</f>
        <v>59332.553397946685</v>
      </c>
      <c r="AH53" s="6">
        <f>IF($C53&lt;(DATE(AH$2,12,31)),AI53/(1+(Assumptions!$B$14)),0)</f>
        <v>61705.855533864553</v>
      </c>
      <c r="AI53" s="6">
        <f>IF($C53&lt;(DATE(AI$2,12,31)),AJ53/(1+(Assumptions!$B$14)),0)</f>
        <v>64174.089755219138</v>
      </c>
      <c r="AJ53" s="6">
        <f>IF($C53&lt;(DATE(AJ$2,12,31)),AK53/(1+(Assumptions!$B$14)),0)</f>
        <v>66741.053345427907</v>
      </c>
      <c r="AK53" s="6">
        <f>IF($C53&lt;(DATE(AK$2,12,31)),AL53/(1+(Assumptions!$B$14)),0)</f>
        <v>69410.695479245027</v>
      </c>
      <c r="AL53" s="6">
        <f>IF($C53&lt;(DATE(AL$2,12,31)),AM53/(1+(Assumptions!$B$14)),0)</f>
        <v>72187.123298414837</v>
      </c>
      <c r="AM53" s="6">
        <f>IF($C53&lt;(DATE(AM$2,12,31)),AN53/(1+(Assumptions!$B$14)),0)</f>
        <v>75074.608230351427</v>
      </c>
      <c r="AN53" s="6">
        <f>IF($C53&lt;(DATE(AN$2,12,31)),AO53/(1+(Assumptions!$B$14)),0)</f>
        <v>78077.592559565484</v>
      </c>
      <c r="AO53" s="6">
        <f>IF($C53&lt;(DATE(AO$2,12,31)),AP53/(1+(Assumptions!$B$14)),0)</f>
        <v>81200.696261948106</v>
      </c>
      <c r="AP53" s="6">
        <f>IF($C53&lt;(DATE(AP$2,12,31)),AQ53/(1+(Assumptions!$B$14)),0)</f>
        <v>84448.724112426033</v>
      </c>
      <c r="AQ53" s="6">
        <f>IF($C53&lt;(DATE(AQ$2,12,31)),AR53/(1+(Assumptions!$B$14)),0)</f>
        <v>87826.673076923078</v>
      </c>
      <c r="AR53" s="6">
        <f t="shared" si="0"/>
        <v>91339.74</v>
      </c>
      <c r="AS53" s="6">
        <f>AR53*(1+(Assumptions!$B$15))</f>
        <v>94079.93220000001</v>
      </c>
      <c r="AT53" s="6">
        <f>AS53*(1+(Assumptions!$B$15))</f>
        <v>96902.330166000014</v>
      </c>
      <c r="AU53" s="6">
        <f>AT53*(1+(Assumptions!$B$15))</f>
        <v>99809.400070980017</v>
      </c>
      <c r="AV53" s="6">
        <f>AU53*(1+(Assumptions!$B$15))</f>
        <v>102803.68207310942</v>
      </c>
      <c r="AW53" s="6">
        <f>AV53*(1+(Assumptions!$B$15))</f>
        <v>105887.79253530271</v>
      </c>
      <c r="AX53" s="6">
        <f>AW53*(1+(Assumptions!$B$15))</f>
        <v>109064.42631136179</v>
      </c>
      <c r="AY53" s="6">
        <f>AX53*(1+(Assumptions!$B$15))</f>
        <v>112336.35910070266</v>
      </c>
      <c r="AZ53" s="6">
        <f>AY53*(1+(Assumptions!$B$15))</f>
        <v>115706.44987372374</v>
      </c>
      <c r="BA53" s="6">
        <f>AZ53*(1+(Assumptions!$B$15))</f>
        <v>119177.64336993545</v>
      </c>
      <c r="BB53" s="6">
        <f>BA53*(1+(Assumptions!$B$15))</f>
        <v>122752.97267103352</v>
      </c>
      <c r="BC53" s="6">
        <f>BB53*(1+(Assumptions!$B$15))</f>
        <v>126435.56185116453</v>
      </c>
    </row>
    <row r="54" spans="1:55" x14ac:dyDescent="0.25">
      <c r="A54" s="132">
        <v>600</v>
      </c>
      <c r="B54" s="133">
        <v>684</v>
      </c>
      <c r="C54" s="134">
        <v>34575</v>
      </c>
      <c r="D54" s="134">
        <v>47727</v>
      </c>
      <c r="E54" s="135">
        <v>92164.55</v>
      </c>
      <c r="F54" s="157"/>
      <c r="G54" s="6">
        <f>IF($C54&lt;(DATE(G$2,12,31)),H54/(1+(Assumptions!$B$14)),0)</f>
        <v>0</v>
      </c>
      <c r="H54" s="6">
        <f>IF($C54&lt;(DATE(H$2,12,31)),I54/(1+(Assumptions!$B$14)),0)</f>
        <v>0</v>
      </c>
      <c r="I54" s="6">
        <f>IF($C54&lt;(DATE(I$2,12,31)),J54/(1+(Assumptions!$B$14)),0)</f>
        <v>0</v>
      </c>
      <c r="J54" s="6">
        <f>IF($C54&lt;(DATE(J$2,12,31)),K54/(1+(Assumptions!$B$14)),0)</f>
        <v>0</v>
      </c>
      <c r="K54" s="6">
        <f>IF($C54&lt;(DATE(K$2,12,31)),L54/(1+(Assumptions!$B$14)),0)</f>
        <v>0</v>
      </c>
      <c r="L54" s="6">
        <f>IF($C54&lt;(DATE(L$2,12,31)),M54/(1+(Assumptions!$B$14)),0)</f>
        <v>0</v>
      </c>
      <c r="M54" s="6">
        <f>IF($C54&lt;(DATE(M$2,12,31)),N54/(1+(Assumptions!$B$14)),0)</f>
        <v>0</v>
      </c>
      <c r="N54" s="6">
        <f>IF($C54&lt;(DATE(N$2,12,31)),O54/(1+(Assumptions!$B$14)),0)</f>
        <v>0</v>
      </c>
      <c r="O54" s="6">
        <f>IF($C54&lt;(DATE(O$2,12,31)),P54/(1+(Assumptions!$B$14)),0)</f>
        <v>0</v>
      </c>
      <c r="P54" s="6">
        <f>IF($C54&lt;(DATE(P$2,12,31)),Q54/(1+(Assumptions!$B$14)),0)</f>
        <v>0</v>
      </c>
      <c r="Q54" s="6">
        <f>IF($C54&lt;(DATE(Q$2,12,31)),R54/(1+(Assumptions!$B$14)),0)</f>
        <v>0</v>
      </c>
      <c r="R54" s="6">
        <f>IF($C54&lt;(DATE(R$2,12,31)),S54/(1+(Assumptions!$B$14)),0)</f>
        <v>0</v>
      </c>
      <c r="S54" s="6">
        <f>IF($C54&lt;(DATE(S$2,12,31)),T54/(1+(Assumptions!$B$14)),0)</f>
        <v>0</v>
      </c>
      <c r="T54" s="6">
        <f>IF($C54&lt;(DATE(T$2,12,31)),U54/(1+(Assumptions!$B$14)),0)</f>
        <v>0</v>
      </c>
      <c r="U54" s="6">
        <f>IF($C54&lt;(DATE(U$2,12,31)),V54/(1+(Assumptions!$B$14)),0)</f>
        <v>0</v>
      </c>
      <c r="V54" s="6">
        <f>IF($C54&lt;(DATE(V$2,12,31)),W54/(1+(Assumptions!$B$14)),0)</f>
        <v>0</v>
      </c>
      <c r="W54" s="6">
        <f>IF($C54&lt;(DATE(W$2,12,31)),X54/(1+(Assumptions!$B$14)),0)</f>
        <v>0</v>
      </c>
      <c r="X54" s="6">
        <f>IF($C54&lt;(DATE(X$2,12,31)),Y54/(1+(Assumptions!$B$14)),0)</f>
        <v>42062.69752251629</v>
      </c>
      <c r="Y54" s="6">
        <f>IF($C54&lt;(DATE(Y$2,12,31)),Z54/(1+(Assumptions!$B$14)),0)</f>
        <v>43745.205423416941</v>
      </c>
      <c r="Z54" s="6">
        <f>IF($C54&lt;(DATE(Z$2,12,31)),AA54/(1+(Assumptions!$B$14)),0)</f>
        <v>45495.013640353623</v>
      </c>
      <c r="AA54" s="6">
        <f>IF($C54&lt;(DATE(AA$2,12,31)),AB54/(1+(Assumptions!$B$14)),0)</f>
        <v>47314.814185967771</v>
      </c>
      <c r="AB54" s="6">
        <f>IF($C54&lt;(DATE(AB$2,12,31)),AC54/(1+(Assumptions!$B$14)),0)</f>
        <v>49207.406753406482</v>
      </c>
      <c r="AC54" s="6">
        <f>IF($C54&lt;(DATE(AC$2,12,31)),AD54/(1+(Assumptions!$B$14)),0)</f>
        <v>51175.703023542745</v>
      </c>
      <c r="AD54" s="6">
        <f>IF($C54&lt;(DATE(AD$2,12,31)),AE54/(1+(Assumptions!$B$14)),0)</f>
        <v>53222.731144484453</v>
      </c>
      <c r="AE54" s="6">
        <f>IF($C54&lt;(DATE(AE$2,12,31)),AF54/(1+(Assumptions!$B$14)),0)</f>
        <v>55351.640390263834</v>
      </c>
      <c r="AF54" s="6">
        <f>IF($C54&lt;(DATE(AF$2,12,31)),AG54/(1+(Assumptions!$B$14)),0)</f>
        <v>57565.706005874388</v>
      </c>
      <c r="AG54" s="6">
        <f>IF($C54&lt;(DATE(AG$2,12,31)),AH54/(1+(Assumptions!$B$14)),0)</f>
        <v>59868.334246109363</v>
      </c>
      <c r="AH54" s="6">
        <f>IF($C54&lt;(DATE(AH$2,12,31)),AI54/(1+(Assumptions!$B$14)),0)</f>
        <v>62263.06761595374</v>
      </c>
      <c r="AI54" s="6">
        <f>IF($C54&lt;(DATE(AI$2,12,31)),AJ54/(1+(Assumptions!$B$14)),0)</f>
        <v>64753.590320591895</v>
      </c>
      <c r="AJ54" s="6">
        <f>IF($C54&lt;(DATE(AJ$2,12,31)),AK54/(1+(Assumptions!$B$14)),0)</f>
        <v>67343.733933415569</v>
      </c>
      <c r="AK54" s="6">
        <f>IF($C54&lt;(DATE(AK$2,12,31)),AL54/(1+(Assumptions!$B$14)),0)</f>
        <v>70037.483290752192</v>
      </c>
      <c r="AL54" s="6">
        <f>IF($C54&lt;(DATE(AL$2,12,31)),AM54/(1+(Assumptions!$B$14)),0)</f>
        <v>72838.982622382289</v>
      </c>
      <c r="AM54" s="6">
        <f>IF($C54&lt;(DATE(AM$2,12,31)),AN54/(1+(Assumptions!$B$14)),0)</f>
        <v>75752.541927277591</v>
      </c>
      <c r="AN54" s="6">
        <f>IF($C54&lt;(DATE(AN$2,12,31)),AO54/(1+(Assumptions!$B$14)),0)</f>
        <v>78782.643604368699</v>
      </c>
      <c r="AO54" s="6">
        <f>IF($C54&lt;(DATE(AO$2,12,31)),AP54/(1+(Assumptions!$B$14)),0)</f>
        <v>81933.94934854345</v>
      </c>
      <c r="AP54" s="6">
        <f>IF($C54&lt;(DATE(AP$2,12,31)),AQ54/(1+(Assumptions!$B$14)),0)</f>
        <v>85211.307322485198</v>
      </c>
      <c r="AQ54" s="6">
        <f>IF($C54&lt;(DATE(AQ$2,12,31)),AR54/(1+(Assumptions!$B$14)),0)</f>
        <v>88619.75961538461</v>
      </c>
      <c r="AR54" s="6">
        <f t="shared" si="0"/>
        <v>92164.55</v>
      </c>
      <c r="AS54" s="6">
        <f>AR54*(1+(Assumptions!$B$15))</f>
        <v>94929.486499999999</v>
      </c>
      <c r="AT54" s="6">
        <f>AS54*(1+(Assumptions!$B$15))</f>
        <v>97777.371094999995</v>
      </c>
      <c r="AU54" s="6">
        <f>AT54*(1+(Assumptions!$B$15))</f>
        <v>100710.69222785</v>
      </c>
      <c r="AV54" s="6">
        <f>AU54*(1+(Assumptions!$B$15))</f>
        <v>103732.0129946855</v>
      </c>
      <c r="AW54" s="6">
        <f>AV54*(1+(Assumptions!$B$15))</f>
        <v>106843.97338452606</v>
      </c>
      <c r="AX54" s="6">
        <f>AW54*(1+(Assumptions!$B$15))</f>
        <v>110049.29258606184</v>
      </c>
      <c r="AY54" s="6">
        <f>AX54*(1+(Assumptions!$B$15))</f>
        <v>113350.7713636437</v>
      </c>
      <c r="AZ54" s="6">
        <f>AY54*(1+(Assumptions!$B$15))</f>
        <v>116751.29450455301</v>
      </c>
      <c r="BA54" s="6">
        <f>AZ54*(1+(Assumptions!$B$15))</f>
        <v>120253.83333968961</v>
      </c>
      <c r="BB54" s="6">
        <f>BA54*(1+(Assumptions!$B$15))</f>
        <v>123861.4483398803</v>
      </c>
      <c r="BC54" s="6">
        <f>BB54*(1+(Assumptions!$B$15))</f>
        <v>127577.29179007671</v>
      </c>
    </row>
    <row r="55" spans="1:55" x14ac:dyDescent="0.25">
      <c r="A55" s="132">
        <v>600</v>
      </c>
      <c r="B55" s="133">
        <v>681</v>
      </c>
      <c r="C55" s="134">
        <v>34421</v>
      </c>
      <c r="D55" s="134">
        <v>47484</v>
      </c>
      <c r="E55" s="135">
        <v>92989.36</v>
      </c>
      <c r="F55" s="157"/>
      <c r="G55" s="6">
        <f>IF($C55&lt;(DATE(G$2,12,31)),H55/(1+(Assumptions!$B$14)),0)</f>
        <v>0</v>
      </c>
      <c r="H55" s="6">
        <f>IF($C55&lt;(DATE(H$2,12,31)),I55/(1+(Assumptions!$B$14)),0)</f>
        <v>0</v>
      </c>
      <c r="I55" s="6">
        <f>IF($C55&lt;(DATE(I$2,12,31)),J55/(1+(Assumptions!$B$14)),0)</f>
        <v>0</v>
      </c>
      <c r="J55" s="6">
        <f>IF($C55&lt;(DATE(J$2,12,31)),K55/(1+(Assumptions!$B$14)),0)</f>
        <v>0</v>
      </c>
      <c r="K55" s="6">
        <f>IF($C55&lt;(DATE(K$2,12,31)),L55/(1+(Assumptions!$B$14)),0)</f>
        <v>0</v>
      </c>
      <c r="L55" s="6">
        <f>IF($C55&lt;(DATE(L$2,12,31)),M55/(1+(Assumptions!$B$14)),0)</f>
        <v>0</v>
      </c>
      <c r="M55" s="6">
        <f>IF($C55&lt;(DATE(M$2,12,31)),N55/(1+(Assumptions!$B$14)),0)</f>
        <v>0</v>
      </c>
      <c r="N55" s="6">
        <f>IF($C55&lt;(DATE(N$2,12,31)),O55/(1+(Assumptions!$B$14)),0)</f>
        <v>0</v>
      </c>
      <c r="O55" s="6">
        <f>IF($C55&lt;(DATE(O$2,12,31)),P55/(1+(Assumptions!$B$14)),0)</f>
        <v>0</v>
      </c>
      <c r="P55" s="6">
        <f>IF($C55&lt;(DATE(P$2,12,31)),Q55/(1+(Assumptions!$B$14)),0)</f>
        <v>0</v>
      </c>
      <c r="Q55" s="6">
        <f>IF($C55&lt;(DATE(Q$2,12,31)),R55/(1+(Assumptions!$B$14)),0)</f>
        <v>0</v>
      </c>
      <c r="R55" s="6">
        <f>IF($C55&lt;(DATE(R$2,12,31)),S55/(1+(Assumptions!$B$14)),0)</f>
        <v>0</v>
      </c>
      <c r="S55" s="6">
        <f>IF($C55&lt;(DATE(S$2,12,31)),T55/(1+(Assumptions!$B$14)),0)</f>
        <v>0</v>
      </c>
      <c r="T55" s="6">
        <f>IF($C55&lt;(DATE(T$2,12,31)),U55/(1+(Assumptions!$B$14)),0)</f>
        <v>0</v>
      </c>
      <c r="U55" s="6">
        <f>IF($C55&lt;(DATE(U$2,12,31)),V55/(1+(Assumptions!$B$14)),0)</f>
        <v>0</v>
      </c>
      <c r="V55" s="6">
        <f>IF($C55&lt;(DATE(V$2,12,31)),W55/(1+(Assumptions!$B$14)),0)</f>
        <v>0</v>
      </c>
      <c r="W55" s="6">
        <f>IF($C55&lt;(DATE(W$2,12,31)),X55/(1+(Assumptions!$B$14)),0)</f>
        <v>0</v>
      </c>
      <c r="X55" s="6">
        <f>IF($C55&lt;(DATE(X$2,12,31)),Y55/(1+(Assumptions!$B$14)),0)</f>
        <v>42439.130039612581</v>
      </c>
      <c r="Y55" s="6">
        <f>IF($C55&lt;(DATE(Y$2,12,31)),Z55/(1+(Assumptions!$B$14)),0)</f>
        <v>44136.695241197085</v>
      </c>
      <c r="Z55" s="6">
        <f>IF($C55&lt;(DATE(Z$2,12,31)),AA55/(1+(Assumptions!$B$14)),0)</f>
        <v>45902.163050844967</v>
      </c>
      <c r="AA55" s="6">
        <f>IF($C55&lt;(DATE(AA$2,12,31)),AB55/(1+(Assumptions!$B$14)),0)</f>
        <v>47738.249572878769</v>
      </c>
      <c r="AB55" s="6">
        <f>IF($C55&lt;(DATE(AB$2,12,31)),AC55/(1+(Assumptions!$B$14)),0)</f>
        <v>49647.779555793924</v>
      </c>
      <c r="AC55" s="6">
        <f>IF($C55&lt;(DATE(AC$2,12,31)),AD55/(1+(Assumptions!$B$14)),0)</f>
        <v>51633.690738025682</v>
      </c>
      <c r="AD55" s="6">
        <f>IF($C55&lt;(DATE(AD$2,12,31)),AE55/(1+(Assumptions!$B$14)),0)</f>
        <v>53699.038367546709</v>
      </c>
      <c r="AE55" s="6">
        <f>IF($C55&lt;(DATE(AE$2,12,31)),AF55/(1+(Assumptions!$B$14)),0)</f>
        <v>55846.999902248579</v>
      </c>
      <c r="AF55" s="6">
        <f>IF($C55&lt;(DATE(AF$2,12,31)),AG55/(1+(Assumptions!$B$14)),0)</f>
        <v>58080.879898338528</v>
      </c>
      <c r="AG55" s="6">
        <f>IF($C55&lt;(DATE(AG$2,12,31)),AH55/(1+(Assumptions!$B$14)),0)</f>
        <v>60404.115094272071</v>
      </c>
      <c r="AH55" s="6">
        <f>IF($C55&lt;(DATE(AH$2,12,31)),AI55/(1+(Assumptions!$B$14)),0)</f>
        <v>62820.279698042956</v>
      </c>
      <c r="AI55" s="6">
        <f>IF($C55&lt;(DATE(AI$2,12,31)),AJ55/(1+(Assumptions!$B$14)),0)</f>
        <v>65333.090885964673</v>
      </c>
      <c r="AJ55" s="6">
        <f>IF($C55&lt;(DATE(AJ$2,12,31)),AK55/(1+(Assumptions!$B$14)),0)</f>
        <v>67946.414521403261</v>
      </c>
      <c r="AK55" s="6">
        <f>IF($C55&lt;(DATE(AK$2,12,31)),AL55/(1+(Assumptions!$B$14)),0)</f>
        <v>70664.271102259401</v>
      </c>
      <c r="AL55" s="6">
        <f>IF($C55&lt;(DATE(AL$2,12,31)),AM55/(1+(Assumptions!$B$14)),0)</f>
        <v>73490.841946349785</v>
      </c>
      <c r="AM55" s="6">
        <f>IF($C55&lt;(DATE(AM$2,12,31)),AN55/(1+(Assumptions!$B$14)),0)</f>
        <v>76430.475624203784</v>
      </c>
      <c r="AN55" s="6">
        <f>IF($C55&lt;(DATE(AN$2,12,31)),AO55/(1+(Assumptions!$B$14)),0)</f>
        <v>79487.694649171943</v>
      </c>
      <c r="AO55" s="6">
        <f>IF($C55&lt;(DATE(AO$2,12,31)),AP55/(1+(Assumptions!$B$14)),0)</f>
        <v>82667.202435138825</v>
      </c>
      <c r="AP55" s="6">
        <f>IF($C55&lt;(DATE(AP$2,12,31)),AQ55/(1+(Assumptions!$B$14)),0)</f>
        <v>85973.890532544377</v>
      </c>
      <c r="AQ55" s="6">
        <f>IF($C55&lt;(DATE(AQ$2,12,31)),AR55/(1+(Assumptions!$B$14)),0)</f>
        <v>89412.846153846156</v>
      </c>
      <c r="AR55" s="6">
        <f t="shared" si="0"/>
        <v>92989.36</v>
      </c>
      <c r="AS55" s="6">
        <f>AR55*(1+(Assumptions!$B$15))</f>
        <v>95779.040800000002</v>
      </c>
      <c r="AT55" s="6">
        <f>AS55*(1+(Assumptions!$B$15))</f>
        <v>98652.412024000005</v>
      </c>
      <c r="AU55" s="6">
        <f>AT55*(1+(Assumptions!$B$15))</f>
        <v>101611.98438472001</v>
      </c>
      <c r="AV55" s="6">
        <f>AU55*(1+(Assumptions!$B$15))</f>
        <v>104660.34391626161</v>
      </c>
      <c r="AW55" s="6">
        <f>AV55*(1+(Assumptions!$B$15))</f>
        <v>107800.15423374946</v>
      </c>
      <c r="AX55" s="6">
        <f>AW55*(1+(Assumptions!$B$15))</f>
        <v>111034.15886076195</v>
      </c>
      <c r="AY55" s="6">
        <f>AX55*(1+(Assumptions!$B$15))</f>
        <v>114365.18362658481</v>
      </c>
      <c r="AZ55" s="6">
        <f>AY55*(1+(Assumptions!$B$15))</f>
        <v>117796.13913538236</v>
      </c>
      <c r="BA55" s="6">
        <f>AZ55*(1+(Assumptions!$B$15))</f>
        <v>121330.02330944383</v>
      </c>
      <c r="BB55" s="6">
        <f>BA55*(1+(Assumptions!$B$15))</f>
        <v>124969.92400872715</v>
      </c>
      <c r="BC55" s="6">
        <f>BB55*(1+(Assumptions!$B$15))</f>
        <v>128719.02172898897</v>
      </c>
    </row>
    <row r="56" spans="1:55" x14ac:dyDescent="0.25">
      <c r="A56" s="132">
        <v>600</v>
      </c>
      <c r="B56" s="133">
        <v>655</v>
      </c>
      <c r="C56" s="134">
        <v>33686</v>
      </c>
      <c r="D56" s="134">
        <v>50496</v>
      </c>
      <c r="E56" s="135">
        <v>93814.17</v>
      </c>
      <c r="F56" s="157"/>
      <c r="G56" s="6">
        <f>IF($C56&lt;(DATE(G$2,12,31)),H56/(1+(Assumptions!$B$14)),0)</f>
        <v>0</v>
      </c>
      <c r="H56" s="6">
        <f>IF($C56&lt;(DATE(H$2,12,31)),I56/(1+(Assumptions!$B$14)),0)</f>
        <v>0</v>
      </c>
      <c r="I56" s="6">
        <f>IF($C56&lt;(DATE(I$2,12,31)),J56/(1+(Assumptions!$B$14)),0)</f>
        <v>0</v>
      </c>
      <c r="J56" s="6">
        <f>IF($C56&lt;(DATE(J$2,12,31)),K56/(1+(Assumptions!$B$14)),0)</f>
        <v>0</v>
      </c>
      <c r="K56" s="6">
        <f>IF($C56&lt;(DATE(K$2,12,31)),L56/(1+(Assumptions!$B$14)),0)</f>
        <v>0</v>
      </c>
      <c r="L56" s="6">
        <f>IF($C56&lt;(DATE(L$2,12,31)),M56/(1+(Assumptions!$B$14)),0)</f>
        <v>0</v>
      </c>
      <c r="M56" s="6">
        <f>IF($C56&lt;(DATE(M$2,12,31)),N56/(1+(Assumptions!$B$14)),0)</f>
        <v>0</v>
      </c>
      <c r="N56" s="6">
        <f>IF($C56&lt;(DATE(N$2,12,31)),O56/(1+(Assumptions!$B$14)),0)</f>
        <v>0</v>
      </c>
      <c r="O56" s="6">
        <f>IF($C56&lt;(DATE(O$2,12,31)),P56/(1+(Assumptions!$B$14)),0)</f>
        <v>0</v>
      </c>
      <c r="P56" s="6">
        <f>IF($C56&lt;(DATE(P$2,12,31)),Q56/(1+(Assumptions!$B$14)),0)</f>
        <v>0</v>
      </c>
      <c r="Q56" s="6">
        <f>IF($C56&lt;(DATE(Q$2,12,31)),R56/(1+(Assumptions!$B$14)),0)</f>
        <v>0</v>
      </c>
      <c r="R56" s="6">
        <f>IF($C56&lt;(DATE(R$2,12,31)),S56/(1+(Assumptions!$B$14)),0)</f>
        <v>0</v>
      </c>
      <c r="S56" s="6">
        <f>IF($C56&lt;(DATE(S$2,12,31)),T56/(1+(Assumptions!$B$14)),0)</f>
        <v>0</v>
      </c>
      <c r="T56" s="6">
        <f>IF($C56&lt;(DATE(T$2,12,31)),U56/(1+(Assumptions!$B$14)),0)</f>
        <v>0</v>
      </c>
      <c r="U56" s="6">
        <f>IF($C56&lt;(DATE(U$2,12,31)),V56/(1+(Assumptions!$B$14)),0)</f>
        <v>0</v>
      </c>
      <c r="V56" s="6">
        <f>IF($C56&lt;(DATE(V$2,12,31)),W56/(1+(Assumptions!$B$14)),0)</f>
        <v>39585.394375655393</v>
      </c>
      <c r="W56" s="6">
        <f>IF($C56&lt;(DATE(W$2,12,31)),X56/(1+(Assumptions!$B$14)),0)</f>
        <v>41168.810150681609</v>
      </c>
      <c r="X56" s="6">
        <f>IF($C56&lt;(DATE(X$2,12,31)),Y56/(1+(Assumptions!$B$14)),0)</f>
        <v>42815.562556708872</v>
      </c>
      <c r="Y56" s="6">
        <f>IF($C56&lt;(DATE(Y$2,12,31)),Z56/(1+(Assumptions!$B$14)),0)</f>
        <v>44528.185058977229</v>
      </c>
      <c r="Z56" s="6">
        <f>IF($C56&lt;(DATE(Z$2,12,31)),AA56/(1+(Assumptions!$B$14)),0)</f>
        <v>46309.312461336318</v>
      </c>
      <c r="AA56" s="6">
        <f>IF($C56&lt;(DATE(AA$2,12,31)),AB56/(1+(Assumptions!$B$14)),0)</f>
        <v>48161.684959789774</v>
      </c>
      <c r="AB56" s="6">
        <f>IF($C56&lt;(DATE(AB$2,12,31)),AC56/(1+(Assumptions!$B$14)),0)</f>
        <v>50088.152358181367</v>
      </c>
      <c r="AC56" s="6">
        <f>IF($C56&lt;(DATE(AC$2,12,31)),AD56/(1+(Assumptions!$B$14)),0)</f>
        <v>52091.678452508626</v>
      </c>
      <c r="AD56" s="6">
        <f>IF($C56&lt;(DATE(AD$2,12,31)),AE56/(1+(Assumptions!$B$14)),0)</f>
        <v>54175.345590608973</v>
      </c>
      <c r="AE56" s="6">
        <f>IF($C56&lt;(DATE(AE$2,12,31)),AF56/(1+(Assumptions!$B$14)),0)</f>
        <v>56342.359414233331</v>
      </c>
      <c r="AF56" s="6">
        <f>IF($C56&lt;(DATE(AF$2,12,31)),AG56/(1+(Assumptions!$B$14)),0)</f>
        <v>58596.053790802667</v>
      </c>
      <c r="AG56" s="6">
        <f>IF($C56&lt;(DATE(AG$2,12,31)),AH56/(1+(Assumptions!$B$14)),0)</f>
        <v>60939.895942434778</v>
      </c>
      <c r="AH56" s="6">
        <f>IF($C56&lt;(DATE(AH$2,12,31)),AI56/(1+(Assumptions!$B$14)),0)</f>
        <v>63377.491780132172</v>
      </c>
      <c r="AI56" s="6">
        <f>IF($C56&lt;(DATE(AI$2,12,31)),AJ56/(1+(Assumptions!$B$14)),0)</f>
        <v>65912.591451337459</v>
      </c>
      <c r="AJ56" s="6">
        <f>IF($C56&lt;(DATE(AJ$2,12,31)),AK56/(1+(Assumptions!$B$14)),0)</f>
        <v>68549.095109390953</v>
      </c>
      <c r="AK56" s="6">
        <f>IF($C56&lt;(DATE(AK$2,12,31)),AL56/(1+(Assumptions!$B$14)),0)</f>
        <v>71291.058913766596</v>
      </c>
      <c r="AL56" s="6">
        <f>IF($C56&lt;(DATE(AL$2,12,31)),AM56/(1+(Assumptions!$B$14)),0)</f>
        <v>74142.701270317266</v>
      </c>
      <c r="AM56" s="6">
        <f>IF($C56&lt;(DATE(AM$2,12,31)),AN56/(1+(Assumptions!$B$14)),0)</f>
        <v>77108.409321129962</v>
      </c>
      <c r="AN56" s="6">
        <f>IF($C56&lt;(DATE(AN$2,12,31)),AO56/(1+(Assumptions!$B$14)),0)</f>
        <v>80192.745693975157</v>
      </c>
      <c r="AO56" s="6">
        <f>IF($C56&lt;(DATE(AO$2,12,31)),AP56/(1+(Assumptions!$B$14)),0)</f>
        <v>83400.455521734169</v>
      </c>
      <c r="AP56" s="6">
        <f>IF($C56&lt;(DATE(AP$2,12,31)),AQ56/(1+(Assumptions!$B$14)),0)</f>
        <v>86736.473742603543</v>
      </c>
      <c r="AQ56" s="6">
        <f>IF($C56&lt;(DATE(AQ$2,12,31)),AR56/(1+(Assumptions!$B$14)),0)</f>
        <v>90205.932692307688</v>
      </c>
      <c r="AR56" s="6">
        <f t="shared" si="0"/>
        <v>93814.17</v>
      </c>
      <c r="AS56" s="6">
        <f>AR56*(1+(Assumptions!$B$15))</f>
        <v>96628.595100000006</v>
      </c>
      <c r="AT56" s="6">
        <f>AS56*(1+(Assumptions!$B$15))</f>
        <v>99527.452953000015</v>
      </c>
      <c r="AU56" s="6">
        <f>AT56*(1+(Assumptions!$B$15))</f>
        <v>102513.27654159002</v>
      </c>
      <c r="AV56" s="6">
        <f>AU56*(1+(Assumptions!$B$15))</f>
        <v>105588.67483783772</v>
      </c>
      <c r="AW56" s="6">
        <f>AV56*(1+(Assumptions!$B$15))</f>
        <v>108756.33508297286</v>
      </c>
      <c r="AX56" s="6">
        <f>AW56*(1+(Assumptions!$B$15))</f>
        <v>112019.02513546204</v>
      </c>
      <c r="AY56" s="6">
        <f>AX56*(1+(Assumptions!$B$15))</f>
        <v>115379.59588952591</v>
      </c>
      <c r="AZ56" s="6">
        <f>AY56*(1+(Assumptions!$B$15))</f>
        <v>118840.98376621169</v>
      </c>
      <c r="BA56" s="6">
        <f>AZ56*(1+(Assumptions!$B$15))</f>
        <v>122406.21327919804</v>
      </c>
      <c r="BB56" s="6">
        <f>BA56*(1+(Assumptions!$B$15))</f>
        <v>126078.39967757398</v>
      </c>
      <c r="BC56" s="6">
        <f>BB56*(1+(Assumptions!$B$15))</f>
        <v>129860.7516679012</v>
      </c>
    </row>
    <row r="57" spans="1:55" x14ac:dyDescent="0.25">
      <c r="A57" s="132">
        <v>600</v>
      </c>
      <c r="B57" s="133">
        <v>644</v>
      </c>
      <c r="C57" s="134">
        <v>33448</v>
      </c>
      <c r="D57" s="134">
        <v>47178</v>
      </c>
      <c r="E57" s="135">
        <v>94638.99</v>
      </c>
      <c r="F57" s="157"/>
      <c r="G57" s="6">
        <f>IF($C57&lt;(DATE(G$2,12,31)),H57/(1+(Assumptions!$B$14)),0)</f>
        <v>0</v>
      </c>
      <c r="H57" s="6">
        <f>IF($C57&lt;(DATE(H$2,12,31)),I57/(1+(Assumptions!$B$14)),0)</f>
        <v>0</v>
      </c>
      <c r="I57" s="6">
        <f>IF($C57&lt;(DATE(I$2,12,31)),J57/(1+(Assumptions!$B$14)),0)</f>
        <v>0</v>
      </c>
      <c r="J57" s="6">
        <f>IF($C57&lt;(DATE(J$2,12,31)),K57/(1+(Assumptions!$B$14)),0)</f>
        <v>0</v>
      </c>
      <c r="K57" s="6">
        <f>IF($C57&lt;(DATE(K$2,12,31)),L57/(1+(Assumptions!$B$14)),0)</f>
        <v>0</v>
      </c>
      <c r="L57" s="6">
        <f>IF($C57&lt;(DATE(L$2,12,31)),M57/(1+(Assumptions!$B$14)),0)</f>
        <v>0</v>
      </c>
      <c r="M57" s="6">
        <f>IF($C57&lt;(DATE(M$2,12,31)),N57/(1+(Assumptions!$B$14)),0)</f>
        <v>0</v>
      </c>
      <c r="N57" s="6">
        <f>IF($C57&lt;(DATE(N$2,12,31)),O57/(1+(Assumptions!$B$14)),0)</f>
        <v>0</v>
      </c>
      <c r="O57" s="6">
        <f>IF($C57&lt;(DATE(O$2,12,31)),P57/(1+(Assumptions!$B$14)),0)</f>
        <v>0</v>
      </c>
      <c r="P57" s="6">
        <f>IF($C57&lt;(DATE(P$2,12,31)),Q57/(1+(Assumptions!$B$14)),0)</f>
        <v>0</v>
      </c>
      <c r="Q57" s="6">
        <f>IF($C57&lt;(DATE(Q$2,12,31)),R57/(1+(Assumptions!$B$14)),0)</f>
        <v>0</v>
      </c>
      <c r="R57" s="6">
        <f>IF($C57&lt;(DATE(R$2,12,31)),S57/(1+(Assumptions!$B$14)),0)</f>
        <v>0</v>
      </c>
      <c r="S57" s="6">
        <f>IF($C57&lt;(DATE(S$2,12,31)),T57/(1+(Assumptions!$B$14)),0)</f>
        <v>0</v>
      </c>
      <c r="T57" s="6">
        <f>IF($C57&lt;(DATE(T$2,12,31)),U57/(1+(Assumptions!$B$14)),0)</f>
        <v>0</v>
      </c>
      <c r="U57" s="6">
        <f>IF($C57&lt;(DATE(U$2,12,31)),V57/(1+(Assumptions!$B$14)),0)</f>
        <v>38397.530401608208</v>
      </c>
      <c r="V57" s="6">
        <f>IF($C57&lt;(DATE(V$2,12,31)),W57/(1+(Assumptions!$B$14)),0)</f>
        <v>39933.431617672541</v>
      </c>
      <c r="W57" s="6">
        <f>IF($C57&lt;(DATE(W$2,12,31)),X57/(1+(Assumptions!$B$14)),0)</f>
        <v>41530.768882379445</v>
      </c>
      <c r="X57" s="6">
        <f>IF($C57&lt;(DATE(X$2,12,31)),Y57/(1+(Assumptions!$B$14)),0)</f>
        <v>43191.999637674628</v>
      </c>
      <c r="Y57" s="6">
        <f>IF($C57&lt;(DATE(Y$2,12,31)),Z57/(1+(Assumptions!$B$14)),0)</f>
        <v>44919.679623181612</v>
      </c>
      <c r="Z57" s="6">
        <f>IF($C57&lt;(DATE(Z$2,12,31)),AA57/(1+(Assumptions!$B$14)),0)</f>
        <v>46716.466808108875</v>
      </c>
      <c r="AA57" s="6">
        <f>IF($C57&lt;(DATE(AA$2,12,31)),AB57/(1+(Assumptions!$B$14)),0)</f>
        <v>48585.125480433235</v>
      </c>
      <c r="AB57" s="6">
        <f>IF($C57&lt;(DATE(AB$2,12,31)),AC57/(1+(Assumptions!$B$14)),0)</f>
        <v>50528.530499650566</v>
      </c>
      <c r="AC57" s="6">
        <f>IF($C57&lt;(DATE(AC$2,12,31)),AD57/(1+(Assumptions!$B$14)),0)</f>
        <v>52549.671719636593</v>
      </c>
      <c r="AD57" s="6">
        <f>IF($C57&lt;(DATE(AD$2,12,31)),AE57/(1+(Assumptions!$B$14)),0)</f>
        <v>54651.658588422062</v>
      </c>
      <c r="AE57" s="6">
        <f>IF($C57&lt;(DATE(AE$2,12,31)),AF57/(1+(Assumptions!$B$14)),0)</f>
        <v>56837.724931958946</v>
      </c>
      <c r="AF57" s="6">
        <f>IF($C57&lt;(DATE(AF$2,12,31)),AG57/(1+(Assumptions!$B$14)),0)</f>
        <v>59111.233929237307</v>
      </c>
      <c r="AG57" s="6">
        <f>IF($C57&lt;(DATE(AG$2,12,31)),AH57/(1+(Assumptions!$B$14)),0)</f>
        <v>61475.683286406798</v>
      </c>
      <c r="AH57" s="6">
        <f>IF($C57&lt;(DATE(AH$2,12,31)),AI57/(1+(Assumptions!$B$14)),0)</f>
        <v>63934.710617863071</v>
      </c>
      <c r="AI57" s="6">
        <f>IF($C57&lt;(DATE(AI$2,12,31)),AJ57/(1+(Assumptions!$B$14)),0)</f>
        <v>66492.099042577596</v>
      </c>
      <c r="AJ57" s="6">
        <f>IF($C57&lt;(DATE(AJ$2,12,31)),AK57/(1+(Assumptions!$B$14)),0)</f>
        <v>69151.783004280704</v>
      </c>
      <c r="AK57" s="6">
        <f>IF($C57&lt;(DATE(AK$2,12,31)),AL57/(1+(Assumptions!$B$14)),0)</f>
        <v>71917.854324451939</v>
      </c>
      <c r="AL57" s="6">
        <f>IF($C57&lt;(DATE(AL$2,12,31)),AM57/(1+(Assumptions!$B$14)),0)</f>
        <v>74794.568497430024</v>
      </c>
      <c r="AM57" s="6">
        <f>IF($C57&lt;(DATE(AM$2,12,31)),AN57/(1+(Assumptions!$B$14)),0)</f>
        <v>77786.351237327224</v>
      </c>
      <c r="AN57" s="6">
        <f>IF($C57&lt;(DATE(AN$2,12,31)),AO57/(1+(Assumptions!$B$14)),0)</f>
        <v>80897.805286820309</v>
      </c>
      <c r="AO57" s="6">
        <f>IF($C57&lt;(DATE(AO$2,12,31)),AP57/(1+(Assumptions!$B$14)),0)</f>
        <v>84133.717498293117</v>
      </c>
      <c r="AP57" s="6">
        <f>IF($C57&lt;(DATE(AP$2,12,31)),AQ57/(1+(Assumptions!$B$14)),0)</f>
        <v>87499.066198224842</v>
      </c>
      <c r="AQ57" s="6">
        <f>IF($C57&lt;(DATE(AQ$2,12,31)),AR57/(1+(Assumptions!$B$14)),0)</f>
        <v>90999.028846153844</v>
      </c>
      <c r="AR57" s="6">
        <f t="shared" si="0"/>
        <v>94638.99</v>
      </c>
      <c r="AS57" s="6">
        <f>AR57*(1+(Assumptions!$B$15))</f>
        <v>97478.159700000004</v>
      </c>
      <c r="AT57" s="6">
        <f>AS57*(1+(Assumptions!$B$15))</f>
        <v>100402.504491</v>
      </c>
      <c r="AU57" s="6">
        <f>AT57*(1+(Assumptions!$B$15))</f>
        <v>103414.57962573</v>
      </c>
      <c r="AV57" s="6">
        <f>AU57*(1+(Assumptions!$B$15))</f>
        <v>106517.01701450189</v>
      </c>
      <c r="AW57" s="6">
        <f>AV57*(1+(Assumptions!$B$15))</f>
        <v>109712.52752493696</v>
      </c>
      <c r="AX57" s="6">
        <f>AW57*(1+(Assumptions!$B$15))</f>
        <v>113003.90335068507</v>
      </c>
      <c r="AY57" s="6">
        <f>AX57*(1+(Assumptions!$B$15))</f>
        <v>116394.02045120562</v>
      </c>
      <c r="AZ57" s="6">
        <f>AY57*(1+(Assumptions!$B$15))</f>
        <v>119885.84106474179</v>
      </c>
      <c r="BA57" s="6">
        <f>AZ57*(1+(Assumptions!$B$15))</f>
        <v>123482.41629668405</v>
      </c>
      <c r="BB57" s="6">
        <f>BA57*(1+(Assumptions!$B$15))</f>
        <v>127186.88878558458</v>
      </c>
      <c r="BC57" s="6">
        <f>BB57*(1+(Assumptions!$B$15))</f>
        <v>131002.49544915212</v>
      </c>
    </row>
    <row r="58" spans="1:55" x14ac:dyDescent="0.25">
      <c r="A58" s="132">
        <v>600</v>
      </c>
      <c r="B58" s="133">
        <v>634</v>
      </c>
      <c r="C58" s="134">
        <v>33073</v>
      </c>
      <c r="D58" s="134">
        <v>47058</v>
      </c>
      <c r="E58" s="135">
        <v>97113.42</v>
      </c>
      <c r="F58" s="157"/>
      <c r="G58" s="6">
        <f>IF($C58&lt;(DATE(G$2,12,31)),H58/(1+(Assumptions!$B$14)),0)</f>
        <v>0</v>
      </c>
      <c r="H58" s="6">
        <f>IF($C58&lt;(DATE(H$2,12,31)),I58/(1+(Assumptions!$B$14)),0)</f>
        <v>0</v>
      </c>
      <c r="I58" s="6">
        <f>IF($C58&lt;(DATE(I$2,12,31)),J58/(1+(Assumptions!$B$14)),0)</f>
        <v>0</v>
      </c>
      <c r="J58" s="6">
        <f>IF($C58&lt;(DATE(J$2,12,31)),K58/(1+(Assumptions!$B$14)),0)</f>
        <v>0</v>
      </c>
      <c r="K58" s="6">
        <f>IF($C58&lt;(DATE(K$2,12,31)),L58/(1+(Assumptions!$B$14)),0)</f>
        <v>0</v>
      </c>
      <c r="L58" s="6">
        <f>IF($C58&lt;(DATE(L$2,12,31)),M58/(1+(Assumptions!$B$14)),0)</f>
        <v>0</v>
      </c>
      <c r="M58" s="6">
        <f>IF($C58&lt;(DATE(M$2,12,31)),N58/(1+(Assumptions!$B$14)),0)</f>
        <v>0</v>
      </c>
      <c r="N58" s="6">
        <f>IF($C58&lt;(DATE(N$2,12,31)),O58/(1+(Assumptions!$B$14)),0)</f>
        <v>0</v>
      </c>
      <c r="O58" s="6">
        <f>IF($C58&lt;(DATE(O$2,12,31)),P58/(1+(Assumptions!$B$14)),0)</f>
        <v>0</v>
      </c>
      <c r="P58" s="6">
        <f>IF($C58&lt;(DATE(P$2,12,31)),Q58/(1+(Assumptions!$B$14)),0)</f>
        <v>0</v>
      </c>
      <c r="Q58" s="6">
        <f>IF($C58&lt;(DATE(Q$2,12,31)),R58/(1+(Assumptions!$B$14)),0)</f>
        <v>0</v>
      </c>
      <c r="R58" s="6">
        <f>IF($C58&lt;(DATE(R$2,12,31)),S58/(1+(Assumptions!$B$14)),0)</f>
        <v>0</v>
      </c>
      <c r="S58" s="6">
        <f>IF($C58&lt;(DATE(S$2,12,31)),T58/(1+(Assumptions!$B$14)),0)</f>
        <v>0</v>
      </c>
      <c r="T58" s="6">
        <f>IF($C58&lt;(DATE(T$2,12,31)),U58/(1+(Assumptions!$B$14)),0)</f>
        <v>37886.030588999965</v>
      </c>
      <c r="U58" s="6">
        <f>IF($C58&lt;(DATE(U$2,12,31)),V58/(1+(Assumptions!$B$14)),0)</f>
        <v>39401.471812559968</v>
      </c>
      <c r="V58" s="6">
        <f>IF($C58&lt;(DATE(V$2,12,31)),W58/(1+(Assumptions!$B$14)),0)</f>
        <v>40977.530685062367</v>
      </c>
      <c r="W58" s="6">
        <f>IF($C58&lt;(DATE(W$2,12,31)),X58/(1+(Assumptions!$B$14)),0)</f>
        <v>42616.631912464865</v>
      </c>
      <c r="X58" s="6">
        <f>IF($C58&lt;(DATE(X$2,12,31)),Y58/(1+(Assumptions!$B$14)),0)</f>
        <v>44321.297188963465</v>
      </c>
      <c r="Y58" s="6">
        <f>IF($C58&lt;(DATE(Y$2,12,31)),Z58/(1+(Assumptions!$B$14)),0)</f>
        <v>46094.149076522008</v>
      </c>
      <c r="Z58" s="6">
        <f>IF($C58&lt;(DATE(Z$2,12,31)),AA58/(1+(Assumptions!$B$14)),0)</f>
        <v>47937.915039582891</v>
      </c>
      <c r="AA58" s="6">
        <f>IF($C58&lt;(DATE(AA$2,12,31)),AB58/(1+(Assumptions!$B$14)),0)</f>
        <v>49855.431641166208</v>
      </c>
      <c r="AB58" s="6">
        <f>IF($C58&lt;(DATE(AB$2,12,31)),AC58/(1+(Assumptions!$B$14)),0)</f>
        <v>51849.648906812858</v>
      </c>
      <c r="AC58" s="6">
        <f>IF($C58&lt;(DATE(AC$2,12,31)),AD58/(1+(Assumptions!$B$14)),0)</f>
        <v>53923.634863085375</v>
      </c>
      <c r="AD58" s="6">
        <f>IF($C58&lt;(DATE(AD$2,12,31)),AE58/(1+(Assumptions!$B$14)),0)</f>
        <v>56080.580257608795</v>
      </c>
      <c r="AE58" s="6">
        <f>IF($C58&lt;(DATE(AE$2,12,31)),AF58/(1+(Assumptions!$B$14)),0)</f>
        <v>58323.803467913152</v>
      </c>
      <c r="AF58" s="6">
        <f>IF($C58&lt;(DATE(AF$2,12,31)),AG58/(1+(Assumptions!$B$14)),0)</f>
        <v>60656.755606629682</v>
      </c>
      <c r="AG58" s="6">
        <f>IF($C58&lt;(DATE(AG$2,12,31)),AH58/(1+(Assumptions!$B$14)),0)</f>
        <v>63083.025830894869</v>
      </c>
      <c r="AH58" s="6">
        <f>IF($C58&lt;(DATE(AH$2,12,31)),AI58/(1+(Assumptions!$B$14)),0)</f>
        <v>65606.346864130668</v>
      </c>
      <c r="AI58" s="6">
        <f>IF($C58&lt;(DATE(AI$2,12,31)),AJ58/(1+(Assumptions!$B$14)),0)</f>
        <v>68230.600738695895</v>
      </c>
      <c r="AJ58" s="6">
        <f>IF($C58&lt;(DATE(AJ$2,12,31)),AK58/(1+(Assumptions!$B$14)),0)</f>
        <v>70959.824768243736</v>
      </c>
      <c r="AK58" s="6">
        <f>IF($C58&lt;(DATE(AK$2,12,31)),AL58/(1+(Assumptions!$B$14)),0)</f>
        <v>73798.217758973493</v>
      </c>
      <c r="AL58" s="6">
        <f>IF($C58&lt;(DATE(AL$2,12,31)),AM58/(1+(Assumptions!$B$14)),0)</f>
        <v>76750.146469332438</v>
      </c>
      <c r="AM58" s="6">
        <f>IF($C58&lt;(DATE(AM$2,12,31)),AN58/(1+(Assumptions!$B$14)),0)</f>
        <v>79820.152328105745</v>
      </c>
      <c r="AN58" s="6">
        <f>IF($C58&lt;(DATE(AN$2,12,31)),AO58/(1+(Assumptions!$B$14)),0)</f>
        <v>83012.958421229981</v>
      </c>
      <c r="AO58" s="6">
        <f>IF($C58&lt;(DATE(AO$2,12,31)),AP58/(1+(Assumptions!$B$14)),0)</f>
        <v>86333.476758079181</v>
      </c>
      <c r="AP58" s="6">
        <f>IF($C58&lt;(DATE(AP$2,12,31)),AQ58/(1+(Assumptions!$B$14)),0)</f>
        <v>89786.815828402352</v>
      </c>
      <c r="AQ58" s="6">
        <f>IF($C58&lt;(DATE(AQ$2,12,31)),AR58/(1+(Assumptions!$B$14)),0)</f>
        <v>93378.288461538454</v>
      </c>
      <c r="AR58" s="6">
        <f t="shared" si="0"/>
        <v>97113.42</v>
      </c>
      <c r="AS58" s="6">
        <f>AR58*(1+(Assumptions!$B$15))</f>
        <v>100026.8226</v>
      </c>
      <c r="AT58" s="6">
        <f>AS58*(1+(Assumptions!$B$15))</f>
        <v>103027.627278</v>
      </c>
      <c r="AU58" s="6">
        <f>AT58*(1+(Assumptions!$B$15))</f>
        <v>106118.45609634</v>
      </c>
      <c r="AV58" s="6">
        <f>AU58*(1+(Assumptions!$B$15))</f>
        <v>109302.0097792302</v>
      </c>
      <c r="AW58" s="6">
        <f>AV58*(1+(Assumptions!$B$15))</f>
        <v>112581.07007260711</v>
      </c>
      <c r="AX58" s="6">
        <f>AW58*(1+(Assumptions!$B$15))</f>
        <v>115958.50217478533</v>
      </c>
      <c r="AY58" s="6">
        <f>AX58*(1+(Assumptions!$B$15))</f>
        <v>119437.25724002889</v>
      </c>
      <c r="AZ58" s="6">
        <f>AY58*(1+(Assumptions!$B$15))</f>
        <v>123020.37495722977</v>
      </c>
      <c r="BA58" s="6">
        <f>AZ58*(1+(Assumptions!$B$15))</f>
        <v>126710.98620594667</v>
      </c>
      <c r="BB58" s="6">
        <f>BA58*(1+(Assumptions!$B$15))</f>
        <v>130512.31579212507</v>
      </c>
      <c r="BC58" s="6">
        <f>BB58*(1+(Assumptions!$B$15))</f>
        <v>134427.68526588881</v>
      </c>
    </row>
    <row r="59" spans="1:55" x14ac:dyDescent="0.25">
      <c r="A59" s="132">
        <v>600</v>
      </c>
      <c r="B59" s="133">
        <v>625</v>
      </c>
      <c r="C59" s="134">
        <v>32923</v>
      </c>
      <c r="D59" s="134">
        <v>48000</v>
      </c>
      <c r="E59" s="135">
        <v>97938.240000000005</v>
      </c>
      <c r="F59" s="157"/>
      <c r="G59" s="6">
        <f>IF($C59&lt;(DATE(G$2,12,31)),H59/(1+(Assumptions!$B$14)),0)</f>
        <v>0</v>
      </c>
      <c r="H59" s="6">
        <f>IF($C59&lt;(DATE(H$2,12,31)),I59/(1+(Assumptions!$B$14)),0)</f>
        <v>0</v>
      </c>
      <c r="I59" s="6">
        <f>IF($C59&lt;(DATE(I$2,12,31)),J59/(1+(Assumptions!$B$14)),0)</f>
        <v>0</v>
      </c>
      <c r="J59" s="6">
        <f>IF($C59&lt;(DATE(J$2,12,31)),K59/(1+(Assumptions!$B$14)),0)</f>
        <v>0</v>
      </c>
      <c r="K59" s="6">
        <f>IF($C59&lt;(DATE(K$2,12,31)),L59/(1+(Assumptions!$B$14)),0)</f>
        <v>0</v>
      </c>
      <c r="L59" s="6">
        <f>IF($C59&lt;(DATE(L$2,12,31)),M59/(1+(Assumptions!$B$14)),0)</f>
        <v>0</v>
      </c>
      <c r="M59" s="6">
        <f>IF($C59&lt;(DATE(M$2,12,31)),N59/(1+(Assumptions!$B$14)),0)</f>
        <v>0</v>
      </c>
      <c r="N59" s="6">
        <f>IF($C59&lt;(DATE(N$2,12,31)),O59/(1+(Assumptions!$B$14)),0)</f>
        <v>0</v>
      </c>
      <c r="O59" s="6">
        <f>IF($C59&lt;(DATE(O$2,12,31)),P59/(1+(Assumptions!$B$14)),0)</f>
        <v>0</v>
      </c>
      <c r="P59" s="6">
        <f>IF($C59&lt;(DATE(P$2,12,31)),Q59/(1+(Assumptions!$B$14)),0)</f>
        <v>0</v>
      </c>
      <c r="Q59" s="6">
        <f>IF($C59&lt;(DATE(Q$2,12,31)),R59/(1+(Assumptions!$B$14)),0)</f>
        <v>0</v>
      </c>
      <c r="R59" s="6">
        <f>IF($C59&lt;(DATE(R$2,12,31)),S59/(1+(Assumptions!$B$14)),0)</f>
        <v>0</v>
      </c>
      <c r="S59" s="6">
        <f>IF($C59&lt;(DATE(S$2,12,31)),T59/(1+(Assumptions!$B$14)),0)</f>
        <v>0</v>
      </c>
      <c r="T59" s="6">
        <f>IF($C59&lt;(DATE(T$2,12,31)),U59/(1+(Assumptions!$B$14)),0)</f>
        <v>38207.810583468519</v>
      </c>
      <c r="U59" s="6">
        <f>IF($C59&lt;(DATE(U$2,12,31)),V59/(1+(Assumptions!$B$14)),0)</f>
        <v>39736.123006807262</v>
      </c>
      <c r="V59" s="6">
        <f>IF($C59&lt;(DATE(V$2,12,31)),W59/(1+(Assumptions!$B$14)),0)</f>
        <v>41325.567927079552</v>
      </c>
      <c r="W59" s="6">
        <f>IF($C59&lt;(DATE(W$2,12,31)),X59/(1+(Assumptions!$B$14)),0)</f>
        <v>42978.590644162738</v>
      </c>
      <c r="X59" s="6">
        <f>IF($C59&lt;(DATE(X$2,12,31)),Y59/(1+(Assumptions!$B$14)),0)</f>
        <v>44697.734269929249</v>
      </c>
      <c r="Y59" s="6">
        <f>IF($C59&lt;(DATE(Y$2,12,31)),Z59/(1+(Assumptions!$B$14)),0)</f>
        <v>46485.643640726419</v>
      </c>
      <c r="Z59" s="6">
        <f>IF($C59&lt;(DATE(Z$2,12,31)),AA59/(1+(Assumptions!$B$14)),0)</f>
        <v>48345.069386355477</v>
      </c>
      <c r="AA59" s="6">
        <f>IF($C59&lt;(DATE(AA$2,12,31)),AB59/(1+(Assumptions!$B$14)),0)</f>
        <v>50278.872161809697</v>
      </c>
      <c r="AB59" s="6">
        <f>IF($C59&lt;(DATE(AB$2,12,31)),AC59/(1+(Assumptions!$B$14)),0)</f>
        <v>52290.027048282085</v>
      </c>
      <c r="AC59" s="6">
        <f>IF($C59&lt;(DATE(AC$2,12,31)),AD59/(1+(Assumptions!$B$14)),0)</f>
        <v>54381.628130213372</v>
      </c>
      <c r="AD59" s="6">
        <f>IF($C59&lt;(DATE(AD$2,12,31)),AE59/(1+(Assumptions!$B$14)),0)</f>
        <v>56556.893255421906</v>
      </c>
      <c r="AE59" s="6">
        <f>IF($C59&lt;(DATE(AE$2,12,31)),AF59/(1+(Assumptions!$B$14)),0)</f>
        <v>58819.168985638782</v>
      </c>
      <c r="AF59" s="6">
        <f>IF($C59&lt;(DATE(AF$2,12,31)),AG59/(1+(Assumptions!$B$14)),0)</f>
        <v>61171.935745064337</v>
      </c>
      <c r="AG59" s="6">
        <f>IF($C59&lt;(DATE(AG$2,12,31)),AH59/(1+(Assumptions!$B$14)),0)</f>
        <v>63618.813174866911</v>
      </c>
      <c r="AH59" s="6">
        <f>IF($C59&lt;(DATE(AH$2,12,31)),AI59/(1+(Assumptions!$B$14)),0)</f>
        <v>66163.565701861589</v>
      </c>
      <c r="AI59" s="6">
        <f>IF($C59&lt;(DATE(AI$2,12,31)),AJ59/(1+(Assumptions!$B$14)),0)</f>
        <v>68810.108329936062</v>
      </c>
      <c r="AJ59" s="6">
        <f>IF($C59&lt;(DATE(AJ$2,12,31)),AK59/(1+(Assumptions!$B$14)),0)</f>
        <v>71562.512663133501</v>
      </c>
      <c r="AK59" s="6">
        <f>IF($C59&lt;(DATE(AK$2,12,31)),AL59/(1+(Assumptions!$B$14)),0)</f>
        <v>74425.013169658851</v>
      </c>
      <c r="AL59" s="6">
        <f>IF($C59&lt;(DATE(AL$2,12,31)),AM59/(1+(Assumptions!$B$14)),0)</f>
        <v>77402.01369644521</v>
      </c>
      <c r="AM59" s="6">
        <f>IF($C59&lt;(DATE(AM$2,12,31)),AN59/(1+(Assumptions!$B$14)),0)</f>
        <v>80498.094244303022</v>
      </c>
      <c r="AN59" s="6">
        <f>IF($C59&lt;(DATE(AN$2,12,31)),AO59/(1+(Assumptions!$B$14)),0)</f>
        <v>83718.018014075147</v>
      </c>
      <c r="AO59" s="6">
        <f>IF($C59&lt;(DATE(AO$2,12,31)),AP59/(1+(Assumptions!$B$14)),0)</f>
        <v>87066.738734638158</v>
      </c>
      <c r="AP59" s="6">
        <f>IF($C59&lt;(DATE(AP$2,12,31)),AQ59/(1+(Assumptions!$B$14)),0)</f>
        <v>90549.408284023681</v>
      </c>
      <c r="AQ59" s="6">
        <f>IF($C59&lt;(DATE(AQ$2,12,31)),AR59/(1+(Assumptions!$B$14)),0)</f>
        <v>94171.384615384624</v>
      </c>
      <c r="AR59" s="6">
        <f t="shared" si="0"/>
        <v>97938.240000000005</v>
      </c>
      <c r="AS59" s="6">
        <f>AR59*(1+(Assumptions!$B$15))</f>
        <v>100876.38720000001</v>
      </c>
      <c r="AT59" s="6">
        <f>AS59*(1+(Assumptions!$B$15))</f>
        <v>103902.67881600001</v>
      </c>
      <c r="AU59" s="6">
        <f>AT59*(1+(Assumptions!$B$15))</f>
        <v>107019.75918048002</v>
      </c>
      <c r="AV59" s="6">
        <f>AU59*(1+(Assumptions!$B$15))</f>
        <v>110230.35195589442</v>
      </c>
      <c r="AW59" s="6">
        <f>AV59*(1+(Assumptions!$B$15))</f>
        <v>113537.26251457127</v>
      </c>
      <c r="AX59" s="6">
        <f>AW59*(1+(Assumptions!$B$15))</f>
        <v>116943.3803900084</v>
      </c>
      <c r="AY59" s="6">
        <f>AX59*(1+(Assumptions!$B$15))</f>
        <v>120451.68180170866</v>
      </c>
      <c r="AZ59" s="6">
        <f>AY59*(1+(Assumptions!$B$15))</f>
        <v>124065.23225575993</v>
      </c>
      <c r="BA59" s="6">
        <f>AZ59*(1+(Assumptions!$B$15))</f>
        <v>127787.18922343272</v>
      </c>
      <c r="BB59" s="6">
        <f>BA59*(1+(Assumptions!$B$15))</f>
        <v>131620.8049001357</v>
      </c>
      <c r="BC59" s="6">
        <f>BB59*(1+(Assumptions!$B$15))</f>
        <v>135569.42904713977</v>
      </c>
    </row>
    <row r="60" spans="1:55" x14ac:dyDescent="0.25">
      <c r="A60" s="132">
        <v>600</v>
      </c>
      <c r="B60" s="133">
        <v>624</v>
      </c>
      <c r="C60" s="134">
        <v>32905</v>
      </c>
      <c r="D60" s="134">
        <v>44682</v>
      </c>
      <c r="E60" s="135">
        <v>98763.05</v>
      </c>
      <c r="F60" s="157"/>
      <c r="G60" s="6">
        <f>IF($C60&lt;(DATE(G$2,12,31)),H60/(1+(Assumptions!$B$14)),0)</f>
        <v>0</v>
      </c>
      <c r="H60" s="6">
        <f>IF($C60&lt;(DATE(H$2,12,31)),I60/(1+(Assumptions!$B$14)),0)</f>
        <v>0</v>
      </c>
      <c r="I60" s="6">
        <f>IF($C60&lt;(DATE(I$2,12,31)),J60/(1+(Assumptions!$B$14)),0)</f>
        <v>0</v>
      </c>
      <c r="J60" s="6">
        <f>IF($C60&lt;(DATE(J$2,12,31)),K60/(1+(Assumptions!$B$14)),0)</f>
        <v>0</v>
      </c>
      <c r="K60" s="6">
        <f>IF($C60&lt;(DATE(K$2,12,31)),L60/(1+(Assumptions!$B$14)),0)</f>
        <v>0</v>
      </c>
      <c r="L60" s="6">
        <f>IF($C60&lt;(DATE(L$2,12,31)),M60/(1+(Assumptions!$B$14)),0)</f>
        <v>0</v>
      </c>
      <c r="M60" s="6">
        <f>IF($C60&lt;(DATE(M$2,12,31)),N60/(1+(Assumptions!$B$14)),0)</f>
        <v>0</v>
      </c>
      <c r="N60" s="6">
        <f>IF($C60&lt;(DATE(N$2,12,31)),O60/(1+(Assumptions!$B$14)),0)</f>
        <v>0</v>
      </c>
      <c r="O60" s="6">
        <f>IF($C60&lt;(DATE(O$2,12,31)),P60/(1+(Assumptions!$B$14)),0)</f>
        <v>0</v>
      </c>
      <c r="P60" s="6">
        <f>IF($C60&lt;(DATE(P$2,12,31)),Q60/(1+(Assumptions!$B$14)),0)</f>
        <v>0</v>
      </c>
      <c r="Q60" s="6">
        <f>IF($C60&lt;(DATE(Q$2,12,31)),R60/(1+(Assumptions!$B$14)),0)</f>
        <v>0</v>
      </c>
      <c r="R60" s="6">
        <f>IF($C60&lt;(DATE(R$2,12,31)),S60/(1+(Assumptions!$B$14)),0)</f>
        <v>0</v>
      </c>
      <c r="S60" s="6">
        <f>IF($C60&lt;(DATE(S$2,12,31)),T60/(1+(Assumptions!$B$14)),0)</f>
        <v>0</v>
      </c>
      <c r="T60" s="6">
        <f>IF($C60&lt;(DATE(T$2,12,31)),U60/(1+(Assumptions!$B$14)),0)</f>
        <v>38529.586676722276</v>
      </c>
      <c r="U60" s="6">
        <f>IF($C60&lt;(DATE(U$2,12,31)),V60/(1+(Assumptions!$B$14)),0)</f>
        <v>40070.770143791167</v>
      </c>
      <c r="V60" s="6">
        <f>IF($C60&lt;(DATE(V$2,12,31)),W60/(1+(Assumptions!$B$14)),0)</f>
        <v>41673.600949542815</v>
      </c>
      <c r="W60" s="6">
        <f>IF($C60&lt;(DATE(W$2,12,31)),X60/(1+(Assumptions!$B$14)),0)</f>
        <v>43340.544987524532</v>
      </c>
      <c r="X60" s="6">
        <f>IF($C60&lt;(DATE(X$2,12,31)),Y60/(1+(Assumptions!$B$14)),0)</f>
        <v>45074.166787025519</v>
      </c>
      <c r="Y60" s="6">
        <f>IF($C60&lt;(DATE(Y$2,12,31)),Z60/(1+(Assumptions!$B$14)),0)</f>
        <v>46877.133458506542</v>
      </c>
      <c r="Z60" s="6">
        <f>IF($C60&lt;(DATE(Z$2,12,31)),AA60/(1+(Assumptions!$B$14)),0)</f>
        <v>48752.218796846806</v>
      </c>
      <c r="AA60" s="6">
        <f>IF($C60&lt;(DATE(AA$2,12,31)),AB60/(1+(Assumptions!$B$14)),0)</f>
        <v>50702.307548720681</v>
      </c>
      <c r="AB60" s="6">
        <f>IF($C60&lt;(DATE(AB$2,12,31)),AC60/(1+(Assumptions!$B$14)),0)</f>
        <v>52730.399850669513</v>
      </c>
      <c r="AC60" s="6">
        <f>IF($C60&lt;(DATE(AC$2,12,31)),AD60/(1+(Assumptions!$B$14)),0)</f>
        <v>54839.615844696295</v>
      </c>
      <c r="AD60" s="6">
        <f>IF($C60&lt;(DATE(AD$2,12,31)),AE60/(1+(Assumptions!$B$14)),0)</f>
        <v>57033.200478484148</v>
      </c>
      <c r="AE60" s="6">
        <f>IF($C60&lt;(DATE(AE$2,12,31)),AF60/(1+(Assumptions!$B$14)),0)</f>
        <v>59314.52849762352</v>
      </c>
      <c r="AF60" s="6">
        <f>IF($C60&lt;(DATE(AF$2,12,31)),AG60/(1+(Assumptions!$B$14)),0)</f>
        <v>61687.109637528461</v>
      </c>
      <c r="AG60" s="6">
        <f>IF($C60&lt;(DATE(AG$2,12,31)),AH60/(1+(Assumptions!$B$14)),0)</f>
        <v>64154.594023029604</v>
      </c>
      <c r="AH60" s="6">
        <f>IF($C60&lt;(DATE(AH$2,12,31)),AI60/(1+(Assumptions!$B$14)),0)</f>
        <v>66720.777783950791</v>
      </c>
      <c r="AI60" s="6">
        <f>IF($C60&lt;(DATE(AI$2,12,31)),AJ60/(1+(Assumptions!$B$14)),0)</f>
        <v>69389.608895308818</v>
      </c>
      <c r="AJ60" s="6">
        <f>IF($C60&lt;(DATE(AJ$2,12,31)),AK60/(1+(Assumptions!$B$14)),0)</f>
        <v>72165.193251121178</v>
      </c>
      <c r="AK60" s="6">
        <f>IF($C60&lt;(DATE(AK$2,12,31)),AL60/(1+(Assumptions!$B$14)),0)</f>
        <v>75051.80098116603</v>
      </c>
      <c r="AL60" s="6">
        <f>IF($C60&lt;(DATE(AL$2,12,31)),AM60/(1+(Assumptions!$B$14)),0)</f>
        <v>78053.873020412677</v>
      </c>
      <c r="AM60" s="6">
        <f>IF($C60&lt;(DATE(AM$2,12,31)),AN60/(1+(Assumptions!$B$14)),0)</f>
        <v>81176.027941229186</v>
      </c>
      <c r="AN60" s="6">
        <f>IF($C60&lt;(DATE(AN$2,12,31)),AO60/(1+(Assumptions!$B$14)),0)</f>
        <v>84423.069058878362</v>
      </c>
      <c r="AO60" s="6">
        <f>IF($C60&lt;(DATE(AO$2,12,31)),AP60/(1+(Assumptions!$B$14)),0)</f>
        <v>87799.991821233503</v>
      </c>
      <c r="AP60" s="6">
        <f>IF($C60&lt;(DATE(AP$2,12,31)),AQ60/(1+(Assumptions!$B$14)),0)</f>
        <v>91311.991494082846</v>
      </c>
      <c r="AQ60" s="6">
        <f>IF($C60&lt;(DATE(AQ$2,12,31)),AR60/(1+(Assumptions!$B$14)),0)</f>
        <v>94964.471153846156</v>
      </c>
      <c r="AR60" s="6">
        <f t="shared" si="0"/>
        <v>98763.05</v>
      </c>
      <c r="AS60" s="6">
        <f>AR60*(1+(Assumptions!$B$15))</f>
        <v>101725.9415</v>
      </c>
      <c r="AT60" s="6">
        <f>AS60*(1+(Assumptions!$B$15))</f>
        <v>104777.71974500001</v>
      </c>
      <c r="AU60" s="6">
        <f>AT60*(1+(Assumptions!$B$15))</f>
        <v>107921.05133735001</v>
      </c>
      <c r="AV60" s="6">
        <f>AU60*(1+(Assumptions!$B$15))</f>
        <v>111158.68287747052</v>
      </c>
      <c r="AW60" s="6">
        <f>AV60*(1+(Assumptions!$B$15))</f>
        <v>114493.44336379463</v>
      </c>
      <c r="AX60" s="6">
        <f>AW60*(1+(Assumptions!$B$15))</f>
        <v>117928.24666470848</v>
      </c>
      <c r="AY60" s="6">
        <f>AX60*(1+(Assumptions!$B$15))</f>
        <v>121466.09406464973</v>
      </c>
      <c r="AZ60" s="6">
        <f>AY60*(1+(Assumptions!$B$15))</f>
        <v>125110.07688658923</v>
      </c>
      <c r="BA60" s="6">
        <f>AZ60*(1+(Assumptions!$B$15))</f>
        <v>128863.37919318691</v>
      </c>
      <c r="BB60" s="6">
        <f>BA60*(1+(Assumptions!$B$15))</f>
        <v>132729.2805689825</v>
      </c>
      <c r="BC60" s="6">
        <f>BB60*(1+(Assumptions!$B$15))</f>
        <v>136711.15898605197</v>
      </c>
    </row>
    <row r="61" spans="1:55" x14ac:dyDescent="0.25">
      <c r="A61" s="132">
        <v>600</v>
      </c>
      <c r="B61" s="133">
        <v>620</v>
      </c>
      <c r="C61" s="134">
        <v>32818</v>
      </c>
      <c r="D61" s="134">
        <v>49766</v>
      </c>
      <c r="E61" s="135">
        <v>99587.86</v>
      </c>
      <c r="F61" s="157"/>
      <c r="G61" s="6">
        <f>IF($C61&lt;(DATE(G$2,12,31)),H61/(1+(Assumptions!$B$14)),0)</f>
        <v>0</v>
      </c>
      <c r="H61" s="6">
        <f>IF($C61&lt;(DATE(H$2,12,31)),I61/(1+(Assumptions!$B$14)),0)</f>
        <v>0</v>
      </c>
      <c r="I61" s="6">
        <f>IF($C61&lt;(DATE(I$2,12,31)),J61/(1+(Assumptions!$B$14)),0)</f>
        <v>0</v>
      </c>
      <c r="J61" s="6">
        <f>IF($C61&lt;(DATE(J$2,12,31)),K61/(1+(Assumptions!$B$14)),0)</f>
        <v>0</v>
      </c>
      <c r="K61" s="6">
        <f>IF($C61&lt;(DATE(K$2,12,31)),L61/(1+(Assumptions!$B$14)),0)</f>
        <v>0</v>
      </c>
      <c r="L61" s="6">
        <f>IF($C61&lt;(DATE(L$2,12,31)),M61/(1+(Assumptions!$B$14)),0)</f>
        <v>0</v>
      </c>
      <c r="M61" s="6">
        <f>IF($C61&lt;(DATE(M$2,12,31)),N61/(1+(Assumptions!$B$14)),0)</f>
        <v>0</v>
      </c>
      <c r="N61" s="6">
        <f>IF($C61&lt;(DATE(N$2,12,31)),O61/(1+(Assumptions!$B$14)),0)</f>
        <v>0</v>
      </c>
      <c r="O61" s="6">
        <f>IF($C61&lt;(DATE(O$2,12,31)),P61/(1+(Assumptions!$B$14)),0)</f>
        <v>0</v>
      </c>
      <c r="P61" s="6">
        <f>IF($C61&lt;(DATE(P$2,12,31)),Q61/(1+(Assumptions!$B$14)),0)</f>
        <v>0</v>
      </c>
      <c r="Q61" s="6">
        <f>IF($C61&lt;(DATE(Q$2,12,31)),R61/(1+(Assumptions!$B$14)),0)</f>
        <v>0</v>
      </c>
      <c r="R61" s="6">
        <f>IF($C61&lt;(DATE(R$2,12,31)),S61/(1+(Assumptions!$B$14)),0)</f>
        <v>0</v>
      </c>
      <c r="S61" s="6">
        <f>IF($C61&lt;(DATE(S$2,12,31)),T61/(1+(Assumptions!$B$14)),0)</f>
        <v>37357.079586515436</v>
      </c>
      <c r="T61" s="6">
        <f>IF($C61&lt;(DATE(T$2,12,31)),U61/(1+(Assumptions!$B$14)),0)</f>
        <v>38851.362769976055</v>
      </c>
      <c r="U61" s="6">
        <f>IF($C61&lt;(DATE(U$2,12,31)),V61/(1+(Assumptions!$B$14)),0)</f>
        <v>40405.417280775095</v>
      </c>
      <c r="V61" s="6">
        <f>IF($C61&lt;(DATE(V$2,12,31)),W61/(1+(Assumptions!$B$14)),0)</f>
        <v>42021.633972006101</v>
      </c>
      <c r="W61" s="6">
        <f>IF($C61&lt;(DATE(W$2,12,31)),X61/(1+(Assumptions!$B$14)),0)</f>
        <v>43702.499330886349</v>
      </c>
      <c r="X61" s="6">
        <f>IF($C61&lt;(DATE(X$2,12,31)),Y61/(1+(Assumptions!$B$14)),0)</f>
        <v>45450.599304121803</v>
      </c>
      <c r="Y61" s="6">
        <f>IF($C61&lt;(DATE(Y$2,12,31)),Z61/(1+(Assumptions!$B$14)),0)</f>
        <v>47268.623276286678</v>
      </c>
      <c r="Z61" s="6">
        <f>IF($C61&lt;(DATE(Z$2,12,31)),AA61/(1+(Assumptions!$B$14)),0)</f>
        <v>49159.36820733815</v>
      </c>
      <c r="AA61" s="6">
        <f>IF($C61&lt;(DATE(AA$2,12,31)),AB61/(1+(Assumptions!$B$14)),0)</f>
        <v>51125.742935631679</v>
      </c>
      <c r="AB61" s="6">
        <f>IF($C61&lt;(DATE(AB$2,12,31)),AC61/(1+(Assumptions!$B$14)),0)</f>
        <v>53170.772653056949</v>
      </c>
      <c r="AC61" s="6">
        <f>IF($C61&lt;(DATE(AC$2,12,31)),AD61/(1+(Assumptions!$B$14)),0)</f>
        <v>55297.603559179232</v>
      </c>
      <c r="AD61" s="6">
        <f>IF($C61&lt;(DATE(AD$2,12,31)),AE61/(1+(Assumptions!$B$14)),0)</f>
        <v>57509.507701546405</v>
      </c>
      <c r="AE61" s="6">
        <f>IF($C61&lt;(DATE(AE$2,12,31)),AF61/(1+(Assumptions!$B$14)),0)</f>
        <v>59809.888009608265</v>
      </c>
      <c r="AF61" s="6">
        <f>IF($C61&lt;(DATE(AF$2,12,31)),AG61/(1+(Assumptions!$B$14)),0)</f>
        <v>62202.283529992601</v>
      </c>
      <c r="AG61" s="6">
        <f>IF($C61&lt;(DATE(AG$2,12,31)),AH61/(1+(Assumptions!$B$14)),0)</f>
        <v>64690.374871192311</v>
      </c>
      <c r="AH61" s="6">
        <f>IF($C61&lt;(DATE(AH$2,12,31)),AI61/(1+(Assumptions!$B$14)),0)</f>
        <v>67277.989866040007</v>
      </c>
      <c r="AI61" s="6">
        <f>IF($C61&lt;(DATE(AI$2,12,31)),AJ61/(1+(Assumptions!$B$14)),0)</f>
        <v>69969.109460681604</v>
      </c>
      <c r="AJ61" s="6">
        <f>IF($C61&lt;(DATE(AJ$2,12,31)),AK61/(1+(Assumptions!$B$14)),0)</f>
        <v>72767.87383910887</v>
      </c>
      <c r="AK61" s="6">
        <f>IF($C61&lt;(DATE(AK$2,12,31)),AL61/(1+(Assumptions!$B$14)),0)</f>
        <v>75678.588792673225</v>
      </c>
      <c r="AL61" s="6">
        <f>IF($C61&lt;(DATE(AL$2,12,31)),AM61/(1+(Assumptions!$B$14)),0)</f>
        <v>78705.732344380158</v>
      </c>
      <c r="AM61" s="6">
        <f>IF($C61&lt;(DATE(AM$2,12,31)),AN61/(1+(Assumptions!$B$14)),0)</f>
        <v>81853.961638155364</v>
      </c>
      <c r="AN61" s="6">
        <f>IF($C61&lt;(DATE(AN$2,12,31)),AO61/(1+(Assumptions!$B$14)),0)</f>
        <v>85128.120103681576</v>
      </c>
      <c r="AO61" s="6">
        <f>IF($C61&lt;(DATE(AO$2,12,31)),AP61/(1+(Assumptions!$B$14)),0)</f>
        <v>88533.244907828848</v>
      </c>
      <c r="AP61" s="6">
        <f>IF($C61&lt;(DATE(AP$2,12,31)),AQ61/(1+(Assumptions!$B$14)),0)</f>
        <v>92074.574704142011</v>
      </c>
      <c r="AQ61" s="6">
        <f>IF($C61&lt;(DATE(AQ$2,12,31)),AR61/(1+(Assumptions!$B$14)),0)</f>
        <v>95757.557692307688</v>
      </c>
      <c r="AR61" s="6">
        <f t="shared" si="0"/>
        <v>99587.86</v>
      </c>
      <c r="AS61" s="6">
        <f>AR61*(1+(Assumptions!$B$15))</f>
        <v>102575.4958</v>
      </c>
      <c r="AT61" s="6">
        <f>AS61*(1+(Assumptions!$B$15))</f>
        <v>105652.760674</v>
      </c>
      <c r="AU61" s="6">
        <f>AT61*(1+(Assumptions!$B$15))</f>
        <v>108822.34349422001</v>
      </c>
      <c r="AV61" s="6">
        <f>AU61*(1+(Assumptions!$B$15))</f>
        <v>112087.01379904662</v>
      </c>
      <c r="AW61" s="6">
        <f>AV61*(1+(Assumptions!$B$15))</f>
        <v>115449.62421301802</v>
      </c>
      <c r="AX61" s="6">
        <f>AW61*(1+(Assumptions!$B$15))</f>
        <v>118913.11293940856</v>
      </c>
      <c r="AY61" s="6">
        <f>AX61*(1+(Assumptions!$B$15))</f>
        <v>122480.50632759082</v>
      </c>
      <c r="AZ61" s="6">
        <f>AY61*(1+(Assumptions!$B$15))</f>
        <v>126154.92151741855</v>
      </c>
      <c r="BA61" s="6">
        <f>AZ61*(1+(Assumptions!$B$15))</f>
        <v>129939.56916294112</v>
      </c>
      <c r="BB61" s="6">
        <f>BA61*(1+(Assumptions!$B$15))</f>
        <v>133837.75623782937</v>
      </c>
      <c r="BC61" s="6">
        <f>BB61*(1+(Assumptions!$B$15))</f>
        <v>137852.88892496424</v>
      </c>
    </row>
    <row r="62" spans="1:55" x14ac:dyDescent="0.25">
      <c r="A62" s="132">
        <v>600</v>
      </c>
      <c r="B62" s="133">
        <v>588</v>
      </c>
      <c r="C62" s="134">
        <v>32370</v>
      </c>
      <c r="D62" s="134">
        <v>45658</v>
      </c>
      <c r="E62" s="135">
        <v>101237.49</v>
      </c>
      <c r="F62" s="157"/>
      <c r="G62" s="6">
        <f>IF($C62&lt;(DATE(G$2,12,31)),H62/(1+(Assumptions!$B$14)),0)</f>
        <v>0</v>
      </c>
      <c r="H62" s="6">
        <f>IF($C62&lt;(DATE(H$2,12,31)),I62/(1+(Assumptions!$B$14)),0)</f>
        <v>0</v>
      </c>
      <c r="I62" s="6">
        <f>IF($C62&lt;(DATE(I$2,12,31)),J62/(1+(Assumptions!$B$14)),0)</f>
        <v>0</v>
      </c>
      <c r="J62" s="6">
        <f>IF($C62&lt;(DATE(J$2,12,31)),K62/(1+(Assumptions!$B$14)),0)</f>
        <v>0</v>
      </c>
      <c r="K62" s="6">
        <f>IF($C62&lt;(DATE(K$2,12,31)),L62/(1+(Assumptions!$B$14)),0)</f>
        <v>0</v>
      </c>
      <c r="L62" s="6">
        <f>IF($C62&lt;(DATE(L$2,12,31)),M62/(1+(Assumptions!$B$14)),0)</f>
        <v>0</v>
      </c>
      <c r="M62" s="6">
        <f>IF($C62&lt;(DATE(M$2,12,31)),N62/(1+(Assumptions!$B$14)),0)</f>
        <v>0</v>
      </c>
      <c r="N62" s="6">
        <f>IF($C62&lt;(DATE(N$2,12,31)),O62/(1+(Assumptions!$B$14)),0)</f>
        <v>0</v>
      </c>
      <c r="O62" s="6">
        <f>IF($C62&lt;(DATE(O$2,12,31)),P62/(1+(Assumptions!$B$14)),0)</f>
        <v>0</v>
      </c>
      <c r="P62" s="6">
        <f>IF($C62&lt;(DATE(P$2,12,31)),Q62/(1+(Assumptions!$B$14)),0)</f>
        <v>0</v>
      </c>
      <c r="Q62" s="6">
        <f>IF($C62&lt;(DATE(Q$2,12,31)),R62/(1+(Assumptions!$B$14)),0)</f>
        <v>0</v>
      </c>
      <c r="R62" s="6">
        <f>IF($C62&lt;(DATE(R$2,12,31)),S62/(1+(Assumptions!$B$14)),0)</f>
        <v>36515.272612516972</v>
      </c>
      <c r="S62" s="6">
        <f>IF($C62&lt;(DATE(S$2,12,31)),T62/(1+(Assumptions!$B$14)),0)</f>
        <v>37975.883517017654</v>
      </c>
      <c r="T62" s="6">
        <f>IF($C62&lt;(DATE(T$2,12,31)),U62/(1+(Assumptions!$B$14)),0)</f>
        <v>39494.918857698358</v>
      </c>
      <c r="U62" s="6">
        <f>IF($C62&lt;(DATE(U$2,12,31)),V62/(1+(Assumptions!$B$14)),0)</f>
        <v>41074.715612006294</v>
      </c>
      <c r="V62" s="6">
        <f>IF($C62&lt;(DATE(V$2,12,31)),W62/(1+(Assumptions!$B$14)),0)</f>
        <v>42717.704236486548</v>
      </c>
      <c r="W62" s="6">
        <f>IF($C62&lt;(DATE(W$2,12,31)),X62/(1+(Assumptions!$B$14)),0)</f>
        <v>44426.412405946008</v>
      </c>
      <c r="X62" s="6">
        <f>IF($C62&lt;(DATE(X$2,12,31)),Y62/(1+(Assumptions!$B$14)),0)</f>
        <v>46203.468902183849</v>
      </c>
      <c r="Y62" s="6">
        <f>IF($C62&lt;(DATE(Y$2,12,31)),Z62/(1+(Assumptions!$B$14)),0)</f>
        <v>48051.607658271205</v>
      </c>
      <c r="Z62" s="6">
        <f>IF($C62&lt;(DATE(Z$2,12,31)),AA62/(1+(Assumptions!$B$14)),0)</f>
        <v>49973.671964602057</v>
      </c>
      <c r="AA62" s="6">
        <f>IF($C62&lt;(DATE(AA$2,12,31)),AB62/(1+(Assumptions!$B$14)),0)</f>
        <v>51972.618843186145</v>
      </c>
      <c r="AB62" s="6">
        <f>IF($C62&lt;(DATE(AB$2,12,31)),AC62/(1+(Assumptions!$B$14)),0)</f>
        <v>54051.52359691359</v>
      </c>
      <c r="AC62" s="6">
        <f>IF($C62&lt;(DATE(AC$2,12,31)),AD62/(1+(Assumptions!$B$14)),0)</f>
        <v>56213.584540790136</v>
      </c>
      <c r="AD62" s="6">
        <f>IF($C62&lt;(DATE(AD$2,12,31)),AE62/(1+(Assumptions!$B$14)),0)</f>
        <v>58462.127922421743</v>
      </c>
      <c r="AE62" s="6">
        <f>IF($C62&lt;(DATE(AE$2,12,31)),AF62/(1+(Assumptions!$B$14)),0)</f>
        <v>60800.613039318618</v>
      </c>
      <c r="AF62" s="6">
        <f>IF($C62&lt;(DATE(AF$2,12,31)),AG62/(1+(Assumptions!$B$14)),0)</f>
        <v>63232.637560891366</v>
      </c>
      <c r="AG62" s="6">
        <f>IF($C62&lt;(DATE(AG$2,12,31)),AH62/(1+(Assumptions!$B$14)),0)</f>
        <v>65761.943063327024</v>
      </c>
      <c r="AH62" s="6">
        <f>IF($C62&lt;(DATE(AH$2,12,31)),AI62/(1+(Assumptions!$B$14)),0)</f>
        <v>68392.4207858601</v>
      </c>
      <c r="AI62" s="6">
        <f>IF($C62&lt;(DATE(AI$2,12,31)),AJ62/(1+(Assumptions!$B$14)),0)</f>
        <v>71128.117617294512</v>
      </c>
      <c r="AJ62" s="6">
        <f>IF($C62&lt;(DATE(AJ$2,12,31)),AK62/(1+(Assumptions!$B$14)),0)</f>
        <v>73973.242321986298</v>
      </c>
      <c r="AK62" s="6">
        <f>IF($C62&lt;(DATE(AK$2,12,31)),AL62/(1+(Assumptions!$B$14)),0)</f>
        <v>76932.172014865748</v>
      </c>
      <c r="AL62" s="6">
        <f>IF($C62&lt;(DATE(AL$2,12,31)),AM62/(1+(Assumptions!$B$14)),0)</f>
        <v>80009.458895460382</v>
      </c>
      <c r="AM62" s="6">
        <f>IF($C62&lt;(DATE(AM$2,12,31)),AN62/(1+(Assumptions!$B$14)),0)</f>
        <v>83209.837251278805</v>
      </c>
      <c r="AN62" s="6">
        <f>IF($C62&lt;(DATE(AN$2,12,31)),AO62/(1+(Assumptions!$B$14)),0)</f>
        <v>86538.230741329957</v>
      </c>
      <c r="AO62" s="6">
        <f>IF($C62&lt;(DATE(AO$2,12,31)),AP62/(1+(Assumptions!$B$14)),0)</f>
        <v>89999.759970983156</v>
      </c>
      <c r="AP62" s="6">
        <f>IF($C62&lt;(DATE(AP$2,12,31)),AQ62/(1+(Assumptions!$B$14)),0)</f>
        <v>93599.75036982249</v>
      </c>
      <c r="AQ62" s="6">
        <f>IF($C62&lt;(DATE(AQ$2,12,31)),AR62/(1+(Assumptions!$B$14)),0)</f>
        <v>97343.74038461539</v>
      </c>
      <c r="AR62" s="6">
        <f t="shared" si="0"/>
        <v>101237.49</v>
      </c>
      <c r="AS62" s="6">
        <f>AR62*(1+(Assumptions!$B$15))</f>
        <v>104274.61470000001</v>
      </c>
      <c r="AT62" s="6">
        <f>AS62*(1+(Assumptions!$B$15))</f>
        <v>107402.85314100001</v>
      </c>
      <c r="AU62" s="6">
        <f>AT62*(1+(Assumptions!$B$15))</f>
        <v>110624.93873523001</v>
      </c>
      <c r="AV62" s="6">
        <f>AU62*(1+(Assumptions!$B$15))</f>
        <v>113943.68689728691</v>
      </c>
      <c r="AW62" s="6">
        <f>AV62*(1+(Assumptions!$B$15))</f>
        <v>117361.99750420552</v>
      </c>
      <c r="AX62" s="6">
        <f>AW62*(1+(Assumptions!$B$15))</f>
        <v>120882.85742933168</v>
      </c>
      <c r="AY62" s="6">
        <f>AX62*(1+(Assumptions!$B$15))</f>
        <v>124509.34315221163</v>
      </c>
      <c r="AZ62" s="6">
        <f>AY62*(1+(Assumptions!$B$15))</f>
        <v>128244.62344677799</v>
      </c>
      <c r="BA62" s="6">
        <f>AZ62*(1+(Assumptions!$B$15))</f>
        <v>132091.96215018132</v>
      </c>
      <c r="BB62" s="6">
        <f>BA62*(1+(Assumptions!$B$15))</f>
        <v>136054.72101468677</v>
      </c>
      <c r="BC62" s="6">
        <f>BB62*(1+(Assumptions!$B$15))</f>
        <v>140136.36264512737</v>
      </c>
    </row>
    <row r="63" spans="1:55" x14ac:dyDescent="0.25">
      <c r="A63" s="132">
        <v>600</v>
      </c>
      <c r="B63" s="133">
        <v>584</v>
      </c>
      <c r="C63" s="134">
        <v>32335</v>
      </c>
      <c r="D63" s="134">
        <v>45536</v>
      </c>
      <c r="E63" s="135">
        <v>102062.3</v>
      </c>
      <c r="F63" s="157"/>
      <c r="G63" s="6">
        <f>IF($C63&lt;(DATE(G$2,12,31)),H63/(1+(Assumptions!$B$14)),0)</f>
        <v>0</v>
      </c>
      <c r="H63" s="6">
        <f>IF($C63&lt;(DATE(H$2,12,31)),I63/(1+(Assumptions!$B$14)),0)</f>
        <v>0</v>
      </c>
      <c r="I63" s="6">
        <f>IF($C63&lt;(DATE(I$2,12,31)),J63/(1+(Assumptions!$B$14)),0)</f>
        <v>0</v>
      </c>
      <c r="J63" s="6">
        <f>IF($C63&lt;(DATE(J$2,12,31)),K63/(1+(Assumptions!$B$14)),0)</f>
        <v>0</v>
      </c>
      <c r="K63" s="6">
        <f>IF($C63&lt;(DATE(K$2,12,31)),L63/(1+(Assumptions!$B$14)),0)</f>
        <v>0</v>
      </c>
      <c r="L63" s="6">
        <f>IF($C63&lt;(DATE(L$2,12,31)),M63/(1+(Assumptions!$B$14)),0)</f>
        <v>0</v>
      </c>
      <c r="M63" s="6">
        <f>IF($C63&lt;(DATE(M$2,12,31)),N63/(1+(Assumptions!$B$14)),0)</f>
        <v>0</v>
      </c>
      <c r="N63" s="6">
        <f>IF($C63&lt;(DATE(N$2,12,31)),O63/(1+(Assumptions!$B$14)),0)</f>
        <v>0</v>
      </c>
      <c r="O63" s="6">
        <f>IF($C63&lt;(DATE(O$2,12,31)),P63/(1+(Assumptions!$B$14)),0)</f>
        <v>0</v>
      </c>
      <c r="P63" s="6">
        <f>IF($C63&lt;(DATE(P$2,12,31)),Q63/(1+(Assumptions!$B$14)),0)</f>
        <v>0</v>
      </c>
      <c r="Q63" s="6">
        <f>IF($C63&lt;(DATE(Q$2,12,31)),R63/(1+(Assumptions!$B$14)),0)</f>
        <v>0</v>
      </c>
      <c r="R63" s="6">
        <f>IF($C63&lt;(DATE(R$2,12,31)),S63/(1+(Assumptions!$B$14)),0)</f>
        <v>36812.772698735324</v>
      </c>
      <c r="S63" s="6">
        <f>IF($C63&lt;(DATE(S$2,12,31)),T63/(1+(Assumptions!$B$14)),0)</f>
        <v>38285.283606684738</v>
      </c>
      <c r="T63" s="6">
        <f>IF($C63&lt;(DATE(T$2,12,31)),U63/(1+(Assumptions!$B$14)),0)</f>
        <v>39816.694950952129</v>
      </c>
      <c r="U63" s="6">
        <f>IF($C63&lt;(DATE(U$2,12,31)),V63/(1+(Assumptions!$B$14)),0)</f>
        <v>41409.362748990214</v>
      </c>
      <c r="V63" s="6">
        <f>IF($C63&lt;(DATE(V$2,12,31)),W63/(1+(Assumptions!$B$14)),0)</f>
        <v>43065.737258949826</v>
      </c>
      <c r="W63" s="6">
        <f>IF($C63&lt;(DATE(W$2,12,31)),X63/(1+(Assumptions!$B$14)),0)</f>
        <v>44788.366749307825</v>
      </c>
      <c r="X63" s="6">
        <f>IF($C63&lt;(DATE(X$2,12,31)),Y63/(1+(Assumptions!$B$14)),0)</f>
        <v>46579.901419280141</v>
      </c>
      <c r="Y63" s="6">
        <f>IF($C63&lt;(DATE(Y$2,12,31)),Z63/(1+(Assumptions!$B$14)),0)</f>
        <v>48443.097476051349</v>
      </c>
      <c r="Z63" s="6">
        <f>IF($C63&lt;(DATE(Z$2,12,31)),AA63/(1+(Assumptions!$B$14)),0)</f>
        <v>50380.821375093401</v>
      </c>
      <c r="AA63" s="6">
        <f>IF($C63&lt;(DATE(AA$2,12,31)),AB63/(1+(Assumptions!$B$14)),0)</f>
        <v>52396.054230097136</v>
      </c>
      <c r="AB63" s="6">
        <f>IF($C63&lt;(DATE(AB$2,12,31)),AC63/(1+(Assumptions!$B$14)),0)</f>
        <v>54491.896399301026</v>
      </c>
      <c r="AC63" s="6">
        <f>IF($C63&lt;(DATE(AC$2,12,31)),AD63/(1+(Assumptions!$B$14)),0)</f>
        <v>56671.572255273066</v>
      </c>
      <c r="AD63" s="6">
        <f>IF($C63&lt;(DATE(AD$2,12,31)),AE63/(1+(Assumptions!$B$14)),0)</f>
        <v>58938.435145483993</v>
      </c>
      <c r="AE63" s="6">
        <f>IF($C63&lt;(DATE(AE$2,12,31)),AF63/(1+(Assumptions!$B$14)),0)</f>
        <v>61295.972551303355</v>
      </c>
      <c r="AF63" s="6">
        <f>IF($C63&lt;(DATE(AF$2,12,31)),AG63/(1+(Assumptions!$B$14)),0)</f>
        <v>63747.811453355491</v>
      </c>
      <c r="AG63" s="6">
        <f>IF($C63&lt;(DATE(AG$2,12,31)),AH63/(1+(Assumptions!$B$14)),0)</f>
        <v>66297.723911489709</v>
      </c>
      <c r="AH63" s="6">
        <f>IF($C63&lt;(DATE(AH$2,12,31)),AI63/(1+(Assumptions!$B$14)),0)</f>
        <v>68949.632867949302</v>
      </c>
      <c r="AI63" s="6">
        <f>IF($C63&lt;(DATE(AI$2,12,31)),AJ63/(1+(Assumptions!$B$14)),0)</f>
        <v>71707.618182667284</v>
      </c>
      <c r="AJ63" s="6">
        <f>IF($C63&lt;(DATE(AJ$2,12,31)),AK63/(1+(Assumptions!$B$14)),0)</f>
        <v>74575.922909973975</v>
      </c>
      <c r="AK63" s="6">
        <f>IF($C63&lt;(DATE(AK$2,12,31)),AL63/(1+(Assumptions!$B$14)),0)</f>
        <v>77558.959826372942</v>
      </c>
      <c r="AL63" s="6">
        <f>IF($C63&lt;(DATE(AL$2,12,31)),AM63/(1+(Assumptions!$B$14)),0)</f>
        <v>80661.318219427863</v>
      </c>
      <c r="AM63" s="6">
        <f>IF($C63&lt;(DATE(AM$2,12,31)),AN63/(1+(Assumptions!$B$14)),0)</f>
        <v>83887.770948204983</v>
      </c>
      <c r="AN63" s="6">
        <f>IF($C63&lt;(DATE(AN$2,12,31)),AO63/(1+(Assumptions!$B$14)),0)</f>
        <v>87243.281786133186</v>
      </c>
      <c r="AO63" s="6">
        <f>IF($C63&lt;(DATE(AO$2,12,31)),AP63/(1+(Assumptions!$B$14)),0)</f>
        <v>90733.013057578515</v>
      </c>
      <c r="AP63" s="6">
        <f>IF($C63&lt;(DATE(AP$2,12,31)),AQ63/(1+(Assumptions!$B$14)),0)</f>
        <v>94362.333579881655</v>
      </c>
      <c r="AQ63" s="6">
        <f>IF($C63&lt;(DATE(AQ$2,12,31)),AR63/(1+(Assumptions!$B$14)),0)</f>
        <v>98136.826923076922</v>
      </c>
      <c r="AR63" s="6">
        <f t="shared" si="0"/>
        <v>102062.3</v>
      </c>
      <c r="AS63" s="6">
        <f>AR63*(1+(Assumptions!$B$15))</f>
        <v>105124.16900000001</v>
      </c>
      <c r="AT63" s="6">
        <f>AS63*(1+(Assumptions!$B$15))</f>
        <v>108277.89407000001</v>
      </c>
      <c r="AU63" s="6">
        <f>AT63*(1+(Assumptions!$B$15))</f>
        <v>111526.23089210001</v>
      </c>
      <c r="AV63" s="6">
        <f>AU63*(1+(Assumptions!$B$15))</f>
        <v>114872.01781886301</v>
      </c>
      <c r="AW63" s="6">
        <f>AV63*(1+(Assumptions!$B$15))</f>
        <v>118318.1783534289</v>
      </c>
      <c r="AX63" s="6">
        <f>AW63*(1+(Assumptions!$B$15))</f>
        <v>121867.72370403177</v>
      </c>
      <c r="AY63" s="6">
        <f>AX63*(1+(Assumptions!$B$15))</f>
        <v>125523.75541515273</v>
      </c>
      <c r="AZ63" s="6">
        <f>AY63*(1+(Assumptions!$B$15))</f>
        <v>129289.46807760731</v>
      </c>
      <c r="BA63" s="6">
        <f>AZ63*(1+(Assumptions!$B$15))</f>
        <v>133168.15211993552</v>
      </c>
      <c r="BB63" s="6">
        <f>BA63*(1+(Assumptions!$B$15))</f>
        <v>137163.19668353358</v>
      </c>
      <c r="BC63" s="6">
        <f>BB63*(1+(Assumptions!$B$15))</f>
        <v>141278.09258403958</v>
      </c>
    </row>
    <row r="64" spans="1:55" x14ac:dyDescent="0.25">
      <c r="A64" s="132">
        <v>600</v>
      </c>
      <c r="B64" s="133">
        <v>580</v>
      </c>
      <c r="C64" s="134">
        <v>32295</v>
      </c>
      <c r="D64" s="134">
        <v>46143</v>
      </c>
      <c r="E64" s="135">
        <v>102887.11</v>
      </c>
      <c r="F64" s="157"/>
      <c r="G64" s="6">
        <f>IF($C64&lt;(DATE(G$2,12,31)),H64/(1+(Assumptions!$B$14)),0)</f>
        <v>0</v>
      </c>
      <c r="H64" s="6">
        <f>IF($C64&lt;(DATE(H$2,12,31)),I64/(1+(Assumptions!$B$14)),0)</f>
        <v>0</v>
      </c>
      <c r="I64" s="6">
        <f>IF($C64&lt;(DATE(I$2,12,31)),J64/(1+(Assumptions!$B$14)),0)</f>
        <v>0</v>
      </c>
      <c r="J64" s="6">
        <f>IF($C64&lt;(DATE(J$2,12,31)),K64/(1+(Assumptions!$B$14)),0)</f>
        <v>0</v>
      </c>
      <c r="K64" s="6">
        <f>IF($C64&lt;(DATE(K$2,12,31)),L64/(1+(Assumptions!$B$14)),0)</f>
        <v>0</v>
      </c>
      <c r="L64" s="6">
        <f>IF($C64&lt;(DATE(L$2,12,31)),M64/(1+(Assumptions!$B$14)),0)</f>
        <v>0</v>
      </c>
      <c r="M64" s="6">
        <f>IF($C64&lt;(DATE(M$2,12,31)),N64/(1+(Assumptions!$B$14)),0)</f>
        <v>0</v>
      </c>
      <c r="N64" s="6">
        <f>IF($C64&lt;(DATE(N$2,12,31)),O64/(1+(Assumptions!$B$14)),0)</f>
        <v>0</v>
      </c>
      <c r="O64" s="6">
        <f>IF($C64&lt;(DATE(O$2,12,31)),P64/(1+(Assumptions!$B$14)),0)</f>
        <v>0</v>
      </c>
      <c r="P64" s="6">
        <f>IF($C64&lt;(DATE(P$2,12,31)),Q64/(1+(Assumptions!$B$14)),0)</f>
        <v>0</v>
      </c>
      <c r="Q64" s="6">
        <f>IF($C64&lt;(DATE(Q$2,12,31)),R64/(1+(Assumptions!$B$14)),0)</f>
        <v>0</v>
      </c>
      <c r="R64" s="6">
        <f>IF($C64&lt;(DATE(R$2,12,31)),S64/(1+(Assumptions!$B$14)),0)</f>
        <v>37110.27278495369</v>
      </c>
      <c r="S64" s="6">
        <f>IF($C64&lt;(DATE(S$2,12,31)),T64/(1+(Assumptions!$B$14)),0)</f>
        <v>38594.683696351836</v>
      </c>
      <c r="T64" s="6">
        <f>IF($C64&lt;(DATE(T$2,12,31)),U64/(1+(Assumptions!$B$14)),0)</f>
        <v>40138.471044205908</v>
      </c>
      <c r="U64" s="6">
        <f>IF($C64&lt;(DATE(U$2,12,31)),V64/(1+(Assumptions!$B$14)),0)</f>
        <v>41744.009885974148</v>
      </c>
      <c r="V64" s="6">
        <f>IF($C64&lt;(DATE(V$2,12,31)),W64/(1+(Assumptions!$B$14)),0)</f>
        <v>43413.770281413119</v>
      </c>
      <c r="W64" s="6">
        <f>IF($C64&lt;(DATE(W$2,12,31)),X64/(1+(Assumptions!$B$14)),0)</f>
        <v>45150.321092669648</v>
      </c>
      <c r="X64" s="6">
        <f>IF($C64&lt;(DATE(X$2,12,31)),Y64/(1+(Assumptions!$B$14)),0)</f>
        <v>46956.333936376439</v>
      </c>
      <c r="Y64" s="6">
        <f>IF($C64&lt;(DATE(Y$2,12,31)),Z64/(1+(Assumptions!$B$14)),0)</f>
        <v>48834.587293831501</v>
      </c>
      <c r="Z64" s="6">
        <f>IF($C64&lt;(DATE(Z$2,12,31)),AA64/(1+(Assumptions!$B$14)),0)</f>
        <v>50787.970785584759</v>
      </c>
      <c r="AA64" s="6">
        <f>IF($C64&lt;(DATE(AA$2,12,31)),AB64/(1+(Assumptions!$B$14)),0)</f>
        <v>52819.489617008148</v>
      </c>
      <c r="AB64" s="6">
        <f>IF($C64&lt;(DATE(AB$2,12,31)),AC64/(1+(Assumptions!$B$14)),0)</f>
        <v>54932.269201688476</v>
      </c>
      <c r="AC64" s="6">
        <f>IF($C64&lt;(DATE(AC$2,12,31)),AD64/(1+(Assumptions!$B$14)),0)</f>
        <v>57129.559969756017</v>
      </c>
      <c r="AD64" s="6">
        <f>IF($C64&lt;(DATE(AD$2,12,31)),AE64/(1+(Assumptions!$B$14)),0)</f>
        <v>59414.742368546256</v>
      </c>
      <c r="AE64" s="6">
        <f>IF($C64&lt;(DATE(AE$2,12,31)),AF64/(1+(Assumptions!$B$14)),0)</f>
        <v>61791.332063288108</v>
      </c>
      <c r="AF64" s="6">
        <f>IF($C64&lt;(DATE(AF$2,12,31)),AG64/(1+(Assumptions!$B$14)),0)</f>
        <v>64262.985345819638</v>
      </c>
      <c r="AG64" s="6">
        <f>IF($C64&lt;(DATE(AG$2,12,31)),AH64/(1+(Assumptions!$B$14)),0)</f>
        <v>66833.504759652424</v>
      </c>
      <c r="AH64" s="6">
        <f>IF($C64&lt;(DATE(AH$2,12,31)),AI64/(1+(Assumptions!$B$14)),0)</f>
        <v>69506.844950038518</v>
      </c>
      <c r="AI64" s="6">
        <f>IF($C64&lt;(DATE(AI$2,12,31)),AJ64/(1+(Assumptions!$B$14)),0)</f>
        <v>72287.118748040055</v>
      </c>
      <c r="AJ64" s="6">
        <f>IF($C64&lt;(DATE(AJ$2,12,31)),AK64/(1+(Assumptions!$B$14)),0)</f>
        <v>75178.603497961652</v>
      </c>
      <c r="AK64" s="6">
        <f>IF($C64&lt;(DATE(AK$2,12,31)),AL64/(1+(Assumptions!$B$14)),0)</f>
        <v>78185.747637880122</v>
      </c>
      <c r="AL64" s="6">
        <f>IF($C64&lt;(DATE(AL$2,12,31)),AM64/(1+(Assumptions!$B$14)),0)</f>
        <v>81313.17754339533</v>
      </c>
      <c r="AM64" s="6">
        <f>IF($C64&lt;(DATE(AM$2,12,31)),AN64/(1+(Assumptions!$B$14)),0)</f>
        <v>84565.704645131147</v>
      </c>
      <c r="AN64" s="6">
        <f>IF($C64&lt;(DATE(AN$2,12,31)),AO64/(1+(Assumptions!$B$14)),0)</f>
        <v>87948.332830936401</v>
      </c>
      <c r="AO64" s="6">
        <f>IF($C64&lt;(DATE(AO$2,12,31)),AP64/(1+(Assumptions!$B$14)),0)</f>
        <v>91466.26614417386</v>
      </c>
      <c r="AP64" s="6">
        <f>IF($C64&lt;(DATE(AP$2,12,31)),AQ64/(1+(Assumptions!$B$14)),0)</f>
        <v>95124.91678994082</v>
      </c>
      <c r="AQ64" s="6">
        <f>IF($C64&lt;(DATE(AQ$2,12,31)),AR64/(1+(Assumptions!$B$14)),0)</f>
        <v>98929.913461538454</v>
      </c>
      <c r="AR64" s="6">
        <f t="shared" si="0"/>
        <v>102887.11</v>
      </c>
      <c r="AS64" s="6">
        <f>AR64*(1+(Assumptions!$B$15))</f>
        <v>105973.7233</v>
      </c>
      <c r="AT64" s="6">
        <f>AS64*(1+(Assumptions!$B$15))</f>
        <v>109152.934999</v>
      </c>
      <c r="AU64" s="6">
        <f>AT64*(1+(Assumptions!$B$15))</f>
        <v>112427.52304897</v>
      </c>
      <c r="AV64" s="6">
        <f>AU64*(1+(Assumptions!$B$15))</f>
        <v>115800.34874043911</v>
      </c>
      <c r="AW64" s="6">
        <f>AV64*(1+(Assumptions!$B$15))</f>
        <v>119274.35920265228</v>
      </c>
      <c r="AX64" s="6">
        <f>AW64*(1+(Assumptions!$B$15))</f>
        <v>122852.58997873185</v>
      </c>
      <c r="AY64" s="6">
        <f>AX64*(1+(Assumptions!$B$15))</f>
        <v>126538.16767809381</v>
      </c>
      <c r="AZ64" s="6">
        <f>AY64*(1+(Assumptions!$B$15))</f>
        <v>130334.31270843663</v>
      </c>
      <c r="BA64" s="6">
        <f>AZ64*(1+(Assumptions!$B$15))</f>
        <v>134244.34208968974</v>
      </c>
      <c r="BB64" s="6">
        <f>BA64*(1+(Assumptions!$B$15))</f>
        <v>138271.67235238044</v>
      </c>
      <c r="BC64" s="6">
        <f>BB64*(1+(Assumptions!$B$15))</f>
        <v>142419.82252295184</v>
      </c>
    </row>
    <row r="65" spans="1:55" x14ac:dyDescent="0.25">
      <c r="A65" s="132">
        <v>600</v>
      </c>
      <c r="B65" s="133">
        <v>579</v>
      </c>
      <c r="C65" s="134">
        <v>32295</v>
      </c>
      <c r="D65" s="134">
        <v>48214</v>
      </c>
      <c r="E65" s="135">
        <v>103711.92</v>
      </c>
      <c r="F65" s="157"/>
      <c r="G65" s="6">
        <f>IF($C65&lt;(DATE(G$2,12,31)),H65/(1+(Assumptions!$B$14)),0)</f>
        <v>0</v>
      </c>
      <c r="H65" s="6">
        <f>IF($C65&lt;(DATE(H$2,12,31)),I65/(1+(Assumptions!$B$14)),0)</f>
        <v>0</v>
      </c>
      <c r="I65" s="6">
        <f>IF($C65&lt;(DATE(I$2,12,31)),J65/(1+(Assumptions!$B$14)),0)</f>
        <v>0</v>
      </c>
      <c r="J65" s="6">
        <f>IF($C65&lt;(DATE(J$2,12,31)),K65/(1+(Assumptions!$B$14)),0)</f>
        <v>0</v>
      </c>
      <c r="K65" s="6">
        <f>IF($C65&lt;(DATE(K$2,12,31)),L65/(1+(Assumptions!$B$14)),0)</f>
        <v>0</v>
      </c>
      <c r="L65" s="6">
        <f>IF($C65&lt;(DATE(L$2,12,31)),M65/(1+(Assumptions!$B$14)),0)</f>
        <v>0</v>
      </c>
      <c r="M65" s="6">
        <f>IF($C65&lt;(DATE(M$2,12,31)),N65/(1+(Assumptions!$B$14)),0)</f>
        <v>0</v>
      </c>
      <c r="N65" s="6">
        <f>IF($C65&lt;(DATE(N$2,12,31)),O65/(1+(Assumptions!$B$14)),0)</f>
        <v>0</v>
      </c>
      <c r="O65" s="6">
        <f>IF($C65&lt;(DATE(O$2,12,31)),P65/(1+(Assumptions!$B$14)),0)</f>
        <v>0</v>
      </c>
      <c r="P65" s="6">
        <f>IF($C65&lt;(DATE(P$2,12,31)),Q65/(1+(Assumptions!$B$14)),0)</f>
        <v>0</v>
      </c>
      <c r="Q65" s="6">
        <f>IF($C65&lt;(DATE(Q$2,12,31)),R65/(1+(Assumptions!$B$14)),0)</f>
        <v>0</v>
      </c>
      <c r="R65" s="6">
        <f>IF($C65&lt;(DATE(R$2,12,31)),S65/(1+(Assumptions!$B$14)),0)</f>
        <v>37407.772871172056</v>
      </c>
      <c r="S65" s="6">
        <f>IF($C65&lt;(DATE(S$2,12,31)),T65/(1+(Assumptions!$B$14)),0)</f>
        <v>38904.083786018942</v>
      </c>
      <c r="T65" s="6">
        <f>IF($C65&lt;(DATE(T$2,12,31)),U65/(1+(Assumptions!$B$14)),0)</f>
        <v>40460.247137459701</v>
      </c>
      <c r="U65" s="6">
        <f>IF($C65&lt;(DATE(U$2,12,31)),V65/(1+(Assumptions!$B$14)),0)</f>
        <v>42078.65702295809</v>
      </c>
      <c r="V65" s="6">
        <f>IF($C65&lt;(DATE(V$2,12,31)),W65/(1+(Assumptions!$B$14)),0)</f>
        <v>43761.803303876419</v>
      </c>
      <c r="W65" s="6">
        <f>IF($C65&lt;(DATE(W$2,12,31)),X65/(1+(Assumptions!$B$14)),0)</f>
        <v>45512.275436031479</v>
      </c>
      <c r="X65" s="6">
        <f>IF($C65&lt;(DATE(X$2,12,31)),Y65/(1+(Assumptions!$B$14)),0)</f>
        <v>47332.766453472737</v>
      </c>
      <c r="Y65" s="6">
        <f>IF($C65&lt;(DATE(Y$2,12,31)),Z65/(1+(Assumptions!$B$14)),0)</f>
        <v>49226.077111611645</v>
      </c>
      <c r="Z65" s="6">
        <f>IF($C65&lt;(DATE(Z$2,12,31)),AA65/(1+(Assumptions!$B$14)),0)</f>
        <v>51195.12019607611</v>
      </c>
      <c r="AA65" s="6">
        <f>IF($C65&lt;(DATE(AA$2,12,31)),AB65/(1+(Assumptions!$B$14)),0)</f>
        <v>53242.925003919154</v>
      </c>
      <c r="AB65" s="6">
        <f>IF($C65&lt;(DATE(AB$2,12,31)),AC65/(1+(Assumptions!$B$14)),0)</f>
        <v>55372.642004075919</v>
      </c>
      <c r="AC65" s="6">
        <f>IF($C65&lt;(DATE(AC$2,12,31)),AD65/(1+(Assumptions!$B$14)),0)</f>
        <v>57587.547684238954</v>
      </c>
      <c r="AD65" s="6">
        <f>IF($C65&lt;(DATE(AD$2,12,31)),AE65/(1+(Assumptions!$B$14)),0)</f>
        <v>59891.049591608513</v>
      </c>
      <c r="AE65" s="6">
        <f>IF($C65&lt;(DATE(AE$2,12,31)),AF65/(1+(Assumptions!$B$14)),0)</f>
        <v>62286.691575272853</v>
      </c>
      <c r="AF65" s="6">
        <f>IF($C65&lt;(DATE(AF$2,12,31)),AG65/(1+(Assumptions!$B$14)),0)</f>
        <v>64778.15923828377</v>
      </c>
      <c r="AG65" s="6">
        <f>IF($C65&lt;(DATE(AG$2,12,31)),AH65/(1+(Assumptions!$B$14)),0)</f>
        <v>67369.285607815124</v>
      </c>
      <c r="AH65" s="6">
        <f>IF($C65&lt;(DATE(AH$2,12,31)),AI65/(1+(Assumptions!$B$14)),0)</f>
        <v>70064.057032127734</v>
      </c>
      <c r="AI65" s="6">
        <f>IF($C65&lt;(DATE(AI$2,12,31)),AJ65/(1+(Assumptions!$B$14)),0)</f>
        <v>72866.619313412841</v>
      </c>
      <c r="AJ65" s="6">
        <f>IF($C65&lt;(DATE(AJ$2,12,31)),AK65/(1+(Assumptions!$B$14)),0)</f>
        <v>75781.284085949359</v>
      </c>
      <c r="AK65" s="6">
        <f>IF($C65&lt;(DATE(AK$2,12,31)),AL65/(1+(Assumptions!$B$14)),0)</f>
        <v>78812.535449387331</v>
      </c>
      <c r="AL65" s="6">
        <f>IF($C65&lt;(DATE(AL$2,12,31)),AM65/(1+(Assumptions!$B$14)),0)</f>
        <v>81965.036867362825</v>
      </c>
      <c r="AM65" s="6">
        <f>IF($C65&lt;(DATE(AM$2,12,31)),AN65/(1+(Assumptions!$B$14)),0)</f>
        <v>85243.63834205734</v>
      </c>
      <c r="AN65" s="6">
        <f>IF($C65&lt;(DATE(AN$2,12,31)),AO65/(1+(Assumptions!$B$14)),0)</f>
        <v>88653.383875739644</v>
      </c>
      <c r="AO65" s="6">
        <f>IF($C65&lt;(DATE(AO$2,12,31)),AP65/(1+(Assumptions!$B$14)),0)</f>
        <v>92199.519230769234</v>
      </c>
      <c r="AP65" s="6">
        <f>IF($C65&lt;(DATE(AP$2,12,31)),AQ65/(1+(Assumptions!$B$14)),0)</f>
        <v>95887.5</v>
      </c>
      <c r="AQ65" s="6">
        <f>IF($C65&lt;(DATE(AQ$2,12,31)),AR65/(1+(Assumptions!$B$14)),0)</f>
        <v>99723</v>
      </c>
      <c r="AR65" s="6">
        <f t="shared" si="0"/>
        <v>103711.92</v>
      </c>
      <c r="AS65" s="6">
        <f>AR65*(1+(Assumptions!$B$15))</f>
        <v>106823.2776</v>
      </c>
      <c r="AT65" s="6">
        <f>AS65*(1+(Assumptions!$B$15))</f>
        <v>110027.975928</v>
      </c>
      <c r="AU65" s="6">
        <f>AT65*(1+(Assumptions!$B$15))</f>
        <v>113328.81520584</v>
      </c>
      <c r="AV65" s="6">
        <f>AU65*(1+(Assumptions!$B$15))</f>
        <v>116728.6796620152</v>
      </c>
      <c r="AW65" s="6">
        <f>AV65*(1+(Assumptions!$B$15))</f>
        <v>120230.54005187567</v>
      </c>
      <c r="AX65" s="6">
        <f>AW65*(1+(Assumptions!$B$15))</f>
        <v>123837.45625343194</v>
      </c>
      <c r="AY65" s="6">
        <f>AX65*(1+(Assumptions!$B$15))</f>
        <v>127552.5799410349</v>
      </c>
      <c r="AZ65" s="6">
        <f>AY65*(1+(Assumptions!$B$15))</f>
        <v>131379.15733926595</v>
      </c>
      <c r="BA65" s="6">
        <f>AZ65*(1+(Assumptions!$B$15))</f>
        <v>135320.53205944394</v>
      </c>
      <c r="BB65" s="6">
        <f>BA65*(1+(Assumptions!$B$15))</f>
        <v>139380.14802122727</v>
      </c>
      <c r="BC65" s="6">
        <f>BB65*(1+(Assumptions!$B$15))</f>
        <v>143561.55246186411</v>
      </c>
    </row>
    <row r="66" spans="1:55" x14ac:dyDescent="0.25">
      <c r="A66" s="132">
        <v>600</v>
      </c>
      <c r="B66" s="133">
        <v>576</v>
      </c>
      <c r="C66" s="134">
        <v>32287</v>
      </c>
      <c r="D66" s="134">
        <v>46997</v>
      </c>
      <c r="E66" s="135">
        <v>104536.74</v>
      </c>
      <c r="F66" s="157"/>
      <c r="G66" s="6">
        <f>IF($C66&lt;(DATE(G$2,12,31)),H66/(1+(Assumptions!$B$14)),0)</f>
        <v>0</v>
      </c>
      <c r="H66" s="6">
        <f>IF($C66&lt;(DATE(H$2,12,31)),I66/(1+(Assumptions!$B$14)),0)</f>
        <v>0</v>
      </c>
      <c r="I66" s="6">
        <f>IF($C66&lt;(DATE(I$2,12,31)),J66/(1+(Assumptions!$B$14)),0)</f>
        <v>0</v>
      </c>
      <c r="J66" s="6">
        <f>IF($C66&lt;(DATE(J$2,12,31)),K66/(1+(Assumptions!$B$14)),0)</f>
        <v>0</v>
      </c>
      <c r="K66" s="6">
        <f>IF($C66&lt;(DATE(K$2,12,31)),L66/(1+(Assumptions!$B$14)),0)</f>
        <v>0</v>
      </c>
      <c r="L66" s="6">
        <f>IF($C66&lt;(DATE(L$2,12,31)),M66/(1+(Assumptions!$B$14)),0)</f>
        <v>0</v>
      </c>
      <c r="M66" s="6">
        <f>IF($C66&lt;(DATE(M$2,12,31)),N66/(1+(Assumptions!$B$14)),0)</f>
        <v>0</v>
      </c>
      <c r="N66" s="6">
        <f>IF($C66&lt;(DATE(N$2,12,31)),O66/(1+(Assumptions!$B$14)),0)</f>
        <v>0</v>
      </c>
      <c r="O66" s="6">
        <f>IF($C66&lt;(DATE(O$2,12,31)),P66/(1+(Assumptions!$B$14)),0)</f>
        <v>0</v>
      </c>
      <c r="P66" s="6">
        <f>IF($C66&lt;(DATE(P$2,12,31)),Q66/(1+(Assumptions!$B$14)),0)</f>
        <v>0</v>
      </c>
      <c r="Q66" s="6">
        <f>IF($C66&lt;(DATE(Q$2,12,31)),R66/(1+(Assumptions!$B$14)),0)</f>
        <v>0</v>
      </c>
      <c r="R66" s="6">
        <f>IF($C66&lt;(DATE(R$2,12,31)),S66/(1+(Assumptions!$B$14)),0)</f>
        <v>37705.276564282736</v>
      </c>
      <c r="S66" s="6">
        <f>IF($C66&lt;(DATE(S$2,12,31)),T66/(1+(Assumptions!$B$14)),0)</f>
        <v>39213.487626854047</v>
      </c>
      <c r="T66" s="6">
        <f>IF($C66&lt;(DATE(T$2,12,31)),U66/(1+(Assumptions!$B$14)),0)</f>
        <v>40782.027131928211</v>
      </c>
      <c r="U66" s="6">
        <f>IF($C66&lt;(DATE(U$2,12,31)),V66/(1+(Assumptions!$B$14)),0)</f>
        <v>42413.30821720534</v>
      </c>
      <c r="V66" s="6">
        <f>IF($C66&lt;(DATE(V$2,12,31)),W66/(1+(Assumptions!$B$14)),0)</f>
        <v>44109.840545893552</v>
      </c>
      <c r="W66" s="6">
        <f>IF($C66&lt;(DATE(W$2,12,31)),X66/(1+(Assumptions!$B$14)),0)</f>
        <v>45874.234167729293</v>
      </c>
      <c r="X66" s="6">
        <f>IF($C66&lt;(DATE(X$2,12,31)),Y66/(1+(Assumptions!$B$14)),0)</f>
        <v>47709.203534438464</v>
      </c>
      <c r="Y66" s="6">
        <f>IF($C66&lt;(DATE(Y$2,12,31)),Z66/(1+(Assumptions!$B$14)),0)</f>
        <v>49617.571675816005</v>
      </c>
      <c r="Z66" s="6">
        <f>IF($C66&lt;(DATE(Z$2,12,31)),AA66/(1+(Assumptions!$B$14)),0)</f>
        <v>51602.274542848645</v>
      </c>
      <c r="AA66" s="6">
        <f>IF($C66&lt;(DATE(AA$2,12,31)),AB66/(1+(Assumptions!$B$14)),0)</f>
        <v>53666.365524562592</v>
      </c>
      <c r="AB66" s="6">
        <f>IF($C66&lt;(DATE(AB$2,12,31)),AC66/(1+(Assumptions!$B$14)),0)</f>
        <v>55813.020145545095</v>
      </c>
      <c r="AC66" s="6">
        <f>IF($C66&lt;(DATE(AC$2,12,31)),AD66/(1+(Assumptions!$B$14)),0)</f>
        <v>58045.5409513669</v>
      </c>
      <c r="AD66" s="6">
        <f>IF($C66&lt;(DATE(AD$2,12,31)),AE66/(1+(Assumptions!$B$14)),0)</f>
        <v>60367.36258942158</v>
      </c>
      <c r="AE66" s="6">
        <f>IF($C66&lt;(DATE(AE$2,12,31)),AF66/(1+(Assumptions!$B$14)),0)</f>
        <v>62782.057092998446</v>
      </c>
      <c r="AF66" s="6">
        <f>IF($C66&lt;(DATE(AF$2,12,31)),AG66/(1+(Assumptions!$B$14)),0)</f>
        <v>65293.339376718388</v>
      </c>
      <c r="AG66" s="6">
        <f>IF($C66&lt;(DATE(AG$2,12,31)),AH66/(1+(Assumptions!$B$14)),0)</f>
        <v>67905.072951787122</v>
      </c>
      <c r="AH66" s="6">
        <f>IF($C66&lt;(DATE(AH$2,12,31)),AI66/(1+(Assumptions!$B$14)),0)</f>
        <v>70621.275869858611</v>
      </c>
      <c r="AI66" s="6">
        <f>IF($C66&lt;(DATE(AI$2,12,31)),AJ66/(1+(Assumptions!$B$14)),0)</f>
        <v>73446.126904652963</v>
      </c>
      <c r="AJ66" s="6">
        <f>IF($C66&lt;(DATE(AJ$2,12,31)),AK66/(1+(Assumptions!$B$14)),0)</f>
        <v>76383.97198083908</v>
      </c>
      <c r="AK66" s="6">
        <f>IF($C66&lt;(DATE(AK$2,12,31)),AL66/(1+(Assumptions!$B$14)),0)</f>
        <v>79439.330860072645</v>
      </c>
      <c r="AL66" s="6">
        <f>IF($C66&lt;(DATE(AL$2,12,31)),AM66/(1+(Assumptions!$B$14)),0)</f>
        <v>82616.904094475554</v>
      </c>
      <c r="AM66" s="6">
        <f>IF($C66&lt;(DATE(AM$2,12,31)),AN66/(1+(Assumptions!$B$14)),0)</f>
        <v>85921.580258254573</v>
      </c>
      <c r="AN66" s="6">
        <f>IF($C66&lt;(DATE(AN$2,12,31)),AO66/(1+(Assumptions!$B$14)),0)</f>
        <v>89358.443468584766</v>
      </c>
      <c r="AO66" s="6">
        <f>IF($C66&lt;(DATE(AO$2,12,31)),AP66/(1+(Assumptions!$B$14)),0)</f>
        <v>92932.781207328168</v>
      </c>
      <c r="AP66" s="6">
        <f>IF($C66&lt;(DATE(AP$2,12,31)),AQ66/(1+(Assumptions!$B$14)),0)</f>
        <v>96650.092455621299</v>
      </c>
      <c r="AQ66" s="6">
        <f>IF($C66&lt;(DATE(AQ$2,12,31)),AR66/(1+(Assumptions!$B$14)),0)</f>
        <v>100516.09615384616</v>
      </c>
      <c r="AR66" s="6">
        <f t="shared" si="0"/>
        <v>104536.74</v>
      </c>
      <c r="AS66" s="6">
        <f>AR66*(1+(Assumptions!$B$15))</f>
        <v>107672.84220000001</v>
      </c>
      <c r="AT66" s="6">
        <f>AS66*(1+(Assumptions!$B$15))</f>
        <v>110903.02746600001</v>
      </c>
      <c r="AU66" s="6">
        <f>AT66*(1+(Assumptions!$B$15))</f>
        <v>114230.11828998002</v>
      </c>
      <c r="AV66" s="6">
        <f>AU66*(1+(Assumptions!$B$15))</f>
        <v>117657.02183867943</v>
      </c>
      <c r="AW66" s="6">
        <f>AV66*(1+(Assumptions!$B$15))</f>
        <v>121186.73249383981</v>
      </c>
      <c r="AX66" s="6">
        <f>AW66*(1+(Assumptions!$B$15))</f>
        <v>124822.33446865501</v>
      </c>
      <c r="AY66" s="6">
        <f>AX66*(1+(Assumptions!$B$15))</f>
        <v>128567.00450271467</v>
      </c>
      <c r="AZ66" s="6">
        <f>AY66*(1+(Assumptions!$B$15))</f>
        <v>132424.01463779612</v>
      </c>
      <c r="BA66" s="6">
        <f>AZ66*(1+(Assumptions!$B$15))</f>
        <v>136396.73507693</v>
      </c>
      <c r="BB66" s="6">
        <f>BA66*(1+(Assumptions!$B$15))</f>
        <v>140488.6371292379</v>
      </c>
      <c r="BC66" s="6">
        <f>BB66*(1+(Assumptions!$B$15))</f>
        <v>144703.29624311504</v>
      </c>
    </row>
    <row r="67" spans="1:55" x14ac:dyDescent="0.25">
      <c r="A67" s="132">
        <v>600</v>
      </c>
      <c r="B67" s="133">
        <v>564</v>
      </c>
      <c r="C67" s="134">
        <v>32155</v>
      </c>
      <c r="D67" s="134">
        <v>47362</v>
      </c>
      <c r="E67" s="135">
        <v>105361.55</v>
      </c>
      <c r="F67" s="157"/>
      <c r="G67" s="6">
        <f>IF($C67&lt;(DATE(G$2,12,31)),H67/(1+(Assumptions!$B$14)),0)</f>
        <v>0</v>
      </c>
      <c r="H67" s="6">
        <f>IF($C67&lt;(DATE(H$2,12,31)),I67/(1+(Assumptions!$B$14)),0)</f>
        <v>0</v>
      </c>
      <c r="I67" s="6">
        <f>IF($C67&lt;(DATE(I$2,12,31)),J67/(1+(Assumptions!$B$14)),0)</f>
        <v>0</v>
      </c>
      <c r="J67" s="6">
        <f>IF($C67&lt;(DATE(J$2,12,31)),K67/(1+(Assumptions!$B$14)),0)</f>
        <v>0</v>
      </c>
      <c r="K67" s="6">
        <f>IF($C67&lt;(DATE(K$2,12,31)),L67/(1+(Assumptions!$B$14)),0)</f>
        <v>0</v>
      </c>
      <c r="L67" s="6">
        <f>IF($C67&lt;(DATE(L$2,12,31)),M67/(1+(Assumptions!$B$14)),0)</f>
        <v>0</v>
      </c>
      <c r="M67" s="6">
        <f>IF($C67&lt;(DATE(M$2,12,31)),N67/(1+(Assumptions!$B$14)),0)</f>
        <v>0</v>
      </c>
      <c r="N67" s="6">
        <f>IF($C67&lt;(DATE(N$2,12,31)),O67/(1+(Assumptions!$B$14)),0)</f>
        <v>0</v>
      </c>
      <c r="O67" s="6">
        <f>IF($C67&lt;(DATE(O$2,12,31)),P67/(1+(Assumptions!$B$14)),0)</f>
        <v>0</v>
      </c>
      <c r="P67" s="6">
        <f>IF($C67&lt;(DATE(P$2,12,31)),Q67/(1+(Assumptions!$B$14)),0)</f>
        <v>0</v>
      </c>
      <c r="Q67" s="6">
        <f>IF($C67&lt;(DATE(Q$2,12,31)),R67/(1+(Assumptions!$B$14)),0)</f>
        <v>0</v>
      </c>
      <c r="R67" s="6">
        <f>IF($C67&lt;(DATE(R$2,12,31)),S67/(1+(Assumptions!$B$14)),0)</f>
        <v>38002.776650501095</v>
      </c>
      <c r="S67" s="6">
        <f>IF($C67&lt;(DATE(S$2,12,31)),T67/(1+(Assumptions!$B$14)),0)</f>
        <v>39522.887716521138</v>
      </c>
      <c r="T67" s="6">
        <f>IF($C67&lt;(DATE(T$2,12,31)),U67/(1+(Assumptions!$B$14)),0)</f>
        <v>41103.803225181982</v>
      </c>
      <c r="U67" s="6">
        <f>IF($C67&lt;(DATE(U$2,12,31)),V67/(1+(Assumptions!$B$14)),0)</f>
        <v>42747.95535418926</v>
      </c>
      <c r="V67" s="6">
        <f>IF($C67&lt;(DATE(V$2,12,31)),W67/(1+(Assumptions!$B$14)),0)</f>
        <v>44457.87356835683</v>
      </c>
      <c r="W67" s="6">
        <f>IF($C67&lt;(DATE(W$2,12,31)),X67/(1+(Assumptions!$B$14)),0)</f>
        <v>46236.188511091103</v>
      </c>
      <c r="X67" s="6">
        <f>IF($C67&lt;(DATE(X$2,12,31)),Y67/(1+(Assumptions!$B$14)),0)</f>
        <v>48085.636051534748</v>
      </c>
      <c r="Y67" s="6">
        <f>IF($C67&lt;(DATE(Y$2,12,31)),Z67/(1+(Assumptions!$B$14)),0)</f>
        <v>50009.061493596142</v>
      </c>
      <c r="Z67" s="6">
        <f>IF($C67&lt;(DATE(Z$2,12,31)),AA67/(1+(Assumptions!$B$14)),0)</f>
        <v>52009.423953339989</v>
      </c>
      <c r="AA67" s="6">
        <f>IF($C67&lt;(DATE(AA$2,12,31)),AB67/(1+(Assumptions!$B$14)),0)</f>
        <v>54089.800911473591</v>
      </c>
      <c r="AB67" s="6">
        <f>IF($C67&lt;(DATE(AB$2,12,31)),AC67/(1+(Assumptions!$B$14)),0)</f>
        <v>56253.392947932538</v>
      </c>
      <c r="AC67" s="6">
        <f>IF($C67&lt;(DATE(AC$2,12,31)),AD67/(1+(Assumptions!$B$14)),0)</f>
        <v>58503.528665849844</v>
      </c>
      <c r="AD67" s="6">
        <f>IF($C67&lt;(DATE(AD$2,12,31)),AE67/(1+(Assumptions!$B$14)),0)</f>
        <v>60843.669812483844</v>
      </c>
      <c r="AE67" s="6">
        <f>IF($C67&lt;(DATE(AE$2,12,31)),AF67/(1+(Assumptions!$B$14)),0)</f>
        <v>63277.416604983198</v>
      </c>
      <c r="AF67" s="6">
        <f>IF($C67&lt;(DATE(AF$2,12,31)),AG67/(1+(Assumptions!$B$14)),0)</f>
        <v>65808.513269182527</v>
      </c>
      <c r="AG67" s="6">
        <f>IF($C67&lt;(DATE(AG$2,12,31)),AH67/(1+(Assumptions!$B$14)),0)</f>
        <v>68440.853799949837</v>
      </c>
      <c r="AH67" s="6">
        <f>IF($C67&lt;(DATE(AH$2,12,31)),AI67/(1+(Assumptions!$B$14)),0)</f>
        <v>71178.487951947827</v>
      </c>
      <c r="AI67" s="6">
        <f>IF($C67&lt;(DATE(AI$2,12,31)),AJ67/(1+(Assumptions!$B$14)),0)</f>
        <v>74025.627470025749</v>
      </c>
      <c r="AJ67" s="6">
        <f>IF($C67&lt;(DATE(AJ$2,12,31)),AK67/(1+(Assumptions!$B$14)),0)</f>
        <v>76986.652568826787</v>
      </c>
      <c r="AK67" s="6">
        <f>IF($C67&lt;(DATE(AK$2,12,31)),AL67/(1+(Assumptions!$B$14)),0)</f>
        <v>80066.118671579854</v>
      </c>
      <c r="AL67" s="6">
        <f>IF($C67&lt;(DATE(AL$2,12,31)),AM67/(1+(Assumptions!$B$14)),0)</f>
        <v>83268.76341844305</v>
      </c>
      <c r="AM67" s="6">
        <f>IF($C67&lt;(DATE(AM$2,12,31)),AN67/(1+(Assumptions!$B$14)),0)</f>
        <v>86599.513955180781</v>
      </c>
      <c r="AN67" s="6">
        <f>IF($C67&lt;(DATE(AN$2,12,31)),AO67/(1+(Assumptions!$B$14)),0)</f>
        <v>90063.49451338801</v>
      </c>
      <c r="AO67" s="6">
        <f>IF($C67&lt;(DATE(AO$2,12,31)),AP67/(1+(Assumptions!$B$14)),0)</f>
        <v>93666.034293923527</v>
      </c>
      <c r="AP67" s="6">
        <f>IF($C67&lt;(DATE(AP$2,12,31)),AQ67/(1+(Assumptions!$B$14)),0)</f>
        <v>97412.675665680465</v>
      </c>
      <c r="AQ67" s="6">
        <f>IF($C67&lt;(DATE(AQ$2,12,31)),AR67/(1+(Assumptions!$B$14)),0)</f>
        <v>101309.18269230769</v>
      </c>
      <c r="AR67" s="6">
        <f t="shared" si="0"/>
        <v>105361.55</v>
      </c>
      <c r="AS67" s="6">
        <f>AR67*(1+(Assumptions!$B$15))</f>
        <v>108522.3965</v>
      </c>
      <c r="AT67" s="6">
        <f>AS67*(1+(Assumptions!$B$15))</f>
        <v>111778.06839500001</v>
      </c>
      <c r="AU67" s="6">
        <f>AT67*(1+(Assumptions!$B$15))</f>
        <v>115131.41044685002</v>
      </c>
      <c r="AV67" s="6">
        <f>AU67*(1+(Assumptions!$B$15))</f>
        <v>118585.35276025553</v>
      </c>
      <c r="AW67" s="6">
        <f>AV67*(1+(Assumptions!$B$15))</f>
        <v>122142.91334306319</v>
      </c>
      <c r="AX67" s="6">
        <f>AW67*(1+(Assumptions!$B$15))</f>
        <v>125807.20074335509</v>
      </c>
      <c r="AY67" s="6">
        <f>AX67*(1+(Assumptions!$B$15))</f>
        <v>129581.41676565574</v>
      </c>
      <c r="AZ67" s="6">
        <f>AY67*(1+(Assumptions!$B$15))</f>
        <v>133468.85926862541</v>
      </c>
      <c r="BA67" s="6">
        <f>AZ67*(1+(Assumptions!$B$15))</f>
        <v>137472.92504668419</v>
      </c>
      <c r="BB67" s="6">
        <f>BA67*(1+(Assumptions!$B$15))</f>
        <v>141597.11279808471</v>
      </c>
      <c r="BC67" s="6">
        <f>BB67*(1+(Assumptions!$B$15))</f>
        <v>145845.02618202724</v>
      </c>
    </row>
    <row r="68" spans="1:55" x14ac:dyDescent="0.25">
      <c r="A68" s="132">
        <v>600</v>
      </c>
      <c r="B68" s="133">
        <v>561</v>
      </c>
      <c r="C68" s="134">
        <v>32082</v>
      </c>
      <c r="D68" s="134">
        <v>45778</v>
      </c>
      <c r="E68" s="135">
        <v>106186.36</v>
      </c>
      <c r="F68" s="157"/>
      <c r="G68" s="6">
        <f>IF($C68&lt;(DATE(G$2,12,31)),H68/(1+(Assumptions!$B$14)),0)</f>
        <v>0</v>
      </c>
      <c r="H68" s="6">
        <f>IF($C68&lt;(DATE(H$2,12,31)),I68/(1+(Assumptions!$B$14)),0)</f>
        <v>0</v>
      </c>
      <c r="I68" s="6">
        <f>IF($C68&lt;(DATE(I$2,12,31)),J68/(1+(Assumptions!$B$14)),0)</f>
        <v>0</v>
      </c>
      <c r="J68" s="6">
        <f>IF($C68&lt;(DATE(J$2,12,31)),K68/(1+(Assumptions!$B$14)),0)</f>
        <v>0</v>
      </c>
      <c r="K68" s="6">
        <f>IF($C68&lt;(DATE(K$2,12,31)),L68/(1+(Assumptions!$B$14)),0)</f>
        <v>0</v>
      </c>
      <c r="L68" s="6">
        <f>IF($C68&lt;(DATE(L$2,12,31)),M68/(1+(Assumptions!$B$14)),0)</f>
        <v>0</v>
      </c>
      <c r="M68" s="6">
        <f>IF($C68&lt;(DATE(M$2,12,31)),N68/(1+(Assumptions!$B$14)),0)</f>
        <v>0</v>
      </c>
      <c r="N68" s="6">
        <f>IF($C68&lt;(DATE(N$2,12,31)),O68/(1+(Assumptions!$B$14)),0)</f>
        <v>0</v>
      </c>
      <c r="O68" s="6">
        <f>IF($C68&lt;(DATE(O$2,12,31)),P68/(1+(Assumptions!$B$14)),0)</f>
        <v>0</v>
      </c>
      <c r="P68" s="6">
        <f>IF($C68&lt;(DATE(P$2,12,31)),Q68/(1+(Assumptions!$B$14)),0)</f>
        <v>0</v>
      </c>
      <c r="Q68" s="6">
        <f>IF($C68&lt;(DATE(Q$2,12,31)),R68/(1+(Assumptions!$B$14)),0)</f>
        <v>36827.189169922553</v>
      </c>
      <c r="R68" s="6">
        <f>IF($C68&lt;(DATE(R$2,12,31)),S68/(1+(Assumptions!$B$14)),0)</f>
        <v>38300.276736719454</v>
      </c>
      <c r="S68" s="6">
        <f>IF($C68&lt;(DATE(S$2,12,31)),T68/(1+(Assumptions!$B$14)),0)</f>
        <v>39832.287806188237</v>
      </c>
      <c r="T68" s="6">
        <f>IF($C68&lt;(DATE(T$2,12,31)),U68/(1+(Assumptions!$B$14)),0)</f>
        <v>41425.579318435768</v>
      </c>
      <c r="U68" s="6">
        <f>IF($C68&lt;(DATE(U$2,12,31)),V68/(1+(Assumptions!$B$14)),0)</f>
        <v>43082.602491173202</v>
      </c>
      <c r="V68" s="6">
        <f>IF($C68&lt;(DATE(V$2,12,31)),W68/(1+(Assumptions!$B$14)),0)</f>
        <v>44805.90659082013</v>
      </c>
      <c r="W68" s="6">
        <f>IF($C68&lt;(DATE(W$2,12,31)),X68/(1+(Assumptions!$B$14)),0)</f>
        <v>46598.142854452934</v>
      </c>
      <c r="X68" s="6">
        <f>IF($C68&lt;(DATE(X$2,12,31)),Y68/(1+(Assumptions!$B$14)),0)</f>
        <v>48462.068568631053</v>
      </c>
      <c r="Y68" s="6">
        <f>IF($C68&lt;(DATE(Y$2,12,31)),Z68/(1+(Assumptions!$B$14)),0)</f>
        <v>50400.551311376294</v>
      </c>
      <c r="Z68" s="6">
        <f>IF($C68&lt;(DATE(Z$2,12,31)),AA68/(1+(Assumptions!$B$14)),0)</f>
        <v>52416.573363831347</v>
      </c>
      <c r="AA68" s="6">
        <f>IF($C68&lt;(DATE(AA$2,12,31)),AB68/(1+(Assumptions!$B$14)),0)</f>
        <v>54513.236298384603</v>
      </c>
      <c r="AB68" s="6">
        <f>IF($C68&lt;(DATE(AB$2,12,31)),AC68/(1+(Assumptions!$B$14)),0)</f>
        <v>56693.765750319988</v>
      </c>
      <c r="AC68" s="6">
        <f>IF($C68&lt;(DATE(AC$2,12,31)),AD68/(1+(Assumptions!$B$14)),0)</f>
        <v>58961.516380332789</v>
      </c>
      <c r="AD68" s="6">
        <f>IF($C68&lt;(DATE(AD$2,12,31)),AE68/(1+(Assumptions!$B$14)),0)</f>
        <v>61319.977035546101</v>
      </c>
      <c r="AE68" s="6">
        <f>IF($C68&lt;(DATE(AE$2,12,31)),AF68/(1+(Assumptions!$B$14)),0)</f>
        <v>63772.776116967943</v>
      </c>
      <c r="AF68" s="6">
        <f>IF($C68&lt;(DATE(AF$2,12,31)),AG68/(1+(Assumptions!$B$14)),0)</f>
        <v>66323.687161646667</v>
      </c>
      <c r="AG68" s="6">
        <f>IF($C68&lt;(DATE(AG$2,12,31)),AH68/(1+(Assumptions!$B$14)),0)</f>
        <v>68976.634648112537</v>
      </c>
      <c r="AH68" s="6">
        <f>IF($C68&lt;(DATE(AH$2,12,31)),AI68/(1+(Assumptions!$B$14)),0)</f>
        <v>71735.700034037043</v>
      </c>
      <c r="AI68" s="6">
        <f>IF($C68&lt;(DATE(AI$2,12,31)),AJ68/(1+(Assumptions!$B$14)),0)</f>
        <v>74605.12803539852</v>
      </c>
      <c r="AJ68" s="6">
        <f>IF($C68&lt;(DATE(AJ$2,12,31)),AK68/(1+(Assumptions!$B$14)),0)</f>
        <v>77589.333156814464</v>
      </c>
      <c r="AK68" s="6">
        <f>IF($C68&lt;(DATE(AK$2,12,31)),AL68/(1+(Assumptions!$B$14)),0)</f>
        <v>80692.906483087048</v>
      </c>
      <c r="AL68" s="6">
        <f>IF($C68&lt;(DATE(AL$2,12,31)),AM68/(1+(Assumptions!$B$14)),0)</f>
        <v>83920.622742410531</v>
      </c>
      <c r="AM68" s="6">
        <f>IF($C68&lt;(DATE(AM$2,12,31)),AN68/(1+(Assumptions!$B$14)),0)</f>
        <v>87277.447652106959</v>
      </c>
      <c r="AN68" s="6">
        <f>IF($C68&lt;(DATE(AN$2,12,31)),AO68/(1+(Assumptions!$B$14)),0)</f>
        <v>90768.545558191239</v>
      </c>
      <c r="AO68" s="6">
        <f>IF($C68&lt;(DATE(AO$2,12,31)),AP68/(1+(Assumptions!$B$14)),0)</f>
        <v>94399.287380518886</v>
      </c>
      <c r="AP68" s="6">
        <f>IF($C68&lt;(DATE(AP$2,12,31)),AQ68/(1+(Assumptions!$B$14)),0)</f>
        <v>98175.258875739644</v>
      </c>
      <c r="AQ68" s="6">
        <f>IF($C68&lt;(DATE(AQ$2,12,31)),AR68/(1+(Assumptions!$B$14)),0)</f>
        <v>102102.26923076923</v>
      </c>
      <c r="AR68" s="6">
        <f t="shared" ref="AR68:AR81" si="1">VLOOKUP(B68,$B$3:$E$81,4, FALSE)</f>
        <v>106186.36</v>
      </c>
      <c r="AS68" s="6">
        <f>AR68*(1+(Assumptions!$B$15))</f>
        <v>109371.95080000001</v>
      </c>
      <c r="AT68" s="6">
        <f>AS68*(1+(Assumptions!$B$15))</f>
        <v>112653.109324</v>
      </c>
      <c r="AU68" s="6">
        <f>AT68*(1+(Assumptions!$B$15))</f>
        <v>116032.70260372001</v>
      </c>
      <c r="AV68" s="6">
        <f>AU68*(1+(Assumptions!$B$15))</f>
        <v>119513.68368183162</v>
      </c>
      <c r="AW68" s="6">
        <f>AV68*(1+(Assumptions!$B$15))</f>
        <v>123099.09419228657</v>
      </c>
      <c r="AX68" s="6">
        <f>AW68*(1+(Assumptions!$B$15))</f>
        <v>126792.06701805518</v>
      </c>
      <c r="AY68" s="6">
        <f>AX68*(1+(Assumptions!$B$15))</f>
        <v>130595.82902859684</v>
      </c>
      <c r="AZ68" s="6">
        <f>AY68*(1+(Assumptions!$B$15))</f>
        <v>134513.70389945476</v>
      </c>
      <c r="BA68" s="6">
        <f>AZ68*(1+(Assumptions!$B$15))</f>
        <v>138549.11501643842</v>
      </c>
      <c r="BB68" s="6">
        <f>BA68*(1+(Assumptions!$B$15))</f>
        <v>142705.58846693157</v>
      </c>
      <c r="BC68" s="6">
        <f>BB68*(1+(Assumptions!$B$15))</f>
        <v>146986.75612093954</v>
      </c>
    </row>
    <row r="69" spans="1:55" x14ac:dyDescent="0.25">
      <c r="A69" s="132">
        <v>600</v>
      </c>
      <c r="B69" s="133">
        <v>553</v>
      </c>
      <c r="C69" s="134">
        <v>31982</v>
      </c>
      <c r="D69" s="134">
        <v>48396</v>
      </c>
      <c r="E69" s="135">
        <v>107011.17</v>
      </c>
      <c r="F69" s="157"/>
      <c r="G69" s="6">
        <f>IF($C69&lt;(DATE(G$2,12,31)),H69/(1+(Assumptions!$B$14)),0)</f>
        <v>0</v>
      </c>
      <c r="H69" s="6">
        <f>IF($C69&lt;(DATE(H$2,12,31)),I69/(1+(Assumptions!$B$14)),0)</f>
        <v>0</v>
      </c>
      <c r="I69" s="6">
        <f>IF($C69&lt;(DATE(I$2,12,31)),J69/(1+(Assumptions!$B$14)),0)</f>
        <v>0</v>
      </c>
      <c r="J69" s="6">
        <f>IF($C69&lt;(DATE(J$2,12,31)),K69/(1+(Assumptions!$B$14)),0)</f>
        <v>0</v>
      </c>
      <c r="K69" s="6">
        <f>IF($C69&lt;(DATE(K$2,12,31)),L69/(1+(Assumptions!$B$14)),0)</f>
        <v>0</v>
      </c>
      <c r="L69" s="6">
        <f>IF($C69&lt;(DATE(L$2,12,31)),M69/(1+(Assumptions!$B$14)),0)</f>
        <v>0</v>
      </c>
      <c r="M69" s="6">
        <f>IF($C69&lt;(DATE(M$2,12,31)),N69/(1+(Assumptions!$B$14)),0)</f>
        <v>0</v>
      </c>
      <c r="N69" s="6">
        <f>IF($C69&lt;(DATE(N$2,12,31)),O69/(1+(Assumptions!$B$14)),0)</f>
        <v>0</v>
      </c>
      <c r="O69" s="6">
        <f>IF($C69&lt;(DATE(O$2,12,31)),P69/(1+(Assumptions!$B$14)),0)</f>
        <v>0</v>
      </c>
      <c r="P69" s="6">
        <f>IF($C69&lt;(DATE(P$2,12,31)),Q69/(1+(Assumptions!$B$14)),0)</f>
        <v>0</v>
      </c>
      <c r="Q69" s="6">
        <f>IF($C69&lt;(DATE(Q$2,12,31)),R69/(1+(Assumptions!$B$14)),0)</f>
        <v>37113.246945132501</v>
      </c>
      <c r="R69" s="6">
        <f>IF($C69&lt;(DATE(R$2,12,31)),S69/(1+(Assumptions!$B$14)),0)</f>
        <v>38597.776822937805</v>
      </c>
      <c r="S69" s="6">
        <f>IF($C69&lt;(DATE(S$2,12,31)),T69/(1+(Assumptions!$B$14)),0)</f>
        <v>40141.687895855321</v>
      </c>
      <c r="T69" s="6">
        <f>IF($C69&lt;(DATE(T$2,12,31)),U69/(1+(Assumptions!$B$14)),0)</f>
        <v>41747.355411689532</v>
      </c>
      <c r="U69" s="6">
        <f>IF($C69&lt;(DATE(U$2,12,31)),V69/(1+(Assumptions!$B$14)),0)</f>
        <v>43417.249628157115</v>
      </c>
      <c r="V69" s="6">
        <f>IF($C69&lt;(DATE(V$2,12,31)),W69/(1+(Assumptions!$B$14)),0)</f>
        <v>45153.939613283401</v>
      </c>
      <c r="W69" s="6">
        <f>IF($C69&lt;(DATE(W$2,12,31)),X69/(1+(Assumptions!$B$14)),0)</f>
        <v>46960.097197814735</v>
      </c>
      <c r="X69" s="6">
        <f>IF($C69&lt;(DATE(X$2,12,31)),Y69/(1+(Assumptions!$B$14)),0)</f>
        <v>48838.50108572733</v>
      </c>
      <c r="Y69" s="6">
        <f>IF($C69&lt;(DATE(Y$2,12,31)),Z69/(1+(Assumptions!$B$14)),0)</f>
        <v>50792.041129156423</v>
      </c>
      <c r="Z69" s="6">
        <f>IF($C69&lt;(DATE(Z$2,12,31)),AA69/(1+(Assumptions!$B$14)),0)</f>
        <v>52823.722774322683</v>
      </c>
      <c r="AA69" s="6">
        <f>IF($C69&lt;(DATE(AA$2,12,31)),AB69/(1+(Assumptions!$B$14)),0)</f>
        <v>54936.671685295594</v>
      </c>
      <c r="AB69" s="6">
        <f>IF($C69&lt;(DATE(AB$2,12,31)),AC69/(1+(Assumptions!$B$14)),0)</f>
        <v>57134.138552707424</v>
      </c>
      <c r="AC69" s="6">
        <f>IF($C69&lt;(DATE(AC$2,12,31)),AD69/(1+(Assumptions!$B$14)),0)</f>
        <v>59419.504094815726</v>
      </c>
      <c r="AD69" s="6">
        <f>IF($C69&lt;(DATE(AD$2,12,31)),AE69/(1+(Assumptions!$B$14)),0)</f>
        <v>61796.284258608357</v>
      </c>
      <c r="AE69" s="6">
        <f>IF($C69&lt;(DATE(AE$2,12,31)),AF69/(1+(Assumptions!$B$14)),0)</f>
        <v>64268.135628952696</v>
      </c>
      <c r="AF69" s="6">
        <f>IF($C69&lt;(DATE(AF$2,12,31)),AG69/(1+(Assumptions!$B$14)),0)</f>
        <v>66838.861054110806</v>
      </c>
      <c r="AG69" s="6">
        <f>IF($C69&lt;(DATE(AG$2,12,31)),AH69/(1+(Assumptions!$B$14)),0)</f>
        <v>69512.415496275236</v>
      </c>
      <c r="AH69" s="6">
        <f>IF($C69&lt;(DATE(AH$2,12,31)),AI69/(1+(Assumptions!$B$14)),0)</f>
        <v>72292.912116126245</v>
      </c>
      <c r="AI69" s="6">
        <f>IF($C69&lt;(DATE(AI$2,12,31)),AJ69/(1+(Assumptions!$B$14)),0)</f>
        <v>75184.628600771292</v>
      </c>
      <c r="AJ69" s="6">
        <f>IF($C69&lt;(DATE(AJ$2,12,31)),AK69/(1+(Assumptions!$B$14)),0)</f>
        <v>78192.013744802141</v>
      </c>
      <c r="AK69" s="6">
        <f>IF($C69&lt;(DATE(AK$2,12,31)),AL69/(1+(Assumptions!$B$14)),0)</f>
        <v>81319.694294594228</v>
      </c>
      <c r="AL69" s="6">
        <f>IF($C69&lt;(DATE(AL$2,12,31)),AM69/(1+(Assumptions!$B$14)),0)</f>
        <v>84572.482066377997</v>
      </c>
      <c r="AM69" s="6">
        <f>IF($C69&lt;(DATE(AM$2,12,31)),AN69/(1+(Assumptions!$B$14)),0)</f>
        <v>87955.381349033123</v>
      </c>
      <c r="AN69" s="6">
        <f>IF($C69&lt;(DATE(AN$2,12,31)),AO69/(1+(Assumptions!$B$14)),0)</f>
        <v>91473.596602994454</v>
      </c>
      <c r="AO69" s="6">
        <f>IF($C69&lt;(DATE(AO$2,12,31)),AP69/(1+(Assumptions!$B$14)),0)</f>
        <v>95132.540467114231</v>
      </c>
      <c r="AP69" s="6">
        <f>IF($C69&lt;(DATE(AP$2,12,31)),AQ69/(1+(Assumptions!$B$14)),0)</f>
        <v>98937.842085798809</v>
      </c>
      <c r="AQ69" s="6">
        <f>IF($C69&lt;(DATE(AQ$2,12,31)),AR69/(1+(Assumptions!$B$14)),0)</f>
        <v>102895.35576923077</v>
      </c>
      <c r="AR69" s="6">
        <f t="shared" si="1"/>
        <v>107011.17</v>
      </c>
      <c r="AS69" s="6">
        <f>AR69*(1+(Assumptions!$B$15))</f>
        <v>110221.50509999999</v>
      </c>
      <c r="AT69" s="6">
        <f>AS69*(1+(Assumptions!$B$15))</f>
        <v>113528.150253</v>
      </c>
      <c r="AU69" s="6">
        <f>AT69*(1+(Assumptions!$B$15))</f>
        <v>116933.99476059001</v>
      </c>
      <c r="AV69" s="6">
        <f>AU69*(1+(Assumptions!$B$15))</f>
        <v>120442.01460340772</v>
      </c>
      <c r="AW69" s="6">
        <f>AV69*(1+(Assumptions!$B$15))</f>
        <v>124055.27504150996</v>
      </c>
      <c r="AX69" s="6">
        <f>AW69*(1+(Assumptions!$B$15))</f>
        <v>127776.93329275526</v>
      </c>
      <c r="AY69" s="6">
        <f>AX69*(1+(Assumptions!$B$15))</f>
        <v>131610.24129153791</v>
      </c>
      <c r="AZ69" s="6">
        <f>AY69*(1+(Assumptions!$B$15))</f>
        <v>135558.54853028405</v>
      </c>
      <c r="BA69" s="6">
        <f>AZ69*(1+(Assumptions!$B$15))</f>
        <v>139625.30498619258</v>
      </c>
      <c r="BB69" s="6">
        <f>BA69*(1+(Assumptions!$B$15))</f>
        <v>143814.06413577838</v>
      </c>
      <c r="BC69" s="6">
        <f>BB69*(1+(Assumptions!$B$15))</f>
        <v>148128.48605985174</v>
      </c>
    </row>
    <row r="70" spans="1:55" x14ac:dyDescent="0.25">
      <c r="A70" s="132">
        <v>600</v>
      </c>
      <c r="B70" s="133">
        <v>547</v>
      </c>
      <c r="C70" s="134">
        <v>31750</v>
      </c>
      <c r="D70" s="134">
        <v>48396</v>
      </c>
      <c r="E70" s="135">
        <v>107835.99</v>
      </c>
      <c r="F70" s="157"/>
      <c r="G70" s="6">
        <f>IF($C70&lt;(DATE(G$2,12,31)),H70/(1+(Assumptions!$B$14)),0)</f>
        <v>0</v>
      </c>
      <c r="H70" s="6">
        <f>IF($C70&lt;(DATE(H$2,12,31)),I70/(1+(Assumptions!$B$14)),0)</f>
        <v>0</v>
      </c>
      <c r="I70" s="6">
        <f>IF($C70&lt;(DATE(I$2,12,31)),J70/(1+(Assumptions!$B$14)),0)</f>
        <v>0</v>
      </c>
      <c r="J70" s="6">
        <f>IF($C70&lt;(DATE(J$2,12,31)),K70/(1+(Assumptions!$B$14)),0)</f>
        <v>0</v>
      </c>
      <c r="K70" s="6">
        <f>IF($C70&lt;(DATE(K$2,12,31)),L70/(1+(Assumptions!$B$14)),0)</f>
        <v>0</v>
      </c>
      <c r="L70" s="6">
        <f>IF($C70&lt;(DATE(L$2,12,31)),M70/(1+(Assumptions!$B$14)),0)</f>
        <v>0</v>
      </c>
      <c r="M70" s="6">
        <f>IF($C70&lt;(DATE(M$2,12,31)),N70/(1+(Assumptions!$B$14)),0)</f>
        <v>0</v>
      </c>
      <c r="N70" s="6">
        <f>IF($C70&lt;(DATE(N$2,12,31)),O70/(1+(Assumptions!$B$14)),0)</f>
        <v>0</v>
      </c>
      <c r="O70" s="6">
        <f>IF($C70&lt;(DATE(O$2,12,31)),P70/(1+(Assumptions!$B$14)),0)</f>
        <v>0</v>
      </c>
      <c r="P70" s="6">
        <f>IF($C70&lt;(DATE(P$2,12,31)),Q70/(1+(Assumptions!$B$14)),0)</f>
        <v>35960.873258180916</v>
      </c>
      <c r="Q70" s="6">
        <f>IF($C70&lt;(DATE(Q$2,12,31)),R70/(1+(Assumptions!$B$14)),0)</f>
        <v>37399.308188508156</v>
      </c>
      <c r="R70" s="6">
        <f>IF($C70&lt;(DATE(R$2,12,31)),S70/(1+(Assumptions!$B$14)),0)</f>
        <v>38895.280516048486</v>
      </c>
      <c r="S70" s="6">
        <f>IF($C70&lt;(DATE(S$2,12,31)),T70/(1+(Assumptions!$B$14)),0)</f>
        <v>40451.091736690425</v>
      </c>
      <c r="T70" s="6">
        <f>IF($C70&lt;(DATE(T$2,12,31)),U70/(1+(Assumptions!$B$14)),0)</f>
        <v>42069.135406158042</v>
      </c>
      <c r="U70" s="6">
        <f>IF($C70&lt;(DATE(U$2,12,31)),V70/(1+(Assumptions!$B$14)),0)</f>
        <v>43751.900822404365</v>
      </c>
      <c r="V70" s="6">
        <f>IF($C70&lt;(DATE(V$2,12,31)),W70/(1+(Assumptions!$B$14)),0)</f>
        <v>45501.976855300542</v>
      </c>
      <c r="W70" s="6">
        <f>IF($C70&lt;(DATE(W$2,12,31)),X70/(1+(Assumptions!$B$14)),0)</f>
        <v>47322.055929512564</v>
      </c>
      <c r="X70" s="6">
        <f>IF($C70&lt;(DATE(X$2,12,31)),Y70/(1+(Assumptions!$B$14)),0)</f>
        <v>49214.938166693071</v>
      </c>
      <c r="Y70" s="6">
        <f>IF($C70&lt;(DATE(Y$2,12,31)),Z70/(1+(Assumptions!$B$14)),0)</f>
        <v>51183.535693360798</v>
      </c>
      <c r="Z70" s="6">
        <f>IF($C70&lt;(DATE(Z$2,12,31)),AA70/(1+(Assumptions!$B$14)),0)</f>
        <v>53230.877121095233</v>
      </c>
      <c r="AA70" s="6">
        <f>IF($C70&lt;(DATE(AA$2,12,31)),AB70/(1+(Assumptions!$B$14)),0)</f>
        <v>55360.112205939047</v>
      </c>
      <c r="AB70" s="6">
        <f>IF($C70&lt;(DATE(AB$2,12,31)),AC70/(1+(Assumptions!$B$14)),0)</f>
        <v>57574.516694176607</v>
      </c>
      <c r="AC70" s="6">
        <f>IF($C70&lt;(DATE(AC$2,12,31)),AD70/(1+(Assumptions!$B$14)),0)</f>
        <v>59877.497361943671</v>
      </c>
      <c r="AD70" s="6">
        <f>IF($C70&lt;(DATE(AD$2,12,31)),AE70/(1+(Assumptions!$B$14)),0)</f>
        <v>62272.597256421417</v>
      </c>
      <c r="AE70" s="6">
        <f>IF($C70&lt;(DATE(AE$2,12,31)),AF70/(1+(Assumptions!$B$14)),0)</f>
        <v>64763.501146678274</v>
      </c>
      <c r="AF70" s="6">
        <f>IF($C70&lt;(DATE(AF$2,12,31)),AG70/(1+(Assumptions!$B$14)),0)</f>
        <v>67354.04119254541</v>
      </c>
      <c r="AG70" s="6">
        <f>IF($C70&lt;(DATE(AG$2,12,31)),AH70/(1+(Assumptions!$B$14)),0)</f>
        <v>70048.202840247235</v>
      </c>
      <c r="AH70" s="6">
        <f>IF($C70&lt;(DATE(AH$2,12,31)),AI70/(1+(Assumptions!$B$14)),0)</f>
        <v>72850.130953857122</v>
      </c>
      <c r="AI70" s="6">
        <f>IF($C70&lt;(DATE(AI$2,12,31)),AJ70/(1+(Assumptions!$B$14)),0)</f>
        <v>75764.136192011414</v>
      </c>
      <c r="AJ70" s="6">
        <f>IF($C70&lt;(DATE(AJ$2,12,31)),AK70/(1+(Assumptions!$B$14)),0)</f>
        <v>78794.701639691877</v>
      </c>
      <c r="AK70" s="6">
        <f>IF($C70&lt;(DATE(AK$2,12,31)),AL70/(1+(Assumptions!$B$14)),0)</f>
        <v>81946.489705279557</v>
      </c>
      <c r="AL70" s="6">
        <f>IF($C70&lt;(DATE(AL$2,12,31)),AM70/(1+(Assumptions!$B$14)),0)</f>
        <v>85224.349293490741</v>
      </c>
      <c r="AM70" s="6">
        <f>IF($C70&lt;(DATE(AM$2,12,31)),AN70/(1+(Assumptions!$B$14)),0)</f>
        <v>88633.32326523037</v>
      </c>
      <c r="AN70" s="6">
        <f>IF($C70&lt;(DATE(AN$2,12,31)),AO70/(1+(Assumptions!$B$14)),0)</f>
        <v>92178.656195839591</v>
      </c>
      <c r="AO70" s="6">
        <f>IF($C70&lt;(DATE(AO$2,12,31)),AP70/(1+(Assumptions!$B$14)),0)</f>
        <v>95865.802443673179</v>
      </c>
      <c r="AP70" s="6">
        <f>IF($C70&lt;(DATE(AP$2,12,31)),AQ70/(1+(Assumptions!$B$14)),0)</f>
        <v>99700.434541420109</v>
      </c>
      <c r="AQ70" s="6">
        <f>IF($C70&lt;(DATE(AQ$2,12,31)),AR70/(1+(Assumptions!$B$14)),0)</f>
        <v>103688.45192307692</v>
      </c>
      <c r="AR70" s="6">
        <f t="shared" si="1"/>
        <v>107835.99</v>
      </c>
      <c r="AS70" s="6">
        <f>AR70*(1+(Assumptions!$B$15))</f>
        <v>111071.06970000001</v>
      </c>
      <c r="AT70" s="6">
        <f>AS70*(1+(Assumptions!$B$15))</f>
        <v>114403.20179100001</v>
      </c>
      <c r="AU70" s="6">
        <f>AT70*(1+(Assumptions!$B$15))</f>
        <v>117835.29784473001</v>
      </c>
      <c r="AV70" s="6">
        <f>AU70*(1+(Assumptions!$B$15))</f>
        <v>121370.35678007192</v>
      </c>
      <c r="AW70" s="6">
        <f>AV70*(1+(Assumptions!$B$15))</f>
        <v>125011.46748347407</v>
      </c>
      <c r="AX70" s="6">
        <f>AW70*(1+(Assumptions!$B$15))</f>
        <v>128761.8115079783</v>
      </c>
      <c r="AY70" s="6">
        <f>AX70*(1+(Assumptions!$B$15))</f>
        <v>132624.66585321765</v>
      </c>
      <c r="AZ70" s="6">
        <f>AY70*(1+(Assumptions!$B$15))</f>
        <v>136603.4058288142</v>
      </c>
      <c r="BA70" s="6">
        <f>AZ70*(1+(Assumptions!$B$15))</f>
        <v>140701.50800367864</v>
      </c>
      <c r="BB70" s="6">
        <f>BA70*(1+(Assumptions!$B$15))</f>
        <v>144922.55324378901</v>
      </c>
      <c r="BC70" s="6">
        <f>BB70*(1+(Assumptions!$B$15))</f>
        <v>149270.22984110267</v>
      </c>
    </row>
    <row r="71" spans="1:55" x14ac:dyDescent="0.25">
      <c r="A71" s="132">
        <v>600</v>
      </c>
      <c r="B71" s="133">
        <v>524</v>
      </c>
      <c r="C71" s="134">
        <v>31491</v>
      </c>
      <c r="D71" s="134">
        <v>44348</v>
      </c>
      <c r="E71" s="135">
        <v>108660.8</v>
      </c>
      <c r="F71" s="157"/>
      <c r="G71" s="6">
        <f>IF($C71&lt;(DATE(G$2,12,31)),H71/(1+(Assumptions!$B$14)),0)</f>
        <v>0</v>
      </c>
      <c r="H71" s="6">
        <f>IF($C71&lt;(DATE(H$2,12,31)),I71/(1+(Assumptions!$B$14)),0)</f>
        <v>0</v>
      </c>
      <c r="I71" s="6">
        <f>IF($C71&lt;(DATE(I$2,12,31)),J71/(1+(Assumptions!$B$14)),0)</f>
        <v>0</v>
      </c>
      <c r="J71" s="6">
        <f>IF($C71&lt;(DATE(J$2,12,31)),K71/(1+(Assumptions!$B$14)),0)</f>
        <v>0</v>
      </c>
      <c r="K71" s="6">
        <f>IF($C71&lt;(DATE(K$2,12,31)),L71/(1+(Assumptions!$B$14)),0)</f>
        <v>0</v>
      </c>
      <c r="L71" s="6">
        <f>IF($C71&lt;(DATE(L$2,12,31)),M71/(1+(Assumptions!$B$14)),0)</f>
        <v>0</v>
      </c>
      <c r="M71" s="6">
        <f>IF($C71&lt;(DATE(M$2,12,31)),N71/(1+(Assumptions!$B$14)),0)</f>
        <v>0</v>
      </c>
      <c r="N71" s="6">
        <f>IF($C71&lt;(DATE(N$2,12,31)),O71/(1+(Assumptions!$B$14)),0)</f>
        <v>0</v>
      </c>
      <c r="O71" s="6">
        <f>IF($C71&lt;(DATE(O$2,12,31)),P71/(1+(Assumptions!$B$14)),0)</f>
        <v>0</v>
      </c>
      <c r="P71" s="6">
        <f>IF($C71&lt;(DATE(P$2,12,31)),Q71/(1+(Assumptions!$B$14)),0)</f>
        <v>36235.928811267418</v>
      </c>
      <c r="Q71" s="6">
        <f>IF($C71&lt;(DATE(Q$2,12,31)),R71/(1+(Assumptions!$B$14)),0)</f>
        <v>37685.365963718119</v>
      </c>
      <c r="R71" s="6">
        <f>IF($C71&lt;(DATE(R$2,12,31)),S71/(1+(Assumptions!$B$14)),0)</f>
        <v>39192.780602266845</v>
      </c>
      <c r="S71" s="6">
        <f>IF($C71&lt;(DATE(S$2,12,31)),T71/(1+(Assumptions!$B$14)),0)</f>
        <v>40760.491826357516</v>
      </c>
      <c r="T71" s="6">
        <f>IF($C71&lt;(DATE(T$2,12,31)),U71/(1+(Assumptions!$B$14)),0)</f>
        <v>42390.911499411821</v>
      </c>
      <c r="U71" s="6">
        <f>IF($C71&lt;(DATE(U$2,12,31)),V71/(1+(Assumptions!$B$14)),0)</f>
        <v>44086.547959388292</v>
      </c>
      <c r="V71" s="6">
        <f>IF($C71&lt;(DATE(V$2,12,31)),W71/(1+(Assumptions!$B$14)),0)</f>
        <v>45850.009877763827</v>
      </c>
      <c r="W71" s="6">
        <f>IF($C71&lt;(DATE(W$2,12,31)),X71/(1+(Assumptions!$B$14)),0)</f>
        <v>47684.01027287438</v>
      </c>
      <c r="X71" s="6">
        <f>IF($C71&lt;(DATE(X$2,12,31)),Y71/(1+(Assumptions!$B$14)),0)</f>
        <v>49591.370683789355</v>
      </c>
      <c r="Y71" s="6">
        <f>IF($C71&lt;(DATE(Y$2,12,31)),Z71/(1+(Assumptions!$B$14)),0)</f>
        <v>51575.025511140928</v>
      </c>
      <c r="Z71" s="6">
        <f>IF($C71&lt;(DATE(Z$2,12,31)),AA71/(1+(Assumptions!$B$14)),0)</f>
        <v>53638.026531586569</v>
      </c>
      <c r="AA71" s="6">
        <f>IF($C71&lt;(DATE(AA$2,12,31)),AB71/(1+(Assumptions!$B$14)),0)</f>
        <v>55783.547592850031</v>
      </c>
      <c r="AB71" s="6">
        <f>IF($C71&lt;(DATE(AB$2,12,31)),AC71/(1+(Assumptions!$B$14)),0)</f>
        <v>58014.889496564036</v>
      </c>
      <c r="AC71" s="6">
        <f>IF($C71&lt;(DATE(AC$2,12,31)),AD71/(1+(Assumptions!$B$14)),0)</f>
        <v>60335.485076426601</v>
      </c>
      <c r="AD71" s="6">
        <f>IF($C71&lt;(DATE(AD$2,12,31)),AE71/(1+(Assumptions!$B$14)),0)</f>
        <v>62748.904479483666</v>
      </c>
      <c r="AE71" s="6">
        <f>IF($C71&lt;(DATE(AE$2,12,31)),AF71/(1+(Assumptions!$B$14)),0)</f>
        <v>65258.860658663012</v>
      </c>
      <c r="AF71" s="6">
        <f>IF($C71&lt;(DATE(AF$2,12,31)),AG71/(1+(Assumptions!$B$14)),0)</f>
        <v>67869.215085009535</v>
      </c>
      <c r="AG71" s="6">
        <f>IF($C71&lt;(DATE(AG$2,12,31)),AH71/(1+(Assumptions!$B$14)),0)</f>
        <v>70583.98368840992</v>
      </c>
      <c r="AH71" s="6">
        <f>IF($C71&lt;(DATE(AH$2,12,31)),AI71/(1+(Assumptions!$B$14)),0)</f>
        <v>73407.343035946324</v>
      </c>
      <c r="AI71" s="6">
        <f>IF($C71&lt;(DATE(AI$2,12,31)),AJ71/(1+(Assumptions!$B$14)),0)</f>
        <v>76343.636757384185</v>
      </c>
      <c r="AJ71" s="6">
        <f>IF($C71&lt;(DATE(AJ$2,12,31)),AK71/(1+(Assumptions!$B$14)),0)</f>
        <v>79397.382227679554</v>
      </c>
      <c r="AK71" s="6">
        <f>IF($C71&lt;(DATE(AK$2,12,31)),AL71/(1+(Assumptions!$B$14)),0)</f>
        <v>82573.277516786737</v>
      </c>
      <c r="AL71" s="6">
        <f>IF($C71&lt;(DATE(AL$2,12,31)),AM71/(1+(Assumptions!$B$14)),0)</f>
        <v>85876.208617458207</v>
      </c>
      <c r="AM71" s="6">
        <f>IF($C71&lt;(DATE(AM$2,12,31)),AN71/(1+(Assumptions!$B$14)),0)</f>
        <v>89311.256962156534</v>
      </c>
      <c r="AN71" s="6">
        <f>IF($C71&lt;(DATE(AN$2,12,31)),AO71/(1+(Assumptions!$B$14)),0)</f>
        <v>92883.707240642805</v>
      </c>
      <c r="AO71" s="6">
        <f>IF($C71&lt;(DATE(AO$2,12,31)),AP71/(1+(Assumptions!$B$14)),0)</f>
        <v>96599.055530268524</v>
      </c>
      <c r="AP71" s="6">
        <f>IF($C71&lt;(DATE(AP$2,12,31)),AQ71/(1+(Assumptions!$B$14)),0)</f>
        <v>100463.01775147927</v>
      </c>
      <c r="AQ71" s="6">
        <f>IF($C71&lt;(DATE(AQ$2,12,31)),AR71/(1+(Assumptions!$B$14)),0)</f>
        <v>104481.53846153845</v>
      </c>
      <c r="AR71" s="6">
        <f t="shared" si="1"/>
        <v>108660.8</v>
      </c>
      <c r="AS71" s="6">
        <f>AR71*(1+(Assumptions!$B$15))</f>
        <v>111920.62400000001</v>
      </c>
      <c r="AT71" s="6">
        <f>AS71*(1+(Assumptions!$B$15))</f>
        <v>115278.24272000001</v>
      </c>
      <c r="AU71" s="6">
        <f>AT71*(1+(Assumptions!$B$15))</f>
        <v>118736.59000160001</v>
      </c>
      <c r="AV71" s="6">
        <f>AU71*(1+(Assumptions!$B$15))</f>
        <v>122298.68770164801</v>
      </c>
      <c r="AW71" s="6">
        <f>AV71*(1+(Assumptions!$B$15))</f>
        <v>125967.64833269746</v>
      </c>
      <c r="AX71" s="6">
        <f>AW71*(1+(Assumptions!$B$15))</f>
        <v>129746.67778267838</v>
      </c>
      <c r="AY71" s="6">
        <f>AX71*(1+(Assumptions!$B$15))</f>
        <v>133639.07811615872</v>
      </c>
      <c r="AZ71" s="6">
        <f>AY71*(1+(Assumptions!$B$15))</f>
        <v>137648.25045964349</v>
      </c>
      <c r="BA71" s="6">
        <f>AZ71*(1+(Assumptions!$B$15))</f>
        <v>141777.69797343281</v>
      </c>
      <c r="BB71" s="6">
        <f>BA71*(1+(Assumptions!$B$15))</f>
        <v>146031.02891263578</v>
      </c>
      <c r="BC71" s="6">
        <f>BB71*(1+(Assumptions!$B$15))</f>
        <v>150411.95978001485</v>
      </c>
    </row>
    <row r="72" spans="1:55" x14ac:dyDescent="0.25">
      <c r="A72" s="132">
        <v>600</v>
      </c>
      <c r="B72" s="133">
        <v>514</v>
      </c>
      <c r="C72" s="134">
        <v>31188</v>
      </c>
      <c r="D72" s="134">
        <v>46753</v>
      </c>
      <c r="E72" s="135">
        <v>109485.61</v>
      </c>
      <c r="F72" s="157"/>
      <c r="G72" s="6">
        <f>IF($C72&lt;(DATE(G$2,12,31)),H72/(1+(Assumptions!$B$14)),0)</f>
        <v>0</v>
      </c>
      <c r="H72" s="6">
        <f>IF($C72&lt;(DATE(H$2,12,31)),I72/(1+(Assumptions!$B$14)),0)</f>
        <v>0</v>
      </c>
      <c r="I72" s="6">
        <f>IF($C72&lt;(DATE(I$2,12,31)),J72/(1+(Assumptions!$B$14)),0)</f>
        <v>0</v>
      </c>
      <c r="J72" s="6">
        <f>IF($C72&lt;(DATE(J$2,12,31)),K72/(1+(Assumptions!$B$14)),0)</f>
        <v>0</v>
      </c>
      <c r="K72" s="6">
        <f>IF($C72&lt;(DATE(K$2,12,31)),L72/(1+(Assumptions!$B$14)),0)</f>
        <v>0</v>
      </c>
      <c r="L72" s="6">
        <f>IF($C72&lt;(DATE(L$2,12,31)),M72/(1+(Assumptions!$B$14)),0)</f>
        <v>0</v>
      </c>
      <c r="M72" s="6">
        <f>IF($C72&lt;(DATE(M$2,12,31)),N72/(1+(Assumptions!$B$14)),0)</f>
        <v>0</v>
      </c>
      <c r="N72" s="6">
        <f>IF($C72&lt;(DATE(N$2,12,31)),O72/(1+(Assumptions!$B$14)),0)</f>
        <v>0</v>
      </c>
      <c r="O72" s="6">
        <f>IF($C72&lt;(DATE(O$2,12,31)),P72/(1+(Assumptions!$B$14)),0)</f>
        <v>35106.715734955709</v>
      </c>
      <c r="P72" s="6">
        <f>IF($C72&lt;(DATE(P$2,12,31)),Q72/(1+(Assumptions!$B$14)),0)</f>
        <v>36510.984364353935</v>
      </c>
      <c r="Q72" s="6">
        <f>IF($C72&lt;(DATE(Q$2,12,31)),R72/(1+(Assumptions!$B$14)),0)</f>
        <v>37971.423738928097</v>
      </c>
      <c r="R72" s="6">
        <f>IF($C72&lt;(DATE(R$2,12,31)),S72/(1+(Assumptions!$B$14)),0)</f>
        <v>39490.280688485225</v>
      </c>
      <c r="S72" s="6">
        <f>IF($C72&lt;(DATE(S$2,12,31)),T72/(1+(Assumptions!$B$14)),0)</f>
        <v>41069.891916024637</v>
      </c>
      <c r="T72" s="6">
        <f>IF($C72&lt;(DATE(T$2,12,31)),U72/(1+(Assumptions!$B$14)),0)</f>
        <v>42712.687592665621</v>
      </c>
      <c r="U72" s="6">
        <f>IF($C72&lt;(DATE(U$2,12,31)),V72/(1+(Assumptions!$B$14)),0)</f>
        <v>44421.195096372248</v>
      </c>
      <c r="V72" s="6">
        <f>IF($C72&lt;(DATE(V$2,12,31)),W72/(1+(Assumptions!$B$14)),0)</f>
        <v>46198.042900227141</v>
      </c>
      <c r="W72" s="6">
        <f>IF($C72&lt;(DATE(W$2,12,31)),X72/(1+(Assumptions!$B$14)),0)</f>
        <v>48045.964616236226</v>
      </c>
      <c r="X72" s="6">
        <f>IF($C72&lt;(DATE(X$2,12,31)),Y72/(1+(Assumptions!$B$14)),0)</f>
        <v>49967.803200885675</v>
      </c>
      <c r="Y72" s="6">
        <f>IF($C72&lt;(DATE(Y$2,12,31)),Z72/(1+(Assumptions!$B$14)),0)</f>
        <v>51966.515328921101</v>
      </c>
      <c r="Z72" s="6">
        <f>IF($C72&lt;(DATE(Z$2,12,31)),AA72/(1+(Assumptions!$B$14)),0)</f>
        <v>54045.175942077949</v>
      </c>
      <c r="AA72" s="6">
        <f>IF($C72&lt;(DATE(AA$2,12,31)),AB72/(1+(Assumptions!$B$14)),0)</f>
        <v>56206.982979761066</v>
      </c>
      <c r="AB72" s="6">
        <f>IF($C72&lt;(DATE(AB$2,12,31)),AC72/(1+(Assumptions!$B$14)),0)</f>
        <v>58455.262298951508</v>
      </c>
      <c r="AC72" s="6">
        <f>IF($C72&lt;(DATE(AC$2,12,31)),AD72/(1+(Assumptions!$B$14)),0)</f>
        <v>60793.472790909567</v>
      </c>
      <c r="AD72" s="6">
        <f>IF($C72&lt;(DATE(AD$2,12,31)),AE72/(1+(Assumptions!$B$14)),0)</f>
        <v>63225.211702545952</v>
      </c>
      <c r="AE72" s="6">
        <f>IF($C72&lt;(DATE(AE$2,12,31)),AF72/(1+(Assumptions!$B$14)),0)</f>
        <v>65754.220170647794</v>
      </c>
      <c r="AF72" s="6">
        <f>IF($C72&lt;(DATE(AF$2,12,31)),AG72/(1+(Assumptions!$B$14)),0)</f>
        <v>68384.388977473704</v>
      </c>
      <c r="AG72" s="6">
        <f>IF($C72&lt;(DATE(AG$2,12,31)),AH72/(1+(Assumptions!$B$14)),0)</f>
        <v>71119.764536572649</v>
      </c>
      <c r="AH72" s="6">
        <f>IF($C72&lt;(DATE(AH$2,12,31)),AI72/(1+(Assumptions!$B$14)),0)</f>
        <v>73964.555118035554</v>
      </c>
      <c r="AI72" s="6">
        <f>IF($C72&lt;(DATE(AI$2,12,31)),AJ72/(1+(Assumptions!$B$14)),0)</f>
        <v>76923.137322756986</v>
      </c>
      <c r="AJ72" s="6">
        <f>IF($C72&lt;(DATE(AJ$2,12,31)),AK72/(1+(Assumptions!$B$14)),0)</f>
        <v>80000.062815667261</v>
      </c>
      <c r="AK72" s="6">
        <f>IF($C72&lt;(DATE(AK$2,12,31)),AL72/(1+(Assumptions!$B$14)),0)</f>
        <v>83200.06532829396</v>
      </c>
      <c r="AL72" s="6">
        <f>IF($C72&lt;(DATE(AL$2,12,31)),AM72/(1+(Assumptions!$B$14)),0)</f>
        <v>86528.067941425717</v>
      </c>
      <c r="AM72" s="6">
        <f>IF($C72&lt;(DATE(AM$2,12,31)),AN72/(1+(Assumptions!$B$14)),0)</f>
        <v>89989.190659082742</v>
      </c>
      <c r="AN72" s="6">
        <f>IF($C72&lt;(DATE(AN$2,12,31)),AO72/(1+(Assumptions!$B$14)),0)</f>
        <v>93588.758285446049</v>
      </c>
      <c r="AO72" s="6">
        <f>IF($C72&lt;(DATE(AO$2,12,31)),AP72/(1+(Assumptions!$B$14)),0)</f>
        <v>97332.308616863898</v>
      </c>
      <c r="AP72" s="6">
        <f>IF($C72&lt;(DATE(AP$2,12,31)),AQ72/(1+(Assumptions!$B$14)),0)</f>
        <v>101225.60096153845</v>
      </c>
      <c r="AQ72" s="6">
        <f>IF($C72&lt;(DATE(AQ$2,12,31)),AR72/(1+(Assumptions!$B$14)),0)</f>
        <v>105274.625</v>
      </c>
      <c r="AR72" s="6">
        <f t="shared" si="1"/>
        <v>109485.61</v>
      </c>
      <c r="AS72" s="6">
        <f>AR72*(1+(Assumptions!$B$15))</f>
        <v>112770.1783</v>
      </c>
      <c r="AT72" s="6">
        <f>AS72*(1+(Assumptions!$B$15))</f>
        <v>116153.283649</v>
      </c>
      <c r="AU72" s="6">
        <f>AT72*(1+(Assumptions!$B$15))</f>
        <v>119637.88215847001</v>
      </c>
      <c r="AV72" s="6">
        <f>AU72*(1+(Assumptions!$B$15))</f>
        <v>123227.01862322411</v>
      </c>
      <c r="AW72" s="6">
        <f>AV72*(1+(Assumptions!$B$15))</f>
        <v>126923.82918192084</v>
      </c>
      <c r="AX72" s="6">
        <f>AW72*(1+(Assumptions!$B$15))</f>
        <v>130731.54405737847</v>
      </c>
      <c r="AY72" s="6">
        <f>AX72*(1+(Assumptions!$B$15))</f>
        <v>134653.49037909982</v>
      </c>
      <c r="AZ72" s="6">
        <f>AY72*(1+(Assumptions!$B$15))</f>
        <v>138693.09509047281</v>
      </c>
      <c r="BA72" s="6">
        <f>AZ72*(1+(Assumptions!$B$15))</f>
        <v>142853.887943187</v>
      </c>
      <c r="BB72" s="6">
        <f>BA72*(1+(Assumptions!$B$15))</f>
        <v>147139.50458148262</v>
      </c>
      <c r="BC72" s="6">
        <f>BB72*(1+(Assumptions!$B$15))</f>
        <v>151553.68971892711</v>
      </c>
    </row>
    <row r="73" spans="1:55" x14ac:dyDescent="0.25">
      <c r="A73" s="132">
        <v>600</v>
      </c>
      <c r="B73" s="133">
        <v>498</v>
      </c>
      <c r="C73" s="134">
        <v>30984</v>
      </c>
      <c r="D73" s="134">
        <v>46478</v>
      </c>
      <c r="E73" s="135">
        <v>110310.42</v>
      </c>
      <c r="F73" s="157"/>
      <c r="G73" s="6">
        <f>IF($C73&lt;(DATE(G$2,12,31)),H73/(1+(Assumptions!$B$14)),0)</f>
        <v>0</v>
      </c>
      <c r="H73" s="6">
        <f>IF($C73&lt;(DATE(H$2,12,31)),I73/(1+(Assumptions!$B$14)),0)</f>
        <v>0</v>
      </c>
      <c r="I73" s="6">
        <f>IF($C73&lt;(DATE(I$2,12,31)),J73/(1+(Assumptions!$B$14)),0)</f>
        <v>0</v>
      </c>
      <c r="J73" s="6">
        <f>IF($C73&lt;(DATE(J$2,12,31)),K73/(1+(Assumptions!$B$14)),0)</f>
        <v>0</v>
      </c>
      <c r="K73" s="6">
        <f>IF($C73&lt;(DATE(K$2,12,31)),L73/(1+(Assumptions!$B$14)),0)</f>
        <v>0</v>
      </c>
      <c r="L73" s="6">
        <f>IF($C73&lt;(DATE(L$2,12,31)),M73/(1+(Assumptions!$B$14)),0)</f>
        <v>0</v>
      </c>
      <c r="M73" s="6">
        <f>IF($C73&lt;(DATE(M$2,12,31)),N73/(1+(Assumptions!$B$14)),0)</f>
        <v>0</v>
      </c>
      <c r="N73" s="6">
        <f>IF($C73&lt;(DATE(N$2,12,31)),O73/(1+(Assumptions!$B$14)),0)</f>
        <v>34010.761757988541</v>
      </c>
      <c r="O73" s="6">
        <f>IF($C73&lt;(DATE(O$2,12,31)),P73/(1+(Assumptions!$B$14)),0)</f>
        <v>35371.192228308086</v>
      </c>
      <c r="P73" s="6">
        <f>IF($C73&lt;(DATE(P$2,12,31)),Q73/(1+(Assumptions!$B$14)),0)</f>
        <v>36786.039917440408</v>
      </c>
      <c r="Q73" s="6">
        <f>IF($C73&lt;(DATE(Q$2,12,31)),R73/(1+(Assumptions!$B$14)),0)</f>
        <v>38257.481514138024</v>
      </c>
      <c r="R73" s="6">
        <f>IF($C73&lt;(DATE(R$2,12,31)),S73/(1+(Assumptions!$B$14)),0)</f>
        <v>39787.780774703548</v>
      </c>
      <c r="S73" s="6">
        <f>IF($C73&lt;(DATE(S$2,12,31)),T73/(1+(Assumptions!$B$14)),0)</f>
        <v>41379.292005691692</v>
      </c>
      <c r="T73" s="6">
        <f>IF($C73&lt;(DATE(T$2,12,31)),U73/(1+(Assumptions!$B$14)),0)</f>
        <v>43034.463685919363</v>
      </c>
      <c r="U73" s="6">
        <f>IF($C73&lt;(DATE(U$2,12,31)),V73/(1+(Assumptions!$B$14)),0)</f>
        <v>44755.842233356139</v>
      </c>
      <c r="V73" s="6">
        <f>IF($C73&lt;(DATE(V$2,12,31)),W73/(1+(Assumptions!$B$14)),0)</f>
        <v>46546.075922690383</v>
      </c>
      <c r="W73" s="6">
        <f>IF($C73&lt;(DATE(W$2,12,31)),X73/(1+(Assumptions!$B$14)),0)</f>
        <v>48407.918959597999</v>
      </c>
      <c r="X73" s="6">
        <f>IF($C73&lt;(DATE(X$2,12,31)),Y73/(1+(Assumptions!$B$14)),0)</f>
        <v>50344.235717981923</v>
      </c>
      <c r="Y73" s="6">
        <f>IF($C73&lt;(DATE(Y$2,12,31)),Z73/(1+(Assumptions!$B$14)),0)</f>
        <v>52358.005146701202</v>
      </c>
      <c r="Z73" s="6">
        <f>IF($C73&lt;(DATE(Z$2,12,31)),AA73/(1+(Assumptions!$B$14)),0)</f>
        <v>54452.325352569249</v>
      </c>
      <c r="AA73" s="6">
        <f>IF($C73&lt;(DATE(AA$2,12,31)),AB73/(1+(Assumptions!$B$14)),0)</f>
        <v>56630.41836667202</v>
      </c>
      <c r="AB73" s="6">
        <f>IF($C73&lt;(DATE(AB$2,12,31)),AC73/(1+(Assumptions!$B$14)),0)</f>
        <v>58895.635101338899</v>
      </c>
      <c r="AC73" s="6">
        <f>IF($C73&lt;(DATE(AC$2,12,31)),AD73/(1+(Assumptions!$B$14)),0)</f>
        <v>61251.460505392461</v>
      </c>
      <c r="AD73" s="6">
        <f>IF($C73&lt;(DATE(AD$2,12,31)),AE73/(1+(Assumptions!$B$14)),0)</f>
        <v>63701.518925608165</v>
      </c>
      <c r="AE73" s="6">
        <f>IF($C73&lt;(DATE(AE$2,12,31)),AF73/(1+(Assumptions!$B$14)),0)</f>
        <v>66249.579682632495</v>
      </c>
      <c r="AF73" s="6">
        <f>IF($C73&lt;(DATE(AF$2,12,31)),AG73/(1+(Assumptions!$B$14)),0)</f>
        <v>68899.562869937799</v>
      </c>
      <c r="AG73" s="6">
        <f>IF($C73&lt;(DATE(AG$2,12,31)),AH73/(1+(Assumptions!$B$14)),0)</f>
        <v>71655.54538473532</v>
      </c>
      <c r="AH73" s="6">
        <f>IF($C73&lt;(DATE(AH$2,12,31)),AI73/(1+(Assumptions!$B$14)),0)</f>
        <v>74521.767200124741</v>
      </c>
      <c r="AI73" s="6">
        <f>IF($C73&lt;(DATE(AI$2,12,31)),AJ73/(1+(Assumptions!$B$14)),0)</f>
        <v>77502.637888129728</v>
      </c>
      <c r="AJ73" s="6">
        <f>IF($C73&lt;(DATE(AJ$2,12,31)),AK73/(1+(Assumptions!$B$14)),0)</f>
        <v>80602.743403654924</v>
      </c>
      <c r="AK73" s="6">
        <f>IF($C73&lt;(DATE(AK$2,12,31)),AL73/(1+(Assumptions!$B$14)),0)</f>
        <v>83826.853139801126</v>
      </c>
      <c r="AL73" s="6">
        <f>IF($C73&lt;(DATE(AL$2,12,31)),AM73/(1+(Assumptions!$B$14)),0)</f>
        <v>87179.927265393169</v>
      </c>
      <c r="AM73" s="6">
        <f>IF($C73&lt;(DATE(AM$2,12,31)),AN73/(1+(Assumptions!$B$14)),0)</f>
        <v>90667.124356008906</v>
      </c>
      <c r="AN73" s="6">
        <f>IF($C73&lt;(DATE(AN$2,12,31)),AO73/(1+(Assumptions!$B$14)),0)</f>
        <v>94293.809330249263</v>
      </c>
      <c r="AO73" s="6">
        <f>IF($C73&lt;(DATE(AO$2,12,31)),AP73/(1+(Assumptions!$B$14)),0)</f>
        <v>98065.561703459243</v>
      </c>
      <c r="AP73" s="6">
        <f>IF($C73&lt;(DATE(AP$2,12,31)),AQ73/(1+(Assumptions!$B$14)),0)</f>
        <v>101988.18417159762</v>
      </c>
      <c r="AQ73" s="6">
        <f>IF($C73&lt;(DATE(AQ$2,12,31)),AR73/(1+(Assumptions!$B$14)),0)</f>
        <v>106067.71153846153</v>
      </c>
      <c r="AR73" s="6">
        <f t="shared" si="1"/>
        <v>110310.42</v>
      </c>
      <c r="AS73" s="6">
        <f>AR73*(1+(Assumptions!$B$15))</f>
        <v>113619.7326</v>
      </c>
      <c r="AT73" s="6">
        <f>AS73*(1+(Assumptions!$B$15))</f>
        <v>117028.324578</v>
      </c>
      <c r="AU73" s="6">
        <f>AT73*(1+(Assumptions!$B$15))</f>
        <v>120539.17431534</v>
      </c>
      <c r="AV73" s="6">
        <f>AU73*(1+(Assumptions!$B$15))</f>
        <v>124155.34954480021</v>
      </c>
      <c r="AW73" s="6">
        <f>AV73*(1+(Assumptions!$B$15))</f>
        <v>127880.01003114422</v>
      </c>
      <c r="AX73" s="6">
        <f>AW73*(1+(Assumptions!$B$15))</f>
        <v>131716.41033207855</v>
      </c>
      <c r="AY73" s="6">
        <f>AX73*(1+(Assumptions!$B$15))</f>
        <v>135667.90264204092</v>
      </c>
      <c r="AZ73" s="6">
        <f>AY73*(1+(Assumptions!$B$15))</f>
        <v>139737.93972130216</v>
      </c>
      <c r="BA73" s="6">
        <f>AZ73*(1+(Assumptions!$B$15))</f>
        <v>143930.07791294123</v>
      </c>
      <c r="BB73" s="6">
        <f>BA73*(1+(Assumptions!$B$15))</f>
        <v>148247.98025032948</v>
      </c>
      <c r="BC73" s="6">
        <f>BB73*(1+(Assumptions!$B$15))</f>
        <v>152695.41965783937</v>
      </c>
    </row>
    <row r="74" spans="1:55" x14ac:dyDescent="0.25">
      <c r="A74" s="132">
        <v>600</v>
      </c>
      <c r="B74" s="133">
        <v>482</v>
      </c>
      <c r="C74" s="134">
        <v>30819</v>
      </c>
      <c r="D74" s="134">
        <v>45717</v>
      </c>
      <c r="E74" s="135">
        <v>111135.24</v>
      </c>
      <c r="F74" s="157"/>
      <c r="G74" s="6">
        <f>IF($C74&lt;(DATE(G$2,12,31)),H74/(1+(Assumptions!$B$14)),0)</f>
        <v>0</v>
      </c>
      <c r="H74" s="6">
        <f>IF($C74&lt;(DATE(H$2,12,31)),I74/(1+(Assumptions!$B$14)),0)</f>
        <v>0</v>
      </c>
      <c r="I74" s="6">
        <f>IF($C74&lt;(DATE(I$2,12,31)),J74/(1+(Assumptions!$B$14)),0)</f>
        <v>0</v>
      </c>
      <c r="J74" s="6">
        <f>IF($C74&lt;(DATE(J$2,12,31)),K74/(1+(Assumptions!$B$14)),0)</f>
        <v>0</v>
      </c>
      <c r="K74" s="6">
        <f>IF($C74&lt;(DATE(K$2,12,31)),L74/(1+(Assumptions!$B$14)),0)</f>
        <v>0</v>
      </c>
      <c r="L74" s="6">
        <f>IF($C74&lt;(DATE(L$2,12,31)),M74/(1+(Assumptions!$B$14)),0)</f>
        <v>0</v>
      </c>
      <c r="M74" s="6">
        <f>IF($C74&lt;(DATE(M$2,12,31)),N74/(1+(Assumptions!$B$14)),0)</f>
        <v>0</v>
      </c>
      <c r="N74" s="6">
        <f>IF($C74&lt;(DATE(N$2,12,31)),O74/(1+(Assumptions!$B$14)),0)</f>
        <v>34265.069161706393</v>
      </c>
      <c r="O74" s="6">
        <f>IF($C74&lt;(DATE(O$2,12,31)),P74/(1+(Assumptions!$B$14)),0)</f>
        <v>35635.671928174648</v>
      </c>
      <c r="P74" s="6">
        <f>IF($C74&lt;(DATE(P$2,12,31)),Q74/(1+(Assumptions!$B$14)),0)</f>
        <v>37061.098805301634</v>
      </c>
      <c r="Q74" s="6">
        <f>IF($C74&lt;(DATE(Q$2,12,31)),R74/(1+(Assumptions!$B$14)),0)</f>
        <v>38543.5427575137</v>
      </c>
      <c r="R74" s="6">
        <f>IF($C74&lt;(DATE(R$2,12,31)),S74/(1+(Assumptions!$B$14)),0)</f>
        <v>40085.28446781425</v>
      </c>
      <c r="S74" s="6">
        <f>IF($C74&lt;(DATE(S$2,12,31)),T74/(1+(Assumptions!$B$14)),0)</f>
        <v>41688.695846526818</v>
      </c>
      <c r="T74" s="6">
        <f>IF($C74&lt;(DATE(T$2,12,31)),U74/(1+(Assumptions!$B$14)),0)</f>
        <v>43356.243680387895</v>
      </c>
      <c r="U74" s="6">
        <f>IF($C74&lt;(DATE(U$2,12,31)),V74/(1+(Assumptions!$B$14)),0)</f>
        <v>45090.493427603411</v>
      </c>
      <c r="V74" s="6">
        <f>IF($C74&lt;(DATE(V$2,12,31)),W74/(1+(Assumptions!$B$14)),0)</f>
        <v>46894.113164707553</v>
      </c>
      <c r="W74" s="6">
        <f>IF($C74&lt;(DATE(W$2,12,31)),X74/(1+(Assumptions!$B$14)),0)</f>
        <v>48769.877691295856</v>
      </c>
      <c r="X74" s="6">
        <f>IF($C74&lt;(DATE(X$2,12,31)),Y74/(1+(Assumptions!$B$14)),0)</f>
        <v>50720.672798947693</v>
      </c>
      <c r="Y74" s="6">
        <f>IF($C74&lt;(DATE(Y$2,12,31)),Z74/(1+(Assumptions!$B$14)),0)</f>
        <v>52749.499710905606</v>
      </c>
      <c r="Z74" s="6">
        <f>IF($C74&lt;(DATE(Z$2,12,31)),AA74/(1+(Assumptions!$B$14)),0)</f>
        <v>54859.479699341835</v>
      </c>
      <c r="AA74" s="6">
        <f>IF($C74&lt;(DATE(AA$2,12,31)),AB74/(1+(Assumptions!$B$14)),0)</f>
        <v>57053.858887315509</v>
      </c>
      <c r="AB74" s="6">
        <f>IF($C74&lt;(DATE(AB$2,12,31)),AC74/(1+(Assumptions!$B$14)),0)</f>
        <v>59336.013242808134</v>
      </c>
      <c r="AC74" s="6">
        <f>IF($C74&lt;(DATE(AC$2,12,31)),AD74/(1+(Assumptions!$B$14)),0)</f>
        <v>61709.453772520465</v>
      </c>
      <c r="AD74" s="6">
        <f>IF($C74&lt;(DATE(AD$2,12,31)),AE74/(1+(Assumptions!$B$14)),0)</f>
        <v>64177.831923421283</v>
      </c>
      <c r="AE74" s="6">
        <f>IF($C74&lt;(DATE(AE$2,12,31)),AF74/(1+(Assumptions!$B$14)),0)</f>
        <v>66744.945200358139</v>
      </c>
      <c r="AF74" s="6">
        <f>IF($C74&lt;(DATE(AF$2,12,31)),AG74/(1+(Assumptions!$B$14)),0)</f>
        <v>69414.743008372461</v>
      </c>
      <c r="AG74" s="6">
        <f>IF($C74&lt;(DATE(AG$2,12,31)),AH74/(1+(Assumptions!$B$14)),0)</f>
        <v>72191.332728707363</v>
      </c>
      <c r="AH74" s="6">
        <f>IF($C74&lt;(DATE(AH$2,12,31)),AI74/(1+(Assumptions!$B$14)),0)</f>
        <v>75078.986037855662</v>
      </c>
      <c r="AI74" s="6">
        <f>IF($C74&lt;(DATE(AI$2,12,31)),AJ74/(1+(Assumptions!$B$14)),0)</f>
        <v>78082.145479369894</v>
      </c>
      <c r="AJ74" s="6">
        <f>IF($C74&lt;(DATE(AJ$2,12,31)),AK74/(1+(Assumptions!$B$14)),0)</f>
        <v>81205.431298544689</v>
      </c>
      <c r="AK74" s="6">
        <f>IF($C74&lt;(DATE(AK$2,12,31)),AL74/(1+(Assumptions!$B$14)),0)</f>
        <v>84453.648550486483</v>
      </c>
      <c r="AL74" s="6">
        <f>IF($C74&lt;(DATE(AL$2,12,31)),AM74/(1+(Assumptions!$B$14)),0)</f>
        <v>87831.794492505942</v>
      </c>
      <c r="AM74" s="6">
        <f>IF($C74&lt;(DATE(AM$2,12,31)),AN74/(1+(Assumptions!$B$14)),0)</f>
        <v>91345.066272206182</v>
      </c>
      <c r="AN74" s="6">
        <f>IF($C74&lt;(DATE(AN$2,12,31)),AO74/(1+(Assumptions!$B$14)),0)</f>
        <v>94998.868923094429</v>
      </c>
      <c r="AO74" s="6">
        <f>IF($C74&lt;(DATE(AO$2,12,31)),AP74/(1+(Assumptions!$B$14)),0)</f>
        <v>98798.823680018206</v>
      </c>
      <c r="AP74" s="6">
        <f>IF($C74&lt;(DATE(AP$2,12,31)),AQ74/(1+(Assumptions!$B$14)),0)</f>
        <v>102750.77662721893</v>
      </c>
      <c r="AQ74" s="6">
        <f>IF($C74&lt;(DATE(AQ$2,12,31)),AR74/(1+(Assumptions!$B$14)),0)</f>
        <v>106860.80769230769</v>
      </c>
      <c r="AR74" s="6">
        <f t="shared" si="1"/>
        <v>111135.24</v>
      </c>
      <c r="AS74" s="6">
        <f>AR74*(1+(Assumptions!$B$15))</f>
        <v>114469.29720000002</v>
      </c>
      <c r="AT74" s="6">
        <f>AS74*(1+(Assumptions!$B$15))</f>
        <v>117903.37611600001</v>
      </c>
      <c r="AU74" s="6">
        <f>AT74*(1+(Assumptions!$B$15))</f>
        <v>121440.47739948002</v>
      </c>
      <c r="AV74" s="6">
        <f>AU74*(1+(Assumptions!$B$15))</f>
        <v>125083.69172146442</v>
      </c>
      <c r="AW74" s="6">
        <f>AV74*(1+(Assumptions!$B$15))</f>
        <v>128836.20247310835</v>
      </c>
      <c r="AX74" s="6">
        <f>AW74*(1+(Assumptions!$B$15))</f>
        <v>132701.28854730161</v>
      </c>
      <c r="AY74" s="6">
        <f>AX74*(1+(Assumptions!$B$15))</f>
        <v>136682.32720372066</v>
      </c>
      <c r="AZ74" s="6">
        <f>AY74*(1+(Assumptions!$B$15))</f>
        <v>140782.79701983227</v>
      </c>
      <c r="BA74" s="6">
        <f>AZ74*(1+(Assumptions!$B$15))</f>
        <v>145006.28093042725</v>
      </c>
      <c r="BB74" s="6">
        <f>BA74*(1+(Assumptions!$B$15))</f>
        <v>149356.46935834008</v>
      </c>
      <c r="BC74" s="6">
        <f>BB74*(1+(Assumptions!$B$15))</f>
        <v>153837.16343909028</v>
      </c>
    </row>
    <row r="75" spans="1:55" x14ac:dyDescent="0.25">
      <c r="A75" s="132">
        <v>600</v>
      </c>
      <c r="B75" s="133">
        <v>481</v>
      </c>
      <c r="C75" s="134">
        <v>30816</v>
      </c>
      <c r="D75" s="134">
        <v>44440</v>
      </c>
      <c r="E75" s="135">
        <v>111960.05</v>
      </c>
      <c r="F75" s="157"/>
      <c r="G75" s="6">
        <f>IF($C75&lt;(DATE(G$2,12,31)),H75/(1+(Assumptions!$B$14)),0)</f>
        <v>0</v>
      </c>
      <c r="H75" s="6">
        <f>IF($C75&lt;(DATE(H$2,12,31)),I75/(1+(Assumptions!$B$14)),0)</f>
        <v>0</v>
      </c>
      <c r="I75" s="6">
        <f>IF($C75&lt;(DATE(I$2,12,31)),J75/(1+(Assumptions!$B$14)),0)</f>
        <v>0</v>
      </c>
      <c r="J75" s="6">
        <f>IF($C75&lt;(DATE(J$2,12,31)),K75/(1+(Assumptions!$B$14)),0)</f>
        <v>0</v>
      </c>
      <c r="K75" s="6">
        <f>IF($C75&lt;(DATE(K$2,12,31)),L75/(1+(Assumptions!$B$14)),0)</f>
        <v>0</v>
      </c>
      <c r="L75" s="6">
        <f>IF($C75&lt;(DATE(L$2,12,31)),M75/(1+(Assumptions!$B$14)),0)</f>
        <v>0</v>
      </c>
      <c r="M75" s="6">
        <f>IF($C75&lt;(DATE(M$2,12,31)),N75/(1+(Assumptions!$B$14)),0)</f>
        <v>0</v>
      </c>
      <c r="N75" s="6">
        <f>IF($C75&lt;(DATE(N$2,12,31)),O75/(1+(Assumptions!$B$14)),0)</f>
        <v>34519.373482237563</v>
      </c>
      <c r="O75" s="6">
        <f>IF($C75&lt;(DATE(O$2,12,31)),P75/(1+(Assumptions!$B$14)),0)</f>
        <v>35900.148421527068</v>
      </c>
      <c r="P75" s="6">
        <f>IF($C75&lt;(DATE(P$2,12,31)),Q75/(1+(Assumptions!$B$14)),0)</f>
        <v>37336.15435838815</v>
      </c>
      <c r="Q75" s="6">
        <f>IF($C75&lt;(DATE(Q$2,12,31)),R75/(1+(Assumptions!$B$14)),0)</f>
        <v>38829.600532723678</v>
      </c>
      <c r="R75" s="6">
        <f>IF($C75&lt;(DATE(R$2,12,31)),S75/(1+(Assumptions!$B$14)),0)</f>
        <v>40382.784554032623</v>
      </c>
      <c r="S75" s="6">
        <f>IF($C75&lt;(DATE(S$2,12,31)),T75/(1+(Assumptions!$B$14)),0)</f>
        <v>41998.095936193931</v>
      </c>
      <c r="T75" s="6">
        <f>IF($C75&lt;(DATE(T$2,12,31)),U75/(1+(Assumptions!$B$14)),0)</f>
        <v>43678.019773641689</v>
      </c>
      <c r="U75" s="6">
        <f>IF($C75&lt;(DATE(U$2,12,31)),V75/(1+(Assumptions!$B$14)),0)</f>
        <v>45425.14056458736</v>
      </c>
      <c r="V75" s="6">
        <f>IF($C75&lt;(DATE(V$2,12,31)),W75/(1+(Assumptions!$B$14)),0)</f>
        <v>47242.146187170852</v>
      </c>
      <c r="W75" s="6">
        <f>IF($C75&lt;(DATE(W$2,12,31)),X75/(1+(Assumptions!$B$14)),0)</f>
        <v>49131.832034657687</v>
      </c>
      <c r="X75" s="6">
        <f>IF($C75&lt;(DATE(X$2,12,31)),Y75/(1+(Assumptions!$B$14)),0)</f>
        <v>51097.105316043999</v>
      </c>
      <c r="Y75" s="6">
        <f>IF($C75&lt;(DATE(Y$2,12,31)),Z75/(1+(Assumptions!$B$14)),0)</f>
        <v>53140.989528685757</v>
      </c>
      <c r="Z75" s="6">
        <f>IF($C75&lt;(DATE(Z$2,12,31)),AA75/(1+(Assumptions!$B$14)),0)</f>
        <v>55266.629109833186</v>
      </c>
      <c r="AA75" s="6">
        <f>IF($C75&lt;(DATE(AA$2,12,31)),AB75/(1+(Assumptions!$B$14)),0)</f>
        <v>57477.294274226515</v>
      </c>
      <c r="AB75" s="6">
        <f>IF($C75&lt;(DATE(AB$2,12,31)),AC75/(1+(Assumptions!$B$14)),0)</f>
        <v>59776.386045195577</v>
      </c>
      <c r="AC75" s="6">
        <f>IF($C75&lt;(DATE(AC$2,12,31)),AD75/(1+(Assumptions!$B$14)),0)</f>
        <v>62167.441487003402</v>
      </c>
      <c r="AD75" s="6">
        <f>IF($C75&lt;(DATE(AD$2,12,31)),AE75/(1+(Assumptions!$B$14)),0)</f>
        <v>64654.13914648354</v>
      </c>
      <c r="AE75" s="6">
        <f>IF($C75&lt;(DATE(AE$2,12,31)),AF75/(1+(Assumptions!$B$14)),0)</f>
        <v>67240.304712342884</v>
      </c>
      <c r="AF75" s="6">
        <f>IF($C75&lt;(DATE(AF$2,12,31)),AG75/(1+(Assumptions!$B$14)),0)</f>
        <v>69929.916900836601</v>
      </c>
      <c r="AG75" s="6">
        <f>IF($C75&lt;(DATE(AG$2,12,31)),AH75/(1+(Assumptions!$B$14)),0)</f>
        <v>72727.113576870062</v>
      </c>
      <c r="AH75" s="6">
        <f>IF($C75&lt;(DATE(AH$2,12,31)),AI75/(1+(Assumptions!$B$14)),0)</f>
        <v>75636.198119944864</v>
      </c>
      <c r="AI75" s="6">
        <f>IF($C75&lt;(DATE(AI$2,12,31)),AJ75/(1+(Assumptions!$B$14)),0)</f>
        <v>78661.646044742665</v>
      </c>
      <c r="AJ75" s="6">
        <f>IF($C75&lt;(DATE(AJ$2,12,31)),AK75/(1+(Assumptions!$B$14)),0)</f>
        <v>81808.111886532381</v>
      </c>
      <c r="AK75" s="6">
        <f>IF($C75&lt;(DATE(AK$2,12,31)),AL75/(1+(Assumptions!$B$14)),0)</f>
        <v>85080.436361993678</v>
      </c>
      <c r="AL75" s="6">
        <f>IF($C75&lt;(DATE(AL$2,12,31)),AM75/(1+(Assumptions!$B$14)),0)</f>
        <v>88483.653816473423</v>
      </c>
      <c r="AM75" s="6">
        <f>IF($C75&lt;(DATE(AM$2,12,31)),AN75/(1+(Assumptions!$B$14)),0)</f>
        <v>92022.999969132361</v>
      </c>
      <c r="AN75" s="6">
        <f>IF($C75&lt;(DATE(AN$2,12,31)),AO75/(1+(Assumptions!$B$14)),0)</f>
        <v>95703.919967897658</v>
      </c>
      <c r="AO75" s="6">
        <f>IF($C75&lt;(DATE(AO$2,12,31)),AP75/(1+(Assumptions!$B$14)),0)</f>
        <v>99532.076766613565</v>
      </c>
      <c r="AP75" s="6">
        <f>IF($C75&lt;(DATE(AP$2,12,31)),AQ75/(1+(Assumptions!$B$14)),0)</f>
        <v>103513.35983727811</v>
      </c>
      <c r="AQ75" s="6">
        <f>IF($C75&lt;(DATE(AQ$2,12,31)),AR75/(1+(Assumptions!$B$14)),0)</f>
        <v>107653.89423076923</v>
      </c>
      <c r="AR75" s="6">
        <f t="shared" si="1"/>
        <v>111960.05</v>
      </c>
      <c r="AS75" s="6">
        <f>AR75*(1+(Assumptions!$B$15))</f>
        <v>115318.8515</v>
      </c>
      <c r="AT75" s="6">
        <f>AS75*(1+(Assumptions!$B$15))</f>
        <v>118778.41704500001</v>
      </c>
      <c r="AU75" s="6">
        <f>AT75*(1+(Assumptions!$B$15))</f>
        <v>122341.76955635002</v>
      </c>
      <c r="AV75" s="6">
        <f>AU75*(1+(Assumptions!$B$15))</f>
        <v>126012.02264304052</v>
      </c>
      <c r="AW75" s="6">
        <f>AV75*(1+(Assumptions!$B$15))</f>
        <v>129792.38332233173</v>
      </c>
      <c r="AX75" s="6">
        <f>AW75*(1+(Assumptions!$B$15))</f>
        <v>133686.1548220017</v>
      </c>
      <c r="AY75" s="6">
        <f>AX75*(1+(Assumptions!$B$15))</f>
        <v>137696.73946666176</v>
      </c>
      <c r="AZ75" s="6">
        <f>AY75*(1+(Assumptions!$B$15))</f>
        <v>141827.64165066162</v>
      </c>
      <c r="BA75" s="6">
        <f>AZ75*(1+(Assumptions!$B$15))</f>
        <v>146082.47090018148</v>
      </c>
      <c r="BB75" s="6">
        <f>BA75*(1+(Assumptions!$B$15))</f>
        <v>150464.94502718691</v>
      </c>
      <c r="BC75" s="6">
        <f>BB75*(1+(Assumptions!$B$15))</f>
        <v>154978.89337800251</v>
      </c>
    </row>
    <row r="76" spans="1:55" x14ac:dyDescent="0.25">
      <c r="A76" s="132">
        <v>600</v>
      </c>
      <c r="B76" s="133">
        <v>474</v>
      </c>
      <c r="C76" s="134">
        <v>30684</v>
      </c>
      <c r="D76" s="134">
        <v>46539</v>
      </c>
      <c r="E76" s="135">
        <v>112784.86</v>
      </c>
      <c r="F76" s="157"/>
      <c r="G76" s="6">
        <f>IF($C76&lt;(DATE(G$2,12,31)),H76/(1+(Assumptions!$B$14)),0)</f>
        <v>0</v>
      </c>
      <c r="H76" s="6">
        <f>IF($C76&lt;(DATE(H$2,12,31)),I76/(1+(Assumptions!$B$14)),0)</f>
        <v>0</v>
      </c>
      <c r="I76" s="6">
        <f>IF($C76&lt;(DATE(I$2,12,31)),J76/(1+(Assumptions!$B$14)),0)</f>
        <v>0</v>
      </c>
      <c r="J76" s="6">
        <f>IF($C76&lt;(DATE(J$2,12,31)),K76/(1+(Assumptions!$B$14)),0)</f>
        <v>0</v>
      </c>
      <c r="K76" s="6">
        <f>IF($C76&lt;(DATE(K$2,12,31)),L76/(1+(Assumptions!$B$14)),0)</f>
        <v>0</v>
      </c>
      <c r="L76" s="6">
        <f>IF($C76&lt;(DATE(L$2,12,31)),M76/(1+(Assumptions!$B$14)),0)</f>
        <v>0</v>
      </c>
      <c r="M76" s="6">
        <f>IF($C76&lt;(DATE(M$2,12,31)),N76/(1+(Assumptions!$B$14)),0)</f>
        <v>0</v>
      </c>
      <c r="N76" s="6">
        <f>IF($C76&lt;(DATE(N$2,12,31)),O76/(1+(Assumptions!$B$14)),0)</f>
        <v>34773.677802768696</v>
      </c>
      <c r="O76" s="6">
        <f>IF($C76&lt;(DATE(O$2,12,31)),P76/(1+(Assumptions!$B$14)),0)</f>
        <v>36164.624914879445</v>
      </c>
      <c r="P76" s="6">
        <f>IF($C76&lt;(DATE(P$2,12,31)),Q76/(1+(Assumptions!$B$14)),0)</f>
        <v>37611.209911474623</v>
      </c>
      <c r="Q76" s="6">
        <f>IF($C76&lt;(DATE(Q$2,12,31)),R76/(1+(Assumptions!$B$14)),0)</f>
        <v>39115.658307933612</v>
      </c>
      <c r="R76" s="6">
        <f>IF($C76&lt;(DATE(R$2,12,31)),S76/(1+(Assumptions!$B$14)),0)</f>
        <v>40680.28464025096</v>
      </c>
      <c r="S76" s="6">
        <f>IF($C76&lt;(DATE(S$2,12,31)),T76/(1+(Assumptions!$B$14)),0)</f>
        <v>42307.496025861001</v>
      </c>
      <c r="T76" s="6">
        <f>IF($C76&lt;(DATE(T$2,12,31)),U76/(1+(Assumptions!$B$14)),0)</f>
        <v>43999.795866895445</v>
      </c>
      <c r="U76" s="6">
        <f>IF($C76&lt;(DATE(U$2,12,31)),V76/(1+(Assumptions!$B$14)),0)</f>
        <v>45759.787701571266</v>
      </c>
      <c r="V76" s="6">
        <f>IF($C76&lt;(DATE(V$2,12,31)),W76/(1+(Assumptions!$B$14)),0)</f>
        <v>47590.179209634116</v>
      </c>
      <c r="W76" s="6">
        <f>IF($C76&lt;(DATE(W$2,12,31)),X76/(1+(Assumptions!$B$14)),0)</f>
        <v>49493.786378019482</v>
      </c>
      <c r="X76" s="6">
        <f>IF($C76&lt;(DATE(X$2,12,31)),Y76/(1+(Assumptions!$B$14)),0)</f>
        <v>51473.537833140261</v>
      </c>
      <c r="Y76" s="6">
        <f>IF($C76&lt;(DATE(Y$2,12,31)),Z76/(1+(Assumptions!$B$14)),0)</f>
        <v>53532.479346465872</v>
      </c>
      <c r="Z76" s="6">
        <f>IF($C76&lt;(DATE(Z$2,12,31)),AA76/(1+(Assumptions!$B$14)),0)</f>
        <v>55673.778520324508</v>
      </c>
      <c r="AA76" s="6">
        <f>IF($C76&lt;(DATE(AA$2,12,31)),AB76/(1+(Assumptions!$B$14)),0)</f>
        <v>57900.729661137491</v>
      </c>
      <c r="AB76" s="6">
        <f>IF($C76&lt;(DATE(AB$2,12,31)),AC76/(1+(Assumptions!$B$14)),0)</f>
        <v>60216.758847582991</v>
      </c>
      <c r="AC76" s="6">
        <f>IF($C76&lt;(DATE(AC$2,12,31)),AD76/(1+(Assumptions!$B$14)),0)</f>
        <v>62625.429201486309</v>
      </c>
      <c r="AD76" s="6">
        <f>IF($C76&lt;(DATE(AD$2,12,31)),AE76/(1+(Assumptions!$B$14)),0)</f>
        <v>65130.446369545767</v>
      </c>
      <c r="AE76" s="6">
        <f>IF($C76&lt;(DATE(AE$2,12,31)),AF76/(1+(Assumptions!$B$14)),0)</f>
        <v>67735.6642243276</v>
      </c>
      <c r="AF76" s="6">
        <f>IF($C76&lt;(DATE(AF$2,12,31)),AG76/(1+(Assumptions!$B$14)),0)</f>
        <v>70445.090793300711</v>
      </c>
      <c r="AG76" s="6">
        <f>IF($C76&lt;(DATE(AG$2,12,31)),AH76/(1+(Assumptions!$B$14)),0)</f>
        <v>73262.894425032748</v>
      </c>
      <c r="AH76" s="6">
        <f>IF($C76&lt;(DATE(AH$2,12,31)),AI76/(1+(Assumptions!$B$14)),0)</f>
        <v>76193.410202034065</v>
      </c>
      <c r="AI76" s="6">
        <f>IF($C76&lt;(DATE(AI$2,12,31)),AJ76/(1+(Assumptions!$B$14)),0)</f>
        <v>79241.146610115436</v>
      </c>
      <c r="AJ76" s="6">
        <f>IF($C76&lt;(DATE(AJ$2,12,31)),AK76/(1+(Assumptions!$B$14)),0)</f>
        <v>82410.792474520058</v>
      </c>
      <c r="AK76" s="6">
        <f>IF($C76&lt;(DATE(AK$2,12,31)),AL76/(1+(Assumptions!$B$14)),0)</f>
        <v>85707.224173500857</v>
      </c>
      <c r="AL76" s="6">
        <f>IF($C76&lt;(DATE(AL$2,12,31)),AM76/(1+(Assumptions!$B$14)),0)</f>
        <v>89135.513140440889</v>
      </c>
      <c r="AM76" s="6">
        <f>IF($C76&lt;(DATE(AM$2,12,31)),AN76/(1+(Assumptions!$B$14)),0)</f>
        <v>92700.933666058525</v>
      </c>
      <c r="AN76" s="6">
        <f>IF($C76&lt;(DATE(AN$2,12,31)),AO76/(1+(Assumptions!$B$14)),0)</f>
        <v>96408.971012700873</v>
      </c>
      <c r="AO76" s="6">
        <f>IF($C76&lt;(DATE(AO$2,12,31)),AP76/(1+(Assumptions!$B$14)),0)</f>
        <v>100265.32985320891</v>
      </c>
      <c r="AP76" s="6">
        <f>IF($C76&lt;(DATE(AP$2,12,31)),AQ76/(1+(Assumptions!$B$14)),0)</f>
        <v>104275.94304733728</v>
      </c>
      <c r="AQ76" s="6">
        <f>IF($C76&lt;(DATE(AQ$2,12,31)),AR76/(1+(Assumptions!$B$14)),0)</f>
        <v>108446.98076923077</v>
      </c>
      <c r="AR76" s="6">
        <f t="shared" si="1"/>
        <v>112784.86</v>
      </c>
      <c r="AS76" s="6">
        <f>AR76*(1+(Assumptions!$B$15))</f>
        <v>116168.40580000001</v>
      </c>
      <c r="AT76" s="6">
        <f>AS76*(1+(Assumptions!$B$15))</f>
        <v>119653.457974</v>
      </c>
      <c r="AU76" s="6">
        <f>AT76*(1+(Assumptions!$B$15))</f>
        <v>123243.06171322001</v>
      </c>
      <c r="AV76" s="6">
        <f>AU76*(1+(Assumptions!$B$15))</f>
        <v>126940.35356461661</v>
      </c>
      <c r="AW76" s="6">
        <f>AV76*(1+(Assumptions!$B$15))</f>
        <v>130748.56417155512</v>
      </c>
      <c r="AX76" s="6">
        <f>AW76*(1+(Assumptions!$B$15))</f>
        <v>134671.02109670176</v>
      </c>
      <c r="AY76" s="6">
        <f>AX76*(1+(Assumptions!$B$15))</f>
        <v>138711.15172960283</v>
      </c>
      <c r="AZ76" s="6">
        <f>AY76*(1+(Assumptions!$B$15))</f>
        <v>142872.48628149091</v>
      </c>
      <c r="BA76" s="6">
        <f>AZ76*(1+(Assumptions!$B$15))</f>
        <v>147158.66086993564</v>
      </c>
      <c r="BB76" s="6">
        <f>BA76*(1+(Assumptions!$B$15))</f>
        <v>151573.42069603372</v>
      </c>
      <c r="BC76" s="6">
        <f>BB76*(1+(Assumptions!$B$15))</f>
        <v>156120.62331691475</v>
      </c>
    </row>
    <row r="77" spans="1:55" x14ac:dyDescent="0.25">
      <c r="A77" s="132">
        <v>600</v>
      </c>
      <c r="B77" s="133">
        <v>452</v>
      </c>
      <c r="C77" s="134">
        <v>30187</v>
      </c>
      <c r="D77" s="134">
        <v>44743</v>
      </c>
      <c r="E77" s="135">
        <v>114434.49</v>
      </c>
      <c r="F77" s="157"/>
      <c r="G77" s="6">
        <f>IF($C77&lt;(DATE(G$2,12,31)),H77/(1+(Assumptions!$B$14)),0)</f>
        <v>0</v>
      </c>
      <c r="H77" s="6">
        <f>IF($C77&lt;(DATE(H$2,12,31)),I77/(1+(Assumptions!$B$14)),0)</f>
        <v>0</v>
      </c>
      <c r="I77" s="6">
        <f>IF($C77&lt;(DATE(I$2,12,31)),J77/(1+(Assumptions!$B$14)),0)</f>
        <v>0</v>
      </c>
      <c r="J77" s="6">
        <f>IF($C77&lt;(DATE(J$2,12,31)),K77/(1+(Assumptions!$B$14)),0)</f>
        <v>0</v>
      </c>
      <c r="K77" s="6">
        <f>IF($C77&lt;(DATE(K$2,12,31)),L77/(1+(Assumptions!$B$14)),0)</f>
        <v>0</v>
      </c>
      <c r="L77" s="6">
        <f>IF($C77&lt;(DATE(L$2,12,31)),M77/(1+(Assumptions!$B$14)),0)</f>
        <v>32620.459991695356</v>
      </c>
      <c r="M77" s="6">
        <f>IF($C77&lt;(DATE(M$2,12,31)),N77/(1+(Assumptions!$B$14)),0)</f>
        <v>33925.278391363172</v>
      </c>
      <c r="N77" s="6">
        <f>IF($C77&lt;(DATE(N$2,12,31)),O77/(1+(Assumptions!$B$14)),0)</f>
        <v>35282.289527017703</v>
      </c>
      <c r="O77" s="6">
        <f>IF($C77&lt;(DATE(O$2,12,31)),P77/(1+(Assumptions!$B$14)),0)</f>
        <v>36693.581108098413</v>
      </c>
      <c r="P77" s="6">
        <f>IF($C77&lt;(DATE(P$2,12,31)),Q77/(1+(Assumptions!$B$14)),0)</f>
        <v>38161.324352422351</v>
      </c>
      <c r="Q77" s="6">
        <f>IF($C77&lt;(DATE(Q$2,12,31)),R77/(1+(Assumptions!$B$14)),0)</f>
        <v>39687.777326519245</v>
      </c>
      <c r="R77" s="6">
        <f>IF($C77&lt;(DATE(R$2,12,31)),S77/(1+(Assumptions!$B$14)),0)</f>
        <v>41275.288419580014</v>
      </c>
      <c r="S77" s="6">
        <f>IF($C77&lt;(DATE(S$2,12,31)),T77/(1+(Assumptions!$B$14)),0)</f>
        <v>42926.299956363218</v>
      </c>
      <c r="T77" s="6">
        <f>IF($C77&lt;(DATE(T$2,12,31)),U77/(1+(Assumptions!$B$14)),0)</f>
        <v>44643.351954617749</v>
      </c>
      <c r="U77" s="6">
        <f>IF($C77&lt;(DATE(U$2,12,31)),V77/(1+(Assumptions!$B$14)),0)</f>
        <v>46429.086032802457</v>
      </c>
      <c r="V77" s="6">
        <f>IF($C77&lt;(DATE(V$2,12,31)),W77/(1+(Assumptions!$B$14)),0)</f>
        <v>48286.249474114557</v>
      </c>
      <c r="W77" s="6">
        <f>IF($C77&lt;(DATE(W$2,12,31)),X77/(1+(Assumptions!$B$14)),0)</f>
        <v>50217.699453079142</v>
      </c>
      <c r="X77" s="6">
        <f>IF($C77&lt;(DATE(X$2,12,31)),Y77/(1+(Assumptions!$B$14)),0)</f>
        <v>52226.407431202308</v>
      </c>
      <c r="Y77" s="6">
        <f>IF($C77&lt;(DATE(Y$2,12,31)),Z77/(1+(Assumptions!$B$14)),0)</f>
        <v>54315.463728450399</v>
      </c>
      <c r="Z77" s="6">
        <f>IF($C77&lt;(DATE(Z$2,12,31)),AA77/(1+(Assumptions!$B$14)),0)</f>
        <v>56488.082277588415</v>
      </c>
      <c r="AA77" s="6">
        <f>IF($C77&lt;(DATE(AA$2,12,31)),AB77/(1+(Assumptions!$B$14)),0)</f>
        <v>58747.605568691957</v>
      </c>
      <c r="AB77" s="6">
        <f>IF($C77&lt;(DATE(AB$2,12,31)),AC77/(1+(Assumptions!$B$14)),0)</f>
        <v>61097.509791439639</v>
      </c>
      <c r="AC77" s="6">
        <f>IF($C77&lt;(DATE(AC$2,12,31)),AD77/(1+(Assumptions!$B$14)),0)</f>
        <v>63541.410183097229</v>
      </c>
      <c r="AD77" s="6">
        <f>IF($C77&lt;(DATE(AD$2,12,31)),AE77/(1+(Assumptions!$B$14)),0)</f>
        <v>66083.06659042112</v>
      </c>
      <c r="AE77" s="6">
        <f>IF($C77&lt;(DATE(AE$2,12,31)),AF77/(1+(Assumptions!$B$14)),0)</f>
        <v>68726.38925403796</v>
      </c>
      <c r="AF77" s="6">
        <f>IF($C77&lt;(DATE(AF$2,12,31)),AG77/(1+(Assumptions!$B$14)),0)</f>
        <v>71475.444824199483</v>
      </c>
      <c r="AG77" s="6">
        <f>IF($C77&lt;(DATE(AG$2,12,31)),AH77/(1+(Assumptions!$B$14)),0)</f>
        <v>74334.462617167461</v>
      </c>
      <c r="AH77" s="6">
        <f>IF($C77&lt;(DATE(AH$2,12,31)),AI77/(1+(Assumptions!$B$14)),0)</f>
        <v>77307.841121854159</v>
      </c>
      <c r="AI77" s="6">
        <f>IF($C77&lt;(DATE(AI$2,12,31)),AJ77/(1+(Assumptions!$B$14)),0)</f>
        <v>80400.15476672833</v>
      </c>
      <c r="AJ77" s="6">
        <f>IF($C77&lt;(DATE(AJ$2,12,31)),AK77/(1+(Assumptions!$B$14)),0)</f>
        <v>83616.160957397471</v>
      </c>
      <c r="AK77" s="6">
        <f>IF($C77&lt;(DATE(AK$2,12,31)),AL77/(1+(Assumptions!$B$14)),0)</f>
        <v>86960.807395693366</v>
      </c>
      <c r="AL77" s="6">
        <f>IF($C77&lt;(DATE(AL$2,12,31)),AM77/(1+(Assumptions!$B$14)),0)</f>
        <v>90439.239691521099</v>
      </c>
      <c r="AM77" s="6">
        <f>IF($C77&lt;(DATE(AM$2,12,31)),AN77/(1+(Assumptions!$B$14)),0)</f>
        <v>94056.809279181951</v>
      </c>
      <c r="AN77" s="6">
        <f>IF($C77&lt;(DATE(AN$2,12,31)),AO77/(1+(Assumptions!$B$14)),0)</f>
        <v>97819.081650349239</v>
      </c>
      <c r="AO77" s="6">
        <f>IF($C77&lt;(DATE(AO$2,12,31)),AP77/(1+(Assumptions!$B$14)),0)</f>
        <v>101731.84491636322</v>
      </c>
      <c r="AP77" s="6">
        <f>IF($C77&lt;(DATE(AP$2,12,31)),AQ77/(1+(Assumptions!$B$14)),0)</f>
        <v>105801.11871301776</v>
      </c>
      <c r="AQ77" s="6">
        <f>IF($C77&lt;(DATE(AQ$2,12,31)),AR77/(1+(Assumptions!$B$14)),0)</f>
        <v>110033.16346153847</v>
      </c>
      <c r="AR77" s="6">
        <f t="shared" si="1"/>
        <v>114434.49</v>
      </c>
      <c r="AS77" s="6">
        <f>AR77*(1+(Assumptions!$B$15))</f>
        <v>117867.52470000001</v>
      </c>
      <c r="AT77" s="6">
        <f>AS77*(1+(Assumptions!$B$15))</f>
        <v>121403.55044100001</v>
      </c>
      <c r="AU77" s="6">
        <f>AT77*(1+(Assumptions!$B$15))</f>
        <v>125045.65695423001</v>
      </c>
      <c r="AV77" s="6">
        <f>AU77*(1+(Assumptions!$B$15))</f>
        <v>128797.02666285692</v>
      </c>
      <c r="AW77" s="6">
        <f>AV77*(1+(Assumptions!$B$15))</f>
        <v>132660.93746274264</v>
      </c>
      <c r="AX77" s="6">
        <f>AW77*(1+(Assumptions!$B$15))</f>
        <v>136640.76558662494</v>
      </c>
      <c r="AY77" s="6">
        <f>AX77*(1+(Assumptions!$B$15))</f>
        <v>140739.9885542237</v>
      </c>
      <c r="AZ77" s="6">
        <f>AY77*(1+(Assumptions!$B$15))</f>
        <v>144962.18821085041</v>
      </c>
      <c r="BA77" s="6">
        <f>AZ77*(1+(Assumptions!$B$15))</f>
        <v>149311.05385717592</v>
      </c>
      <c r="BB77" s="6">
        <f>BA77*(1+(Assumptions!$B$15))</f>
        <v>153790.38547289121</v>
      </c>
      <c r="BC77" s="6">
        <f>BB77*(1+(Assumptions!$B$15))</f>
        <v>158404.09703707794</v>
      </c>
    </row>
    <row r="78" spans="1:55" x14ac:dyDescent="0.25">
      <c r="A78" s="132">
        <v>600</v>
      </c>
      <c r="B78" s="133">
        <v>391</v>
      </c>
      <c r="C78" s="134">
        <v>29619</v>
      </c>
      <c r="D78" s="134">
        <v>45778</v>
      </c>
      <c r="E78" s="135">
        <v>116084.11</v>
      </c>
      <c r="F78" s="157"/>
      <c r="G78" s="6">
        <f>IF($C78&lt;(DATE(G$2,12,31)),H78/(1+(Assumptions!$B$14)),0)</f>
        <v>0</v>
      </c>
      <c r="H78" s="6">
        <f>IF($C78&lt;(DATE(H$2,12,31)),I78/(1+(Assumptions!$B$14)),0)</f>
        <v>0</v>
      </c>
      <c r="I78" s="6">
        <f>IF($C78&lt;(DATE(I$2,12,31)),J78/(1+(Assumptions!$B$14)),0)</f>
        <v>0</v>
      </c>
      <c r="J78" s="6">
        <f>IF($C78&lt;(DATE(J$2,12,31)),K78/(1+(Assumptions!$B$14)),0)</f>
        <v>0</v>
      </c>
      <c r="K78" s="6">
        <f>IF($C78&lt;(DATE(K$2,12,31)),L78/(1+(Assumptions!$B$14)),0)</f>
        <v>31817.978144984645</v>
      </c>
      <c r="L78" s="6">
        <f>IF($C78&lt;(DATE(L$2,12,31)),M78/(1+(Assumptions!$B$14)),0)</f>
        <v>33090.697270784032</v>
      </c>
      <c r="M78" s="6">
        <f>IF($C78&lt;(DATE(M$2,12,31)),N78/(1+(Assumptions!$B$14)),0)</f>
        <v>34414.325161615394</v>
      </c>
      <c r="N78" s="6">
        <f>IF($C78&lt;(DATE(N$2,12,31)),O78/(1+(Assumptions!$B$14)),0)</f>
        <v>35790.898168080013</v>
      </c>
      <c r="O78" s="6">
        <f>IF($C78&lt;(DATE(O$2,12,31)),P78/(1+(Assumptions!$B$14)),0)</f>
        <v>37222.534094803217</v>
      </c>
      <c r="P78" s="6">
        <f>IF($C78&lt;(DATE(P$2,12,31)),Q78/(1+(Assumptions!$B$14)),0)</f>
        <v>38711.435458595348</v>
      </c>
      <c r="Q78" s="6">
        <f>IF($C78&lt;(DATE(Q$2,12,31)),R78/(1+(Assumptions!$B$14)),0)</f>
        <v>40259.892876939164</v>
      </c>
      <c r="R78" s="6">
        <f>IF($C78&lt;(DATE(R$2,12,31)),S78/(1+(Assumptions!$B$14)),0)</f>
        <v>41870.288592016732</v>
      </c>
      <c r="S78" s="6">
        <f>IF($C78&lt;(DATE(S$2,12,31)),T78/(1+(Assumptions!$B$14)),0)</f>
        <v>43545.100135697401</v>
      </c>
      <c r="T78" s="6">
        <f>IF($C78&lt;(DATE(T$2,12,31)),U78/(1+(Assumptions!$B$14)),0)</f>
        <v>45286.904141125298</v>
      </c>
      <c r="U78" s="6">
        <f>IF($C78&lt;(DATE(U$2,12,31)),V78/(1+(Assumptions!$B$14)),0)</f>
        <v>47098.380306770312</v>
      </c>
      <c r="V78" s="6">
        <f>IF($C78&lt;(DATE(V$2,12,31)),W78/(1+(Assumptions!$B$14)),0)</f>
        <v>48982.315519041127</v>
      </c>
      <c r="W78" s="6">
        <f>IF($C78&lt;(DATE(W$2,12,31)),X78/(1+(Assumptions!$B$14)),0)</f>
        <v>50941.608139802775</v>
      </c>
      <c r="X78" s="6">
        <f>IF($C78&lt;(DATE(X$2,12,31)),Y78/(1+(Assumptions!$B$14)),0)</f>
        <v>52979.27246539489</v>
      </c>
      <c r="Y78" s="6">
        <f>IF($C78&lt;(DATE(Y$2,12,31)),Z78/(1+(Assumptions!$B$14)),0)</f>
        <v>55098.443364010687</v>
      </c>
      <c r="Z78" s="6">
        <f>IF($C78&lt;(DATE(Z$2,12,31)),AA78/(1+(Assumptions!$B$14)),0)</f>
        <v>57302.381098571117</v>
      </c>
      <c r="AA78" s="6">
        <f>IF($C78&lt;(DATE(AA$2,12,31)),AB78/(1+(Assumptions!$B$14)),0)</f>
        <v>59594.476342513961</v>
      </c>
      <c r="AB78" s="6">
        <f>IF($C78&lt;(DATE(AB$2,12,31)),AC78/(1+(Assumptions!$B$14)),0)</f>
        <v>61978.255396214525</v>
      </c>
      <c r="AC78" s="6">
        <f>IF($C78&lt;(DATE(AC$2,12,31)),AD78/(1+(Assumptions!$B$14)),0)</f>
        <v>64457.38561206311</v>
      </c>
      <c r="AD78" s="6">
        <f>IF($C78&lt;(DATE(AD$2,12,31)),AE78/(1+(Assumptions!$B$14)),0)</f>
        <v>67035.681036545633</v>
      </c>
      <c r="AE78" s="6">
        <f>IF($C78&lt;(DATE(AE$2,12,31)),AF78/(1+(Assumptions!$B$14)),0)</f>
        <v>69717.108278007465</v>
      </c>
      <c r="AF78" s="6">
        <f>IF($C78&lt;(DATE(AF$2,12,31)),AG78/(1+(Assumptions!$B$14)),0)</f>
        <v>72505.792609127762</v>
      </c>
      <c r="AG78" s="6">
        <f>IF($C78&lt;(DATE(AG$2,12,31)),AH78/(1+(Assumptions!$B$14)),0)</f>
        <v>75406.024313492875</v>
      </c>
      <c r="AH78" s="6">
        <f>IF($C78&lt;(DATE(AH$2,12,31)),AI78/(1+(Assumptions!$B$14)),0)</f>
        <v>78422.265286032591</v>
      </c>
      <c r="AI78" s="6">
        <f>IF($C78&lt;(DATE(AI$2,12,31)),AJ78/(1+(Assumptions!$B$14)),0)</f>
        <v>81559.155897473902</v>
      </c>
      <c r="AJ78" s="6">
        <f>IF($C78&lt;(DATE(AJ$2,12,31)),AK78/(1+(Assumptions!$B$14)),0)</f>
        <v>84821.522133372855</v>
      </c>
      <c r="AK78" s="6">
        <f>IF($C78&lt;(DATE(AK$2,12,31)),AL78/(1+(Assumptions!$B$14)),0)</f>
        <v>88214.383018707769</v>
      </c>
      <c r="AL78" s="6">
        <f>IF($C78&lt;(DATE(AL$2,12,31)),AM78/(1+(Assumptions!$B$14)),0)</f>
        <v>91742.958339456076</v>
      </c>
      <c r="AM78" s="6">
        <f>IF($C78&lt;(DATE(AM$2,12,31)),AN78/(1+(Assumptions!$B$14)),0)</f>
        <v>95412.676673034322</v>
      </c>
      <c r="AN78" s="6">
        <f>IF($C78&lt;(DATE(AN$2,12,31)),AO78/(1+(Assumptions!$B$14)),0)</f>
        <v>99229.183739955697</v>
      </c>
      <c r="AO78" s="6">
        <f>IF($C78&lt;(DATE(AO$2,12,31)),AP78/(1+(Assumptions!$B$14)),0)</f>
        <v>103198.35108955392</v>
      </c>
      <c r="AP78" s="6">
        <f>IF($C78&lt;(DATE(AP$2,12,31)),AQ78/(1+(Assumptions!$B$14)),0)</f>
        <v>107326.28513313609</v>
      </c>
      <c r="AQ78" s="6">
        <f>IF($C78&lt;(DATE(AQ$2,12,31)),AR78/(1+(Assumptions!$B$14)),0)</f>
        <v>111619.33653846153</v>
      </c>
      <c r="AR78" s="6">
        <f t="shared" si="1"/>
        <v>116084.11</v>
      </c>
      <c r="AS78" s="6">
        <f>AR78*(1+(Assumptions!$B$15))</f>
        <v>119566.6333</v>
      </c>
      <c r="AT78" s="6">
        <f>AS78*(1+(Assumptions!$B$15))</f>
        <v>123153.632299</v>
      </c>
      <c r="AU78" s="6">
        <f>AT78*(1+(Assumptions!$B$15))</f>
        <v>126848.24126797001</v>
      </c>
      <c r="AV78" s="6">
        <f>AU78*(1+(Assumptions!$B$15))</f>
        <v>130653.68850600912</v>
      </c>
      <c r="AW78" s="6">
        <f>AV78*(1+(Assumptions!$B$15))</f>
        <v>134573.29916118938</v>
      </c>
      <c r="AX78" s="6">
        <f>AW78*(1+(Assumptions!$B$15))</f>
        <v>138610.49813602507</v>
      </c>
      <c r="AY78" s="6">
        <f>AX78*(1+(Assumptions!$B$15))</f>
        <v>142768.81308010581</v>
      </c>
      <c r="AZ78" s="6">
        <f>AY78*(1+(Assumptions!$B$15))</f>
        <v>147051.87747250899</v>
      </c>
      <c r="BA78" s="6">
        <f>AZ78*(1+(Assumptions!$B$15))</f>
        <v>151463.43379668426</v>
      </c>
      <c r="BB78" s="6">
        <f>BA78*(1+(Assumptions!$B$15))</f>
        <v>156007.33681058479</v>
      </c>
      <c r="BC78" s="6">
        <f>BB78*(1+(Assumptions!$B$15))</f>
        <v>160687.55691490235</v>
      </c>
    </row>
    <row r="79" spans="1:55" x14ac:dyDescent="0.25">
      <c r="A79" s="132">
        <v>600</v>
      </c>
      <c r="B79" s="133">
        <v>386</v>
      </c>
      <c r="C79" s="134">
        <v>29557</v>
      </c>
      <c r="D79" s="134">
        <v>44774</v>
      </c>
      <c r="E79" s="135">
        <v>116908.92</v>
      </c>
      <c r="F79" s="157"/>
      <c r="G79" s="6">
        <f>IF($C79&lt;(DATE(G$2,12,31)),H79/(1+(Assumptions!$B$14)),0)</f>
        <v>0</v>
      </c>
      <c r="H79" s="6">
        <f>IF($C79&lt;(DATE(H$2,12,31)),I79/(1+(Assumptions!$B$14)),0)</f>
        <v>0</v>
      </c>
      <c r="I79" s="6">
        <f>IF($C79&lt;(DATE(I$2,12,31)),J79/(1+(Assumptions!$B$14)),0)</f>
        <v>0</v>
      </c>
      <c r="J79" s="6">
        <f>IF($C79&lt;(DATE(J$2,12,31)),K79/(1+(Assumptions!$B$14)),0)</f>
        <v>30811.590153779922</v>
      </c>
      <c r="K79" s="6">
        <f>IF($C79&lt;(DATE(K$2,12,31)),L79/(1+(Assumptions!$B$14)),0)</f>
        <v>32044.053759931121</v>
      </c>
      <c r="L79" s="6">
        <f>IF($C79&lt;(DATE(L$2,12,31)),M79/(1+(Assumptions!$B$14)),0)</f>
        <v>33325.815910328369</v>
      </c>
      <c r="M79" s="6">
        <f>IF($C79&lt;(DATE(M$2,12,31)),N79/(1+(Assumptions!$B$14)),0)</f>
        <v>34658.848546741501</v>
      </c>
      <c r="N79" s="6">
        <f>IF($C79&lt;(DATE(N$2,12,31)),O79/(1+(Assumptions!$B$14)),0)</f>
        <v>36045.202488611161</v>
      </c>
      <c r="O79" s="6">
        <f>IF($C79&lt;(DATE(O$2,12,31)),P79/(1+(Assumptions!$B$14)),0)</f>
        <v>37487.010588155608</v>
      </c>
      <c r="P79" s="6">
        <f>IF($C79&lt;(DATE(P$2,12,31)),Q79/(1+(Assumptions!$B$14)),0)</f>
        <v>38986.491011681836</v>
      </c>
      <c r="Q79" s="6">
        <f>IF($C79&lt;(DATE(Q$2,12,31)),R79/(1+(Assumptions!$B$14)),0)</f>
        <v>40545.950652149113</v>
      </c>
      <c r="R79" s="6">
        <f>IF($C79&lt;(DATE(R$2,12,31)),S79/(1+(Assumptions!$B$14)),0)</f>
        <v>42167.788678235076</v>
      </c>
      <c r="S79" s="6">
        <f>IF($C79&lt;(DATE(S$2,12,31)),T79/(1+(Assumptions!$B$14)),0)</f>
        <v>43854.500225364478</v>
      </c>
      <c r="T79" s="6">
        <f>IF($C79&lt;(DATE(T$2,12,31)),U79/(1+(Assumptions!$B$14)),0)</f>
        <v>45608.680234379062</v>
      </c>
      <c r="U79" s="6">
        <f>IF($C79&lt;(DATE(U$2,12,31)),V79/(1+(Assumptions!$B$14)),0)</f>
        <v>47433.027443754225</v>
      </c>
      <c r="V79" s="6">
        <f>IF($C79&lt;(DATE(V$2,12,31)),W79/(1+(Assumptions!$B$14)),0)</f>
        <v>49330.348541504398</v>
      </c>
      <c r="W79" s="6">
        <f>IF($C79&lt;(DATE(W$2,12,31)),X79/(1+(Assumptions!$B$14)),0)</f>
        <v>51303.562483164576</v>
      </c>
      <c r="X79" s="6">
        <f>IF($C79&lt;(DATE(X$2,12,31)),Y79/(1+(Assumptions!$B$14)),0)</f>
        <v>53355.704982491159</v>
      </c>
      <c r="Y79" s="6">
        <f>IF($C79&lt;(DATE(Y$2,12,31)),Z79/(1+(Assumptions!$B$14)),0)</f>
        <v>55489.93318179081</v>
      </c>
      <c r="Z79" s="6">
        <f>IF($C79&lt;(DATE(Z$2,12,31)),AA79/(1+(Assumptions!$B$14)),0)</f>
        <v>57709.530509062446</v>
      </c>
      <c r="AA79" s="6">
        <f>IF($C79&lt;(DATE(AA$2,12,31)),AB79/(1+(Assumptions!$B$14)),0)</f>
        <v>60017.911729424944</v>
      </c>
      <c r="AB79" s="6">
        <f>IF($C79&lt;(DATE(AB$2,12,31)),AC79/(1+(Assumptions!$B$14)),0)</f>
        <v>62418.628198601946</v>
      </c>
      <c r="AC79" s="6">
        <f>IF($C79&lt;(DATE(AC$2,12,31)),AD79/(1+(Assumptions!$B$14)),0)</f>
        <v>64915.373326546025</v>
      </c>
      <c r="AD79" s="6">
        <f>IF($C79&lt;(DATE(AD$2,12,31)),AE79/(1+(Assumptions!$B$14)),0)</f>
        <v>67511.988259607868</v>
      </c>
      <c r="AE79" s="6">
        <f>IF($C79&lt;(DATE(AE$2,12,31)),AF79/(1+(Assumptions!$B$14)),0)</f>
        <v>70212.467789992181</v>
      </c>
      <c r="AF79" s="6">
        <f>IF($C79&lt;(DATE(AF$2,12,31)),AG79/(1+(Assumptions!$B$14)),0)</f>
        <v>73020.966501591873</v>
      </c>
      <c r="AG79" s="6">
        <f>IF($C79&lt;(DATE(AG$2,12,31)),AH79/(1+(Assumptions!$B$14)),0)</f>
        <v>75941.805161655546</v>
      </c>
      <c r="AH79" s="6">
        <f>IF($C79&lt;(DATE(AH$2,12,31)),AI79/(1+(Assumptions!$B$14)),0)</f>
        <v>78979.477368121778</v>
      </c>
      <c r="AI79" s="6">
        <f>IF($C79&lt;(DATE(AI$2,12,31)),AJ79/(1+(Assumptions!$B$14)),0)</f>
        <v>82138.656462846659</v>
      </c>
      <c r="AJ79" s="6">
        <f>IF($C79&lt;(DATE(AJ$2,12,31)),AK79/(1+(Assumptions!$B$14)),0)</f>
        <v>85424.202721360532</v>
      </c>
      <c r="AK79" s="6">
        <f>IF($C79&lt;(DATE(AK$2,12,31)),AL79/(1+(Assumptions!$B$14)),0)</f>
        <v>88841.170830214964</v>
      </c>
      <c r="AL79" s="6">
        <f>IF($C79&lt;(DATE(AL$2,12,31)),AM79/(1+(Assumptions!$B$14)),0)</f>
        <v>92394.817663423572</v>
      </c>
      <c r="AM79" s="6">
        <f>IF($C79&lt;(DATE(AM$2,12,31)),AN79/(1+(Assumptions!$B$14)),0)</f>
        <v>96090.610369960516</v>
      </c>
      <c r="AN79" s="6">
        <f>IF($C79&lt;(DATE(AN$2,12,31)),AO79/(1+(Assumptions!$B$14)),0)</f>
        <v>99934.234784758941</v>
      </c>
      <c r="AO79" s="6">
        <f>IF($C79&lt;(DATE(AO$2,12,31)),AP79/(1+(Assumptions!$B$14)),0)</f>
        <v>103931.6041761493</v>
      </c>
      <c r="AP79" s="6">
        <f>IF($C79&lt;(DATE(AP$2,12,31)),AQ79/(1+(Assumptions!$B$14)),0)</f>
        <v>108088.86834319527</v>
      </c>
      <c r="AQ79" s="6">
        <f>IF($C79&lt;(DATE(AQ$2,12,31)),AR79/(1+(Assumptions!$B$14)),0)</f>
        <v>112412.42307692308</v>
      </c>
      <c r="AR79" s="6">
        <f t="shared" si="1"/>
        <v>116908.92</v>
      </c>
      <c r="AS79" s="6">
        <f>AR79*(1+(Assumptions!$B$15))</f>
        <v>120416.1876</v>
      </c>
      <c r="AT79" s="6">
        <f>AS79*(1+(Assumptions!$B$15))</f>
        <v>124028.67322800001</v>
      </c>
      <c r="AU79" s="6">
        <f>AT79*(1+(Assumptions!$B$15))</f>
        <v>127749.53342484002</v>
      </c>
      <c r="AV79" s="6">
        <f>AU79*(1+(Assumptions!$B$15))</f>
        <v>131582.01942758521</v>
      </c>
      <c r="AW79" s="6">
        <f>AV79*(1+(Assumptions!$B$15))</f>
        <v>135529.48001041278</v>
      </c>
      <c r="AX79" s="6">
        <f>AW79*(1+(Assumptions!$B$15))</f>
        <v>139595.36441072516</v>
      </c>
      <c r="AY79" s="6">
        <f>AX79*(1+(Assumptions!$B$15))</f>
        <v>143783.22534304691</v>
      </c>
      <c r="AZ79" s="6">
        <f>AY79*(1+(Assumptions!$B$15))</f>
        <v>148096.72210333834</v>
      </c>
      <c r="BA79" s="6">
        <f>AZ79*(1+(Assumptions!$B$15))</f>
        <v>152539.62376643848</v>
      </c>
      <c r="BB79" s="6">
        <f>BA79*(1+(Assumptions!$B$15))</f>
        <v>157115.81247943165</v>
      </c>
      <c r="BC79" s="6">
        <f>BB79*(1+(Assumptions!$B$15))</f>
        <v>161829.28685381461</v>
      </c>
    </row>
    <row r="80" spans="1:55" x14ac:dyDescent="0.25">
      <c r="A80" s="132">
        <v>600</v>
      </c>
      <c r="B80" s="133">
        <v>360</v>
      </c>
      <c r="C80" s="134">
        <v>29373</v>
      </c>
      <c r="D80" s="134">
        <v>44409</v>
      </c>
      <c r="E80" s="135">
        <v>118558.55</v>
      </c>
      <c r="F80" s="157"/>
      <c r="G80" s="6">
        <f>IF($C80&lt;(DATE(G$2,12,31)),H80/(1+(Assumptions!$B$14)),0)</f>
        <v>0</v>
      </c>
      <c r="H80" s="6">
        <f>IF($C80&lt;(DATE(H$2,12,31)),I80/(1+(Assumptions!$B$14)),0)</f>
        <v>0</v>
      </c>
      <c r="I80" s="6">
        <f>IF($C80&lt;(DATE(I$2,12,31)),J80/(1+(Assumptions!$B$14)),0)</f>
        <v>0</v>
      </c>
      <c r="J80" s="6">
        <f>IF($C80&lt;(DATE(J$2,12,31)),K80/(1+(Assumptions!$B$14)),0)</f>
        <v>31246.353587274818</v>
      </c>
      <c r="K80" s="6">
        <f>IF($C80&lt;(DATE(K$2,12,31)),L80/(1+(Assumptions!$B$14)),0)</f>
        <v>32496.207730765811</v>
      </c>
      <c r="L80" s="6">
        <f>IF($C80&lt;(DATE(L$2,12,31)),M80/(1+(Assumptions!$B$14)),0)</f>
        <v>33796.056039996445</v>
      </c>
      <c r="M80" s="6">
        <f>IF($C80&lt;(DATE(M$2,12,31)),N80/(1+(Assumptions!$B$14)),0)</f>
        <v>35147.898281596303</v>
      </c>
      <c r="N80" s="6">
        <f>IF($C80&lt;(DATE(N$2,12,31)),O80/(1+(Assumptions!$B$14)),0)</f>
        <v>36553.814212860154</v>
      </c>
      <c r="O80" s="6">
        <f>IF($C80&lt;(DATE(O$2,12,31)),P80/(1+(Assumptions!$B$14)),0)</f>
        <v>38015.966781374562</v>
      </c>
      <c r="P80" s="6">
        <f>IF($C80&lt;(DATE(P$2,12,31)),Q80/(1+(Assumptions!$B$14)),0)</f>
        <v>39536.605452629548</v>
      </c>
      <c r="Q80" s="6">
        <f>IF($C80&lt;(DATE(Q$2,12,31)),R80/(1+(Assumptions!$B$14)),0)</f>
        <v>41118.069670734731</v>
      </c>
      <c r="R80" s="6">
        <f>IF($C80&lt;(DATE(R$2,12,31)),S80/(1+(Assumptions!$B$14)),0)</f>
        <v>42762.792457564123</v>
      </c>
      <c r="S80" s="6">
        <f>IF($C80&lt;(DATE(S$2,12,31)),T80/(1+(Assumptions!$B$14)),0)</f>
        <v>44473.304155866688</v>
      </c>
      <c r="T80" s="6">
        <f>IF($C80&lt;(DATE(T$2,12,31)),U80/(1+(Assumptions!$B$14)),0)</f>
        <v>46252.236322101358</v>
      </c>
      <c r="U80" s="6">
        <f>IF($C80&lt;(DATE(U$2,12,31)),V80/(1+(Assumptions!$B$14)),0)</f>
        <v>48102.325774985417</v>
      </c>
      <c r="V80" s="6">
        <f>IF($C80&lt;(DATE(V$2,12,31)),W80/(1+(Assumptions!$B$14)),0)</f>
        <v>50026.418805984831</v>
      </c>
      <c r="W80" s="6">
        <f>IF($C80&lt;(DATE(W$2,12,31)),X80/(1+(Assumptions!$B$14)),0)</f>
        <v>52027.475558224229</v>
      </c>
      <c r="X80" s="6">
        <f>IF($C80&lt;(DATE(X$2,12,31)),Y80/(1+(Assumptions!$B$14)),0)</f>
        <v>54108.574580553199</v>
      </c>
      <c r="Y80" s="6">
        <f>IF($C80&lt;(DATE(Y$2,12,31)),Z80/(1+(Assumptions!$B$14)),0)</f>
        <v>56272.917563775329</v>
      </c>
      <c r="Z80" s="6">
        <f>IF($C80&lt;(DATE(Z$2,12,31)),AA80/(1+(Assumptions!$B$14)),0)</f>
        <v>58523.834266326347</v>
      </c>
      <c r="AA80" s="6">
        <f>IF($C80&lt;(DATE(AA$2,12,31)),AB80/(1+(Assumptions!$B$14)),0)</f>
        <v>60864.787636979403</v>
      </c>
      <c r="AB80" s="6">
        <f>IF($C80&lt;(DATE(AB$2,12,31)),AC80/(1+(Assumptions!$B$14)),0)</f>
        <v>63299.37914245858</v>
      </c>
      <c r="AC80" s="6">
        <f>IF($C80&lt;(DATE(AC$2,12,31)),AD80/(1+(Assumptions!$B$14)),0)</f>
        <v>65831.354308156922</v>
      </c>
      <c r="AD80" s="6">
        <f>IF($C80&lt;(DATE(AD$2,12,31)),AE80/(1+(Assumptions!$B$14)),0)</f>
        <v>68464.608480483206</v>
      </c>
      <c r="AE80" s="6">
        <f>IF($C80&lt;(DATE(AE$2,12,31)),AF80/(1+(Assumptions!$B$14)),0)</f>
        <v>71203.192819702541</v>
      </c>
      <c r="AF80" s="6">
        <f>IF($C80&lt;(DATE(AF$2,12,31)),AG80/(1+(Assumptions!$B$14)),0)</f>
        <v>74051.320532490645</v>
      </c>
      <c r="AG80" s="6">
        <f>IF($C80&lt;(DATE(AG$2,12,31)),AH80/(1+(Assumptions!$B$14)),0)</f>
        <v>77013.373353790274</v>
      </c>
      <c r="AH80" s="6">
        <f>IF($C80&lt;(DATE(AH$2,12,31)),AI80/(1+(Assumptions!$B$14)),0)</f>
        <v>80093.908287941886</v>
      </c>
      <c r="AI80" s="6">
        <f>IF($C80&lt;(DATE(AI$2,12,31)),AJ80/(1+(Assumptions!$B$14)),0)</f>
        <v>83297.664619459567</v>
      </c>
      <c r="AJ80" s="6">
        <f>IF($C80&lt;(DATE(AJ$2,12,31)),AK80/(1+(Assumptions!$B$14)),0)</f>
        <v>86629.571204237945</v>
      </c>
      <c r="AK80" s="6">
        <f>IF($C80&lt;(DATE(AK$2,12,31)),AL80/(1+(Assumptions!$B$14)),0)</f>
        <v>90094.754052407472</v>
      </c>
      <c r="AL80" s="6">
        <f>IF($C80&lt;(DATE(AL$2,12,31)),AM80/(1+(Assumptions!$B$14)),0)</f>
        <v>93698.544214503767</v>
      </c>
      <c r="AM80" s="6">
        <f>IF($C80&lt;(DATE(AM$2,12,31)),AN80/(1+(Assumptions!$B$14)),0)</f>
        <v>97446.485983083927</v>
      </c>
      <c r="AN80" s="6">
        <f>IF($C80&lt;(DATE(AN$2,12,31)),AO80/(1+(Assumptions!$B$14)),0)</f>
        <v>101344.34542240729</v>
      </c>
      <c r="AO80" s="6">
        <f>IF($C80&lt;(DATE(AO$2,12,31)),AP80/(1+(Assumptions!$B$14)),0)</f>
        <v>105398.11923930359</v>
      </c>
      <c r="AP80" s="6">
        <f>IF($C80&lt;(DATE(AP$2,12,31)),AQ80/(1+(Assumptions!$B$14)),0)</f>
        <v>109614.04400887573</v>
      </c>
      <c r="AQ80" s="6">
        <f>IF($C80&lt;(DATE(AQ$2,12,31)),AR80/(1+(Assumptions!$B$14)),0)</f>
        <v>113998.60576923077</v>
      </c>
      <c r="AR80" s="6">
        <f t="shared" si="1"/>
        <v>118558.55</v>
      </c>
      <c r="AS80" s="6">
        <f>AR80*(1+(Assumptions!$B$15))</f>
        <v>122115.30650000001</v>
      </c>
      <c r="AT80" s="6">
        <f>AS80*(1+(Assumptions!$B$15))</f>
        <v>125778.76569500001</v>
      </c>
      <c r="AU80" s="6">
        <f>AT80*(1+(Assumptions!$B$15))</f>
        <v>129552.12866585002</v>
      </c>
      <c r="AV80" s="6">
        <f>AU80*(1+(Assumptions!$B$15))</f>
        <v>133438.69252582552</v>
      </c>
      <c r="AW80" s="6">
        <f>AV80*(1+(Assumptions!$B$15))</f>
        <v>137441.85330160029</v>
      </c>
      <c r="AX80" s="6">
        <f>AW80*(1+(Assumptions!$B$15))</f>
        <v>141565.10890064831</v>
      </c>
      <c r="AY80" s="6">
        <f>AX80*(1+(Assumptions!$B$15))</f>
        <v>145812.06216766775</v>
      </c>
      <c r="AZ80" s="6">
        <f>AY80*(1+(Assumptions!$B$15))</f>
        <v>150186.4240326978</v>
      </c>
      <c r="BA80" s="6">
        <f>AZ80*(1+(Assumptions!$B$15))</f>
        <v>154692.01675367873</v>
      </c>
      <c r="BB80" s="6">
        <f>BA80*(1+(Assumptions!$B$15))</f>
        <v>159332.77725628909</v>
      </c>
      <c r="BC80" s="6">
        <f>BB80*(1+(Assumptions!$B$15))</f>
        <v>164112.76057397778</v>
      </c>
    </row>
    <row r="81" spans="1:55" ht="13.8" thickBot="1" x14ac:dyDescent="0.3">
      <c r="A81" s="136">
        <v>600</v>
      </c>
      <c r="B81" s="137">
        <v>316</v>
      </c>
      <c r="C81" s="138">
        <v>28185</v>
      </c>
      <c r="D81" s="138">
        <v>45078</v>
      </c>
      <c r="E81" s="139">
        <v>119383.36</v>
      </c>
      <c r="F81" s="158"/>
      <c r="G81" s="6">
        <f>IF($C81&lt;(DATE(G$2,12,31)),H81/(1+(Assumptions!$B$14)),0)</f>
        <v>27971.144943977062</v>
      </c>
      <c r="H81" s="6">
        <f>IF($C81&lt;(DATE(H$2,12,31)),I81/(1+(Assumptions!$B$14)),0)</f>
        <v>29089.990741736146</v>
      </c>
      <c r="I81" s="6">
        <f>IF($C81&lt;(DATE(I$2,12,31)),J81/(1+(Assumptions!$B$14)),0)</f>
        <v>30253.590371405593</v>
      </c>
      <c r="J81" s="6">
        <f>IF($C81&lt;(DATE(J$2,12,31)),K81/(1+(Assumptions!$B$14)),0)</f>
        <v>31463.733986261817</v>
      </c>
      <c r="K81" s="6">
        <f>IF($C81&lt;(DATE(K$2,12,31)),L81/(1+(Assumptions!$B$14)),0)</f>
        <v>32722.283345712291</v>
      </c>
      <c r="L81" s="6">
        <f>IF($C81&lt;(DATE(L$2,12,31)),M81/(1+(Assumptions!$B$14)),0)</f>
        <v>34031.174679540782</v>
      </c>
      <c r="M81" s="6">
        <f>IF($C81&lt;(DATE(M$2,12,31)),N81/(1+(Assumptions!$B$14)),0)</f>
        <v>35392.421666722417</v>
      </c>
      <c r="N81" s="6">
        <f>IF($C81&lt;(DATE(N$2,12,31)),O81/(1+(Assumptions!$B$14)),0)</f>
        <v>36808.118533391316</v>
      </c>
      <c r="O81" s="6">
        <f>IF($C81&lt;(DATE(O$2,12,31)),P81/(1+(Assumptions!$B$14)),0)</f>
        <v>38280.443274726968</v>
      </c>
      <c r="P81" s="6">
        <f>IF($C81&lt;(DATE(P$2,12,31)),Q81/(1+(Assumptions!$B$14)),0)</f>
        <v>39811.661005716051</v>
      </c>
      <c r="Q81" s="6">
        <f>IF($C81&lt;(DATE(Q$2,12,31)),R81/(1+(Assumptions!$B$14)),0)</f>
        <v>41404.127445944694</v>
      </c>
      <c r="R81" s="6">
        <f>IF($C81&lt;(DATE(R$2,12,31)),S81/(1+(Assumptions!$B$14)),0)</f>
        <v>43060.292543782482</v>
      </c>
      <c r="S81" s="6">
        <f>IF($C81&lt;(DATE(S$2,12,31)),T81/(1+(Assumptions!$B$14)),0)</f>
        <v>44782.70424553378</v>
      </c>
      <c r="T81" s="6">
        <f>IF($C81&lt;(DATE(T$2,12,31)),U81/(1+(Assumptions!$B$14)),0)</f>
        <v>46574.01241535513</v>
      </c>
      <c r="U81" s="6">
        <f>IF($C81&lt;(DATE(U$2,12,31)),V81/(1+(Assumptions!$B$14)),0)</f>
        <v>48436.972911969337</v>
      </c>
      <c r="V81" s="6">
        <f>IF($C81&lt;(DATE(V$2,12,31)),W81/(1+(Assumptions!$B$14)),0)</f>
        <v>50374.451828448109</v>
      </c>
      <c r="W81" s="6">
        <f>IF($C81&lt;(DATE(W$2,12,31)),X81/(1+(Assumptions!$B$14)),0)</f>
        <v>52389.429901586038</v>
      </c>
      <c r="X81" s="6">
        <f>IF($C81&lt;(DATE(X$2,12,31)),Y81/(1+(Assumptions!$B$14)),0)</f>
        <v>54485.007097649483</v>
      </c>
      <c r="Y81" s="6">
        <f>IF($C81&lt;(DATE(Y$2,12,31)),Z81/(1+(Assumptions!$B$14)),0)</f>
        <v>56664.407381555466</v>
      </c>
      <c r="Z81" s="6">
        <f>IF($C81&lt;(DATE(Z$2,12,31)),AA81/(1+(Assumptions!$B$14)),0)</f>
        <v>58930.983676817683</v>
      </c>
      <c r="AA81" s="6">
        <f>IF($C81&lt;(DATE(AA$2,12,31)),AB81/(1+(Assumptions!$B$14)),0)</f>
        <v>61288.223023890394</v>
      </c>
      <c r="AB81" s="6">
        <f>IF($C81&lt;(DATE(AB$2,12,31)),AC81/(1+(Assumptions!$B$14)),0)</f>
        <v>63739.751944846015</v>
      </c>
      <c r="AC81" s="6">
        <f>IF($C81&lt;(DATE(AC$2,12,31)),AD81/(1+(Assumptions!$B$14)),0)</f>
        <v>66289.342022639859</v>
      </c>
      <c r="AD81" s="6">
        <f>IF($C81&lt;(DATE(AD$2,12,31)),AE81/(1+(Assumptions!$B$14)),0)</f>
        <v>68940.915703545455</v>
      </c>
      <c r="AE81" s="6">
        <f>IF($C81&lt;(DATE(AE$2,12,31)),AF81/(1+(Assumptions!$B$14)),0)</f>
        <v>71698.552331687271</v>
      </c>
      <c r="AF81" s="6">
        <f>IF($C81&lt;(DATE(AF$2,12,31)),AG81/(1+(Assumptions!$B$14)),0)</f>
        <v>74566.49442495477</v>
      </c>
      <c r="AG81" s="6">
        <f>IF($C81&lt;(DATE(AG$2,12,31)),AH81/(1+(Assumptions!$B$14)),0)</f>
        <v>77549.154201952959</v>
      </c>
      <c r="AH81" s="6">
        <f>IF($C81&lt;(DATE(AH$2,12,31)),AI81/(1+(Assumptions!$B$14)),0)</f>
        <v>80651.120370031073</v>
      </c>
      <c r="AI81" s="6">
        <f>IF($C81&lt;(DATE(AI$2,12,31)),AJ81/(1+(Assumptions!$B$14)),0)</f>
        <v>83877.165184832324</v>
      </c>
      <c r="AJ81" s="6">
        <f>IF($C81&lt;(DATE(AJ$2,12,31)),AK81/(1+(Assumptions!$B$14)),0)</f>
        <v>87232.251792225623</v>
      </c>
      <c r="AK81" s="6">
        <f>IF($C81&lt;(DATE(AK$2,12,31)),AL81/(1+(Assumptions!$B$14)),0)</f>
        <v>90721.541863914652</v>
      </c>
      <c r="AL81" s="6">
        <f>IF($C81&lt;(DATE(AL$2,12,31)),AM81/(1+(Assumptions!$B$14)),0)</f>
        <v>94350.403538471248</v>
      </c>
      <c r="AM81" s="6">
        <f>IF($C81&lt;(DATE(AM$2,12,31)),AN81/(1+(Assumptions!$B$14)),0)</f>
        <v>98124.419680010105</v>
      </c>
      <c r="AN81" s="6">
        <f>IF($C81&lt;(DATE(AN$2,12,31)),AO81/(1+(Assumptions!$B$14)),0)</f>
        <v>102049.39646721051</v>
      </c>
      <c r="AO81" s="6">
        <f>IF($C81&lt;(DATE(AO$2,12,31)),AP81/(1+(Assumptions!$B$14)),0)</f>
        <v>106131.37232589893</v>
      </c>
      <c r="AP81" s="6">
        <f>IF($C81&lt;(DATE(AP$2,12,31)),AQ81/(1+(Assumptions!$B$14)),0)</f>
        <v>110376.6272189349</v>
      </c>
      <c r="AQ81" s="6">
        <f>IF($C81&lt;(DATE(AQ$2,12,31)),AR81/(1+(Assumptions!$B$14)),0)</f>
        <v>114791.6923076923</v>
      </c>
      <c r="AR81" s="6">
        <f t="shared" si="1"/>
        <v>119383.36</v>
      </c>
      <c r="AS81" s="6">
        <f>AR81*(1+(Assumptions!$B$15))</f>
        <v>122964.86080000001</v>
      </c>
      <c r="AT81" s="6">
        <f>AS81*(1+(Assumptions!$B$15))</f>
        <v>126653.80662400002</v>
      </c>
      <c r="AU81" s="6">
        <f>AT81*(1+(Assumptions!$B$15))</f>
        <v>130453.42082272003</v>
      </c>
      <c r="AV81" s="6">
        <f>AU81*(1+(Assumptions!$B$15))</f>
        <v>134367.02344740165</v>
      </c>
      <c r="AW81" s="6">
        <f>AV81*(1+(Assumptions!$B$15))</f>
        <v>138398.03415082369</v>
      </c>
      <c r="AX81" s="6">
        <f>AW81*(1+(Assumptions!$B$15))</f>
        <v>142549.9751753484</v>
      </c>
      <c r="AY81" s="6">
        <f>AX81*(1+(Assumptions!$B$15))</f>
        <v>146826.47443060885</v>
      </c>
      <c r="AZ81" s="6">
        <f>AY81*(1+(Assumptions!$B$15))</f>
        <v>151231.26866352712</v>
      </c>
      <c r="BA81" s="6">
        <f>AZ81*(1+(Assumptions!$B$15))</f>
        <v>155768.20672343293</v>
      </c>
      <c r="BB81" s="6">
        <f>BA81*(1+(Assumptions!$B$15))</f>
        <v>160441.25292513592</v>
      </c>
      <c r="BC81" s="6">
        <f>BB81*(1+(Assumptions!$B$15))</f>
        <v>165254.49051289001</v>
      </c>
    </row>
  </sheetData>
  <mergeCells count="5">
    <mergeCell ref="E1:E2"/>
    <mergeCell ref="D1:D2"/>
    <mergeCell ref="C1:C2"/>
    <mergeCell ref="B1:B2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81"/>
  <sheetViews>
    <sheetView showGridLine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K10" sqref="K10"/>
    </sheetView>
  </sheetViews>
  <sheetFormatPr defaultColWidth="11.5546875" defaultRowHeight="13.2" x14ac:dyDescent="0.25"/>
  <cols>
    <col min="1" max="2" width="8.77734375" customWidth="1"/>
    <col min="3" max="3" width="12.77734375" bestFit="1" customWidth="1"/>
    <col min="4" max="4" width="18.44140625" bestFit="1" customWidth="1"/>
    <col min="5" max="5" width="22.109375" bestFit="1" customWidth="1"/>
    <col min="6" max="6" width="8.77734375" customWidth="1"/>
    <col min="7" max="55" width="12.77734375" customWidth="1"/>
    <col min="56" max="59" width="8.77734375" customWidth="1"/>
    <col min="60" max="60" width="10.33203125" bestFit="1" customWidth="1"/>
    <col min="61" max="221" width="8.77734375" customWidth="1"/>
  </cols>
  <sheetData>
    <row r="1" spans="1:60" x14ac:dyDescent="0.25">
      <c r="A1" s="206"/>
      <c r="B1" s="142" t="s">
        <v>0</v>
      </c>
      <c r="C1" s="142" t="s">
        <v>4</v>
      </c>
      <c r="D1" s="142" t="s">
        <v>28</v>
      </c>
      <c r="E1" s="120" t="s">
        <v>2</v>
      </c>
      <c r="F1" s="166" t="s">
        <v>17</v>
      </c>
      <c r="G1" s="167">
        <v>9300</v>
      </c>
      <c r="H1" s="167">
        <v>10400</v>
      </c>
      <c r="I1" s="167">
        <v>11700</v>
      </c>
      <c r="J1" s="167">
        <v>13100</v>
      </c>
      <c r="K1" s="167">
        <v>14700</v>
      </c>
      <c r="L1" s="167">
        <v>16500</v>
      </c>
      <c r="M1" s="167">
        <v>18500</v>
      </c>
      <c r="N1" s="167">
        <v>20800</v>
      </c>
      <c r="O1" s="167">
        <v>23400</v>
      </c>
      <c r="P1" s="167">
        <v>25800</v>
      </c>
      <c r="Q1" s="167">
        <v>25900</v>
      </c>
      <c r="R1" s="167">
        <v>26500</v>
      </c>
      <c r="S1" s="167">
        <v>27700</v>
      </c>
      <c r="T1" s="167">
        <v>28900</v>
      </c>
      <c r="U1" s="167">
        <v>30500</v>
      </c>
      <c r="V1" s="167">
        <v>32200</v>
      </c>
      <c r="W1" s="167">
        <v>33400</v>
      </c>
      <c r="X1" s="167">
        <v>34400</v>
      </c>
      <c r="Y1" s="167">
        <v>34900</v>
      </c>
      <c r="Z1" s="167">
        <v>35400</v>
      </c>
      <c r="AA1" s="167">
        <v>35800</v>
      </c>
      <c r="AB1" s="167">
        <v>36900</v>
      </c>
      <c r="AC1" s="167">
        <v>37400</v>
      </c>
      <c r="AD1" s="167">
        <v>37600</v>
      </c>
      <c r="AE1" s="167">
        <v>38300</v>
      </c>
      <c r="AF1" s="167">
        <v>39100</v>
      </c>
      <c r="AG1" s="167">
        <v>39900</v>
      </c>
      <c r="AH1" s="167">
        <v>40500</v>
      </c>
      <c r="AI1" s="167">
        <v>41100</v>
      </c>
      <c r="AJ1" s="167">
        <v>42100</v>
      </c>
      <c r="AK1" s="167">
        <v>43700</v>
      </c>
      <c r="AL1" s="167">
        <v>44900</v>
      </c>
      <c r="AM1" s="167">
        <v>46300</v>
      </c>
      <c r="AN1" s="167">
        <v>47200</v>
      </c>
      <c r="AO1" s="167">
        <v>48300</v>
      </c>
      <c r="AP1" s="167">
        <v>50100</v>
      </c>
      <c r="AQ1" s="167">
        <v>51100</v>
      </c>
      <c r="AR1" s="167">
        <v>52500</v>
      </c>
      <c r="AS1" s="167">
        <v>53600</v>
      </c>
      <c r="AT1" s="167">
        <v>54900</v>
      </c>
      <c r="AU1" s="167">
        <v>55300</v>
      </c>
      <c r="AV1" s="167">
        <v>55900</v>
      </c>
      <c r="AW1" s="167">
        <v>57400</v>
      </c>
      <c r="AX1" s="168">
        <f>AW1*(1+Assumptions!$B$16)</f>
        <v>59696</v>
      </c>
      <c r="AY1" s="168">
        <f>AX1*(1+Assumptions!$B$16)</f>
        <v>62083.840000000004</v>
      </c>
      <c r="AZ1" s="168">
        <f>AY1*(1+Assumptions!$B$16)</f>
        <v>64567.193600000006</v>
      </c>
      <c r="BA1" s="168">
        <f>AZ1*(1+Assumptions!$B$16)</f>
        <v>67149.881344000009</v>
      </c>
      <c r="BB1" s="168">
        <f>BA1*(1+Assumptions!$B$16)</f>
        <v>69835.876597760012</v>
      </c>
      <c r="BC1" s="169">
        <f>BB1*(1+Assumptions!$B$16)</f>
        <v>72629.311661670421</v>
      </c>
    </row>
    <row r="2" spans="1:60" ht="13.8" thickBot="1" x14ac:dyDescent="0.3">
      <c r="A2" s="205"/>
      <c r="B2" s="143"/>
      <c r="C2" s="143"/>
      <c r="D2" s="143"/>
      <c r="E2" s="121"/>
      <c r="F2" s="170" t="s">
        <v>16</v>
      </c>
      <c r="G2" s="152">
        <v>1977</v>
      </c>
      <c r="H2" s="152">
        <v>1978</v>
      </c>
      <c r="I2" s="152">
        <v>1979</v>
      </c>
      <c r="J2" s="152">
        <v>1980</v>
      </c>
      <c r="K2" s="152">
        <v>1981</v>
      </c>
      <c r="L2" s="152">
        <v>1982</v>
      </c>
      <c r="M2" s="152">
        <v>1983</v>
      </c>
      <c r="N2" s="152">
        <v>1984</v>
      </c>
      <c r="O2" s="152">
        <v>1985</v>
      </c>
      <c r="P2" s="152">
        <v>1986</v>
      </c>
      <c r="Q2" s="152">
        <v>1987</v>
      </c>
      <c r="R2" s="152">
        <v>1988</v>
      </c>
      <c r="S2" s="152">
        <v>1989</v>
      </c>
      <c r="T2" s="152">
        <v>1990</v>
      </c>
      <c r="U2" s="152">
        <v>1991</v>
      </c>
      <c r="V2" s="152">
        <v>1992</v>
      </c>
      <c r="W2" s="152">
        <v>1993</v>
      </c>
      <c r="X2" s="152">
        <v>1994</v>
      </c>
      <c r="Y2" s="152">
        <v>1995</v>
      </c>
      <c r="Z2" s="152">
        <v>1996</v>
      </c>
      <c r="AA2" s="152">
        <v>1997</v>
      </c>
      <c r="AB2" s="152">
        <v>1998</v>
      </c>
      <c r="AC2" s="152">
        <v>1999</v>
      </c>
      <c r="AD2" s="152">
        <v>2000</v>
      </c>
      <c r="AE2" s="152">
        <v>2001</v>
      </c>
      <c r="AF2" s="152">
        <v>2002</v>
      </c>
      <c r="AG2" s="152">
        <v>2003</v>
      </c>
      <c r="AH2" s="152">
        <v>2004</v>
      </c>
      <c r="AI2" s="152">
        <v>2005</v>
      </c>
      <c r="AJ2" s="152">
        <v>2006</v>
      </c>
      <c r="AK2" s="152">
        <v>2007</v>
      </c>
      <c r="AL2" s="152">
        <v>2008</v>
      </c>
      <c r="AM2" s="152">
        <v>2009</v>
      </c>
      <c r="AN2" s="152">
        <v>2010</v>
      </c>
      <c r="AO2" s="152">
        <v>2011</v>
      </c>
      <c r="AP2" s="152">
        <v>2012</v>
      </c>
      <c r="AQ2" s="152">
        <v>2013</v>
      </c>
      <c r="AR2" s="152">
        <v>2014</v>
      </c>
      <c r="AS2" s="152">
        <v>2015</v>
      </c>
      <c r="AT2" s="152">
        <v>2016</v>
      </c>
      <c r="AU2" s="152">
        <v>2017</v>
      </c>
      <c r="AV2" s="152">
        <v>2018</v>
      </c>
      <c r="AW2" s="152">
        <v>2019</v>
      </c>
      <c r="AX2" s="152">
        <v>2020</v>
      </c>
      <c r="AY2" s="152">
        <v>2021</v>
      </c>
      <c r="AZ2" s="152">
        <v>2022</v>
      </c>
      <c r="BA2" s="152">
        <v>2023</v>
      </c>
      <c r="BB2" s="152">
        <v>2024</v>
      </c>
      <c r="BC2" s="153">
        <v>2025</v>
      </c>
      <c r="BF2" s="5"/>
      <c r="BH2" s="16"/>
    </row>
    <row r="3" spans="1:60" x14ac:dyDescent="0.25">
      <c r="A3" s="204">
        <v>1</v>
      </c>
      <c r="B3" s="1">
        <v>500</v>
      </c>
      <c r="C3" s="1">
        <v>761</v>
      </c>
      <c r="D3" s="3">
        <v>37974</v>
      </c>
      <c r="E3" s="3">
        <v>49400</v>
      </c>
      <c r="G3" s="6">
        <f>(HLOOKUP('Yearly Pension'!G$2,'Credited Service'!$G$1:$BC$80,$A3+1,FALSE)) * (IF($B3=500, (Assumptions!$B$7)*12, IF((HLOOKUP(G$2,Earnings!$G$2:$BC$81,('Yearly Pension'!$A3)+1, FALSE)) &gt; G$1, (Assumptions!$B$8)*(G$1) + (Assumptions!$B$9)*MAX(0,  (HLOOKUP(G$2,Earnings!$G$2:$BC$81,('Yearly Pension'!$A3)+1, FALSE)) - G$1), ((Assumptions!$B$8)*'Yearly Pension'!G$1))))</f>
        <v>0</v>
      </c>
      <c r="H3" s="6">
        <f>(HLOOKUP('Yearly Pension'!H$2,'Credited Service'!$G$1:$BC$80,$A3+1,FALSE)) * (IF($B3=500, (Assumptions!$B$7)*12, IF((HLOOKUP(H$2,Earnings!$G$2:$BC$81,('Yearly Pension'!$A3)+1, FALSE)) &gt; H$1, (Assumptions!$B$8)*(H$1) + (Assumptions!$B$9)*MAX(0,  (HLOOKUP(H$2,Earnings!$G$2:$BC$81,('Yearly Pension'!$A3)+1, FALSE)) - H$1), ((Assumptions!$B$8)*'Yearly Pension'!H$1))))</f>
        <v>0</v>
      </c>
      <c r="I3" s="6">
        <f>(HLOOKUP('Yearly Pension'!I$2,'Credited Service'!$G$1:$BC$80,$A3+1,FALSE)) * (IF($B3=500, (Assumptions!$B$7)*12, IF((HLOOKUP(I$2,Earnings!$G$2:$BC$81,('Yearly Pension'!$A3)+1, FALSE)) &gt; I$1, (Assumptions!$B$8)*(I$1) + (Assumptions!$B$9)*MAX(0,  (HLOOKUP(I$2,Earnings!$G$2:$BC$81,('Yearly Pension'!$A3)+1, FALSE)) - I$1), ((Assumptions!$B$8)*'Yearly Pension'!I$1))))</f>
        <v>0</v>
      </c>
      <c r="J3" s="6">
        <f>(HLOOKUP('Yearly Pension'!J$2,'Credited Service'!$G$1:$BC$80,$A3+1,FALSE)) * (IF($B3=500, (Assumptions!$B$7)*12, IF((HLOOKUP(J$2,Earnings!$G$2:$BC$81,('Yearly Pension'!$A3)+1, FALSE)) &gt; J$1, (Assumptions!$B$8)*(J$1) + (Assumptions!$B$9)*MAX(0,  (HLOOKUP(J$2,Earnings!$G$2:$BC$81,('Yearly Pension'!$A3)+1, FALSE)) - J$1), ((Assumptions!$B$8)*'Yearly Pension'!J$1))))</f>
        <v>0</v>
      </c>
      <c r="K3" s="6">
        <f>(HLOOKUP('Yearly Pension'!K$2,'Credited Service'!$G$1:$BC$80,$A3+1,FALSE)) * (IF($B3=500, (Assumptions!$B$7)*12, IF((HLOOKUP(K$2,Earnings!$G$2:$BC$81,('Yearly Pension'!$A3)+1, FALSE)) &gt; K$1, (Assumptions!$B$8)*(K$1) + (Assumptions!$B$9)*MAX(0,  (HLOOKUP(K$2,Earnings!$G$2:$BC$81,('Yearly Pension'!$A3)+1, FALSE)) - K$1), ((Assumptions!$B$8)*'Yearly Pension'!K$1))))</f>
        <v>0</v>
      </c>
      <c r="L3" s="6">
        <f>(HLOOKUP('Yearly Pension'!L$2,'Credited Service'!$G$1:$BC$80,$A3+1,FALSE)) * (IF($B3=500, (Assumptions!$B$7)*12, IF((HLOOKUP(L$2,Earnings!$G$2:$BC$81,('Yearly Pension'!$A3)+1, FALSE)) &gt; L$1, (Assumptions!$B$8)*(L$1) + (Assumptions!$B$9)*MAX(0,  (HLOOKUP(L$2,Earnings!$G$2:$BC$81,('Yearly Pension'!$A3)+1, FALSE)) - L$1), ((Assumptions!$B$8)*'Yearly Pension'!L$1))))</f>
        <v>0</v>
      </c>
      <c r="M3" s="6">
        <f>(HLOOKUP('Yearly Pension'!M$2,'Credited Service'!$G$1:$BC$80,$A3+1,FALSE)) * (IF($B3=500, (Assumptions!$B$7)*12, IF((HLOOKUP(M$2,Earnings!$G$2:$BC$81,('Yearly Pension'!$A3)+1, FALSE)) &gt; M$1, (Assumptions!$B$8)*(M$1) + (Assumptions!$B$9)*MAX(0,  (HLOOKUP(M$2,Earnings!$G$2:$BC$81,('Yearly Pension'!$A3)+1, FALSE)) - M$1), ((Assumptions!$B$8)*'Yearly Pension'!M$1))))</f>
        <v>0</v>
      </c>
      <c r="N3" s="6">
        <f>(HLOOKUP('Yearly Pension'!N$2,'Credited Service'!$G$1:$BC$80,$A3+1,FALSE)) * (IF($B3=500, (Assumptions!$B$7)*12, IF((HLOOKUP(N$2,Earnings!$G$2:$BC$81,('Yearly Pension'!$A3)+1, FALSE)) &gt; N$1, (Assumptions!$B$8)*(N$1) + (Assumptions!$B$9)*MAX(0,  (HLOOKUP(N$2,Earnings!$G$2:$BC$81,('Yearly Pension'!$A3)+1, FALSE)) - N$1), ((Assumptions!$B$8)*'Yearly Pension'!N$1))))</f>
        <v>0</v>
      </c>
      <c r="O3" s="6">
        <f>(HLOOKUP('Yearly Pension'!O$2,'Credited Service'!$G$1:$BC$80,$A3+1,FALSE)) * (IF($B3=500, (Assumptions!$B$7)*12, IF((HLOOKUP(O$2,Earnings!$G$2:$BC$81,('Yearly Pension'!$A3)+1, FALSE)) &gt; O$1, (Assumptions!$B$8)*(O$1) + (Assumptions!$B$9)*MAX(0,  (HLOOKUP(O$2,Earnings!$G$2:$BC$81,('Yearly Pension'!$A3)+1, FALSE)) - O$1), ((Assumptions!$B$8)*'Yearly Pension'!O$1))))</f>
        <v>0</v>
      </c>
      <c r="P3" s="6">
        <f>(HLOOKUP('Yearly Pension'!P$2,'Credited Service'!$G$1:$BC$80,$A3+1,FALSE)) * (IF($B3=500, (Assumptions!$B$7)*12, IF((HLOOKUP(P$2,Earnings!$G$2:$BC$81,('Yearly Pension'!$A3)+1, FALSE)) &gt; P$1, (Assumptions!$B$8)*(P$1) + (Assumptions!$B$9)*MAX(0,  (HLOOKUP(P$2,Earnings!$G$2:$BC$81,('Yearly Pension'!$A3)+1, FALSE)) - P$1), ((Assumptions!$B$8)*'Yearly Pension'!P$1))))</f>
        <v>0</v>
      </c>
      <c r="Q3" s="6">
        <f>(HLOOKUP('Yearly Pension'!Q$2,'Credited Service'!$G$1:$BC$80,$A3+1,FALSE)) * (IF($B3=500, (Assumptions!$B$7)*12, IF((HLOOKUP(Q$2,Earnings!$G$2:$BC$81,('Yearly Pension'!$A3)+1, FALSE)) &gt; Q$1, (Assumptions!$B$8)*(Q$1) + (Assumptions!$B$9)*MAX(0,  (HLOOKUP(Q$2,Earnings!$G$2:$BC$81,('Yearly Pension'!$A3)+1, FALSE)) - Q$1), ((Assumptions!$B$8)*'Yearly Pension'!Q$1))))</f>
        <v>0</v>
      </c>
      <c r="R3" s="6">
        <f>(HLOOKUP('Yearly Pension'!R$2,'Credited Service'!$G$1:$BC$80,$A3+1,FALSE)) * (IF($B3=500, (Assumptions!$B$7)*12, IF((HLOOKUP(R$2,Earnings!$G$2:$BC$81,('Yearly Pension'!$A3)+1, FALSE)) &gt; R$1, (Assumptions!$B$8)*(R$1) + (Assumptions!$B$9)*MAX(0,  (HLOOKUP(R$2,Earnings!$G$2:$BC$81,('Yearly Pension'!$A3)+1, FALSE)) - R$1), ((Assumptions!$B$8)*'Yearly Pension'!R$1))))</f>
        <v>0</v>
      </c>
      <c r="S3" s="6">
        <f>(HLOOKUP('Yearly Pension'!S$2,'Credited Service'!$G$1:$BC$80,$A3+1,FALSE)) * (IF($B3=500, (Assumptions!$B$7)*12, IF((HLOOKUP(S$2,Earnings!$G$2:$BC$81,('Yearly Pension'!$A3)+1, FALSE)) &gt; S$1, (Assumptions!$B$8)*(S$1) + (Assumptions!$B$9)*MAX(0,  (HLOOKUP(S$2,Earnings!$G$2:$BC$81,('Yearly Pension'!$A3)+1, FALSE)) - S$1), ((Assumptions!$B$8)*'Yearly Pension'!S$1))))</f>
        <v>0</v>
      </c>
      <c r="T3" s="6">
        <f>(HLOOKUP('Yearly Pension'!T$2,'Credited Service'!$G$1:$BC$80,$A3+1,FALSE)) * (IF($B3=500, (Assumptions!$B$7)*12, IF((HLOOKUP(T$2,Earnings!$G$2:$BC$81,('Yearly Pension'!$A3)+1, FALSE)) &gt; T$1, (Assumptions!$B$8)*(T$1) + (Assumptions!$B$9)*MAX(0,  (HLOOKUP(T$2,Earnings!$G$2:$BC$81,('Yearly Pension'!$A3)+1, FALSE)) - T$1), ((Assumptions!$B$8)*'Yearly Pension'!T$1))))</f>
        <v>0</v>
      </c>
      <c r="U3" s="6">
        <f>(HLOOKUP('Yearly Pension'!U$2,'Credited Service'!$G$1:$BC$80,$A3+1,FALSE)) * (IF($B3=500, (Assumptions!$B$7)*12, IF((HLOOKUP(U$2,Earnings!$G$2:$BC$81,('Yearly Pension'!$A3)+1, FALSE)) &gt; U$1, (Assumptions!$B$8)*(U$1) + (Assumptions!$B$9)*MAX(0,  (HLOOKUP(U$2,Earnings!$G$2:$BC$81,('Yearly Pension'!$A3)+1, FALSE)) - U$1), ((Assumptions!$B$8)*'Yearly Pension'!U$1))))</f>
        <v>0</v>
      </c>
      <c r="V3" s="6">
        <f>(HLOOKUP('Yearly Pension'!V$2,'Credited Service'!$G$1:$BC$80,$A3+1,FALSE)) * (IF($B3=500, (Assumptions!$B$7)*12, IF((HLOOKUP(V$2,Earnings!$G$2:$BC$81,('Yearly Pension'!$A3)+1, FALSE)) &gt; V$1, (Assumptions!$B$8)*(V$1) + (Assumptions!$B$9)*MAX(0,  (HLOOKUP(V$2,Earnings!$G$2:$BC$81,('Yearly Pension'!$A3)+1, FALSE)) - V$1), ((Assumptions!$B$8)*'Yearly Pension'!V$1))))</f>
        <v>0</v>
      </c>
      <c r="W3" s="6">
        <f>(HLOOKUP('Yearly Pension'!W$2,'Credited Service'!$G$1:$BC$80,$A3+1,FALSE)) * (IF($B3=500, (Assumptions!$B$7)*12, IF((HLOOKUP(W$2,Earnings!$G$2:$BC$81,('Yearly Pension'!$A3)+1, FALSE)) &gt; W$1, (Assumptions!$B$8)*(W$1) + (Assumptions!$B$9)*MAX(0,  (HLOOKUP(W$2,Earnings!$G$2:$BC$81,('Yearly Pension'!$A3)+1, FALSE)) - W$1), ((Assumptions!$B$8)*'Yearly Pension'!W$1))))</f>
        <v>0</v>
      </c>
      <c r="X3" s="6">
        <f>(HLOOKUP('Yearly Pension'!X$2,'Credited Service'!$G$1:$BC$80,$A3+1,FALSE)) * (IF($B3=500, (Assumptions!$B$7)*12, IF((HLOOKUP(X$2,Earnings!$G$2:$BC$81,('Yearly Pension'!$A3)+1, FALSE)) &gt; X$1, (Assumptions!$B$8)*(X$1) + (Assumptions!$B$9)*MAX(0,  (HLOOKUP(X$2,Earnings!$G$2:$BC$81,('Yearly Pension'!$A3)+1, FALSE)) - X$1), ((Assumptions!$B$8)*'Yearly Pension'!X$1))))</f>
        <v>0</v>
      </c>
      <c r="Y3" s="6">
        <f>(HLOOKUP('Yearly Pension'!Y$2,'Credited Service'!$G$1:$BC$80,$A3+1,FALSE)) * (IF($B3=500, (Assumptions!$B$7)*12, IF((HLOOKUP(Y$2,Earnings!$G$2:$BC$81,('Yearly Pension'!$A3)+1, FALSE)) &gt; Y$1, (Assumptions!$B$8)*(Y$1) + (Assumptions!$B$9)*MAX(0,  (HLOOKUP(Y$2,Earnings!$G$2:$BC$81,('Yearly Pension'!$A3)+1, FALSE)) - Y$1), ((Assumptions!$B$8)*'Yearly Pension'!Y$1))))</f>
        <v>0</v>
      </c>
      <c r="Z3" s="6">
        <f>(HLOOKUP('Yearly Pension'!Z$2,'Credited Service'!$G$1:$BC$80,$A3+1,FALSE)) * (IF($B3=500, (Assumptions!$B$7)*12, IF((HLOOKUP(Z$2,Earnings!$G$2:$BC$81,('Yearly Pension'!$A3)+1, FALSE)) &gt; Z$1, (Assumptions!$B$8)*(Z$1) + (Assumptions!$B$9)*MAX(0,  (HLOOKUP(Z$2,Earnings!$G$2:$BC$81,('Yearly Pension'!$A3)+1, FALSE)) - Z$1), ((Assumptions!$B$8)*'Yearly Pension'!Z$1))))</f>
        <v>0</v>
      </c>
      <c r="AA3" s="6">
        <f>(HLOOKUP('Yearly Pension'!AA$2,'Credited Service'!$G$1:$BC$80,$A3+1,FALSE)) * (IF($B3=500, (Assumptions!$B$7)*12, IF((HLOOKUP(AA$2,Earnings!$G$2:$BC$81,('Yearly Pension'!$A3)+1, FALSE)) &gt; AA$1, (Assumptions!$B$8)*(AA$1) + (Assumptions!$B$9)*MAX(0,  (HLOOKUP(AA$2,Earnings!$G$2:$BC$81,('Yearly Pension'!$A3)+1, FALSE)) - AA$1), ((Assumptions!$B$8)*'Yearly Pension'!AA$1))))</f>
        <v>0</v>
      </c>
      <c r="AB3" s="6">
        <f>(HLOOKUP('Yearly Pension'!AB$2,'Credited Service'!$G$1:$BC$80,$A3+1,FALSE)) * (IF($B3=500, (Assumptions!$B$7)*12, IF((HLOOKUP(AB$2,Earnings!$G$2:$BC$81,('Yearly Pension'!$A3)+1, FALSE)) &gt; AB$1, (Assumptions!$B$8)*(AB$1) + (Assumptions!$B$9)*MAX(0,  (HLOOKUP(AB$2,Earnings!$G$2:$BC$81,('Yearly Pension'!$A3)+1, FALSE)) - AB$1), ((Assumptions!$B$8)*'Yearly Pension'!AB$1))))</f>
        <v>0</v>
      </c>
      <c r="AC3" s="6">
        <f>(HLOOKUP('Yearly Pension'!AC$2,'Credited Service'!$G$1:$BC$80,$A3+1,FALSE)) * (IF($B3=500, (Assumptions!$B$7)*12, IF((HLOOKUP(AC$2,Earnings!$G$2:$BC$81,('Yearly Pension'!$A3)+1, FALSE)) &gt; AC$1, (Assumptions!$B$8)*(AC$1) + (Assumptions!$B$9)*MAX(0,  (HLOOKUP(AC$2,Earnings!$G$2:$BC$81,('Yearly Pension'!$A3)+1, FALSE)) - AC$1), ((Assumptions!$B$8)*'Yearly Pension'!AC$1))))</f>
        <v>0</v>
      </c>
      <c r="AD3" s="6">
        <f>(HLOOKUP('Yearly Pension'!AD$2,'Credited Service'!$G$1:$BC$80,$A3+1,FALSE)) * (IF($B3=500, (Assumptions!$B$7)*12, IF((HLOOKUP(AD$2,Earnings!$G$2:$BC$81,('Yearly Pension'!$A3)+1, FALSE)) &gt; AD$1, (Assumptions!$B$8)*(AD$1) + (Assumptions!$B$9)*MAX(0,  (HLOOKUP(AD$2,Earnings!$G$2:$BC$81,('Yearly Pension'!$A3)+1, FALSE)) - AD$1), ((Assumptions!$B$8)*'Yearly Pension'!AD$1))))</f>
        <v>0</v>
      </c>
      <c r="AE3" s="6">
        <f>(HLOOKUP('Yearly Pension'!AE$2,'Credited Service'!$G$1:$BC$80,$A3+1,FALSE)) * (IF($B3=500, (Assumptions!$B$7)*12, IF((HLOOKUP(AE$2,Earnings!$G$2:$BC$81,('Yearly Pension'!$A3)+1, FALSE)) &gt; AE$1, (Assumptions!$B$8)*(AE$1) + (Assumptions!$B$9)*MAX(0,  (HLOOKUP(AE$2,Earnings!$G$2:$BC$81,('Yearly Pension'!$A3)+1, FALSE)) - AE$1), ((Assumptions!$B$8)*'Yearly Pension'!AE$1))))</f>
        <v>0</v>
      </c>
      <c r="AF3" s="6">
        <f>(HLOOKUP('Yearly Pension'!AF$2,'Credited Service'!$G$1:$BC$80,$A3+1,FALSE)) * (IF($B3=500, (Assumptions!$B$7)*12, IF((HLOOKUP(AF$2,Earnings!$G$2:$BC$81,('Yearly Pension'!$A3)+1, FALSE)) &gt; AF$1, (Assumptions!$B$8)*(AF$1) + (Assumptions!$B$9)*MAX(0,  (HLOOKUP(AF$2,Earnings!$G$2:$BC$81,('Yearly Pension'!$A3)+1, FALSE)) - AF$1), ((Assumptions!$B$8)*'Yearly Pension'!AF$1))))</f>
        <v>0</v>
      </c>
      <c r="AG3" s="6">
        <f>(HLOOKUP('Yearly Pension'!AG$2,'Credited Service'!$G$1:$BC$80,$A3+1,FALSE)) * (IF($B3=500, (Assumptions!$B$7)*12, IF((HLOOKUP(AG$2,Earnings!$G$2:$BC$81,('Yearly Pension'!$A3)+1, FALSE)) &gt; AG$1, (Assumptions!$B$8)*(AG$1) + (Assumptions!$B$9)*MAX(0,  (HLOOKUP(AG$2,Earnings!$G$2:$BC$81,('Yearly Pension'!$A3)+1, FALSE)) - AG$1), ((Assumptions!$B$8)*'Yearly Pension'!AG$1))))</f>
        <v>0</v>
      </c>
      <c r="AH3" s="6">
        <f>(HLOOKUP('Yearly Pension'!AH$2,'Credited Service'!$G$1:$BC$80,$A3+1,FALSE)) * (IF($B3=500, (Assumptions!$B$7)*12, IF((HLOOKUP(AH$2,Earnings!$G$2:$BC$81,('Yearly Pension'!$A3)+1, FALSE)) &gt; AH$1, (Assumptions!$B$8)*(AH$1) + (Assumptions!$B$9)*MAX(0,  (HLOOKUP(AH$2,Earnings!$G$2:$BC$81,('Yearly Pension'!$A3)+1, FALSE)) - AH$1), ((Assumptions!$B$8)*'Yearly Pension'!AH$1))))</f>
        <v>720</v>
      </c>
      <c r="AI3" s="6">
        <f>(HLOOKUP('Yearly Pension'!AI$2,'Credited Service'!$G$1:$BC$80,$A3+1,FALSE)) * (IF($B3=500, (Assumptions!$B$7)*12, IF((HLOOKUP(AI$2,Earnings!$G$2:$BC$81,('Yearly Pension'!$A3)+1, FALSE)) &gt; AI$1, (Assumptions!$B$8)*(AI$1) + (Assumptions!$B$9)*MAX(0,  (HLOOKUP(AI$2,Earnings!$G$2:$BC$81,('Yearly Pension'!$A3)+1, FALSE)) - AI$1), ((Assumptions!$B$8)*'Yearly Pension'!AI$1))))</f>
        <v>720</v>
      </c>
      <c r="AJ3" s="6">
        <f>(HLOOKUP('Yearly Pension'!AJ$2,'Credited Service'!$G$1:$BC$80,$A3+1,FALSE)) * (IF($B3=500, (Assumptions!$B$7)*12, IF((HLOOKUP(AJ$2,Earnings!$G$2:$BC$81,('Yearly Pension'!$A3)+1, FALSE)) &gt; AJ$1, (Assumptions!$B$8)*(AJ$1) + (Assumptions!$B$9)*MAX(0,  (HLOOKUP(AJ$2,Earnings!$G$2:$BC$81,('Yearly Pension'!$A3)+1, FALSE)) - AJ$1), ((Assumptions!$B$8)*'Yearly Pension'!AJ$1))))</f>
        <v>720</v>
      </c>
      <c r="AK3" s="6">
        <f>(HLOOKUP('Yearly Pension'!AK$2,'Credited Service'!$G$1:$BC$80,$A3+1,FALSE)) * (IF($B3=500, (Assumptions!$B$7)*12, IF((HLOOKUP(AK$2,Earnings!$G$2:$BC$81,('Yearly Pension'!$A3)+1, FALSE)) &gt; AK$1, (Assumptions!$B$8)*(AK$1) + (Assumptions!$B$9)*MAX(0,  (HLOOKUP(AK$2,Earnings!$G$2:$BC$81,('Yearly Pension'!$A3)+1, FALSE)) - AK$1), ((Assumptions!$B$8)*'Yearly Pension'!AK$1))))</f>
        <v>720</v>
      </c>
      <c r="AL3" s="6">
        <f>(HLOOKUP('Yearly Pension'!AL$2,'Credited Service'!$G$1:$BC$80,$A3+1,FALSE)) * (IF($B3=500, (Assumptions!$B$7)*12, IF((HLOOKUP(AL$2,Earnings!$G$2:$BC$81,('Yearly Pension'!$A3)+1, FALSE)) &gt; AL$1, (Assumptions!$B$8)*(AL$1) + (Assumptions!$B$9)*MAX(0,  (HLOOKUP(AL$2,Earnings!$G$2:$BC$81,('Yearly Pension'!$A3)+1, FALSE)) - AL$1), ((Assumptions!$B$8)*'Yearly Pension'!AL$1))))</f>
        <v>720</v>
      </c>
      <c r="AM3" s="6">
        <f>(HLOOKUP('Yearly Pension'!AM$2,'Credited Service'!$G$1:$BC$80,$A3+1,FALSE)) * (IF($B3=500, (Assumptions!$B$7)*12, IF((HLOOKUP(AM$2,Earnings!$G$2:$BC$81,('Yearly Pension'!$A3)+1, FALSE)) &gt; AM$1, (Assumptions!$B$8)*(AM$1) + (Assumptions!$B$9)*MAX(0,  (HLOOKUP(AM$2,Earnings!$G$2:$BC$81,('Yearly Pension'!$A3)+1, FALSE)) - AM$1), ((Assumptions!$B$8)*'Yearly Pension'!AM$1))))</f>
        <v>720</v>
      </c>
      <c r="AN3" s="6">
        <f>(HLOOKUP('Yearly Pension'!AN$2,'Credited Service'!$G$1:$BC$80,$A3+1,FALSE)) * (IF($B3=500, (Assumptions!$B$7)*12, IF((HLOOKUP(AN$2,Earnings!$G$2:$BC$81,('Yearly Pension'!$A3)+1, FALSE)) &gt; AN$1, (Assumptions!$B$8)*(AN$1) + (Assumptions!$B$9)*MAX(0,  (HLOOKUP(AN$2,Earnings!$G$2:$BC$81,('Yearly Pension'!$A3)+1, FALSE)) - AN$1), ((Assumptions!$B$8)*'Yearly Pension'!AN$1))))</f>
        <v>720</v>
      </c>
      <c r="AO3" s="6">
        <f>(HLOOKUP('Yearly Pension'!AO$2,'Credited Service'!$G$1:$BC$80,$A3+1,FALSE)) * (IF($B3=500, (Assumptions!$B$7)*12, IF((HLOOKUP(AO$2,Earnings!$G$2:$BC$81,('Yearly Pension'!$A3)+1, FALSE)) &gt; AO$1, (Assumptions!$B$8)*(AO$1) + (Assumptions!$B$9)*MAX(0,  (HLOOKUP(AO$2,Earnings!$G$2:$BC$81,('Yearly Pension'!$A3)+1, FALSE)) - AO$1), ((Assumptions!$B$8)*'Yearly Pension'!AO$1))))</f>
        <v>720</v>
      </c>
      <c r="AP3" s="6">
        <f>(HLOOKUP('Yearly Pension'!AP$2,'Credited Service'!$G$1:$BC$80,$A3+1,FALSE)) * (IF($B3=500, (Assumptions!$B$7)*12, IF((HLOOKUP(AP$2,Earnings!$G$2:$BC$81,('Yearly Pension'!$A3)+1, FALSE)) &gt; AP$1, (Assumptions!$B$8)*(AP$1) + (Assumptions!$B$9)*MAX(0,  (HLOOKUP(AP$2,Earnings!$G$2:$BC$81,('Yearly Pension'!$A3)+1, FALSE)) - AP$1), ((Assumptions!$B$8)*'Yearly Pension'!AP$1))))</f>
        <v>720</v>
      </c>
      <c r="AQ3" s="6">
        <f>(HLOOKUP('Yearly Pension'!AQ$2,'Credited Service'!$G$1:$BC$80,$A3+1,FALSE)) * (IF($B3=500, (Assumptions!$B$7)*12, IF((HLOOKUP(AQ$2,Earnings!$G$2:$BC$81,('Yearly Pension'!$A3)+1, FALSE)) &gt; AQ$1, (Assumptions!$B$8)*(AQ$1) + (Assumptions!$B$9)*MAX(0,  (HLOOKUP(AQ$2,Earnings!$G$2:$BC$81,('Yearly Pension'!$A3)+1, FALSE)) - AQ$1), ((Assumptions!$B$8)*'Yearly Pension'!AQ$1))))</f>
        <v>720</v>
      </c>
      <c r="AR3" s="6">
        <f>(HLOOKUP('Yearly Pension'!AR$2,'Credited Service'!$G$1:$BC$80,$A3+1,FALSE)) * (IF($B3=500, (Assumptions!$B$7)*12, IF((HLOOKUP(AR$2,Earnings!$G$2:$BC$81,('Yearly Pension'!$A3)+1, FALSE)) &gt; AR$1, (Assumptions!$B$8)*(AR$1) + (Assumptions!$B$9)*MAX(0,  (HLOOKUP(AR$2,Earnings!$G$2:$BC$81,('Yearly Pension'!$A3)+1, FALSE)) - AR$1), ((Assumptions!$B$8)*'Yearly Pension'!AR$1))))</f>
        <v>720</v>
      </c>
      <c r="AS3" s="6">
        <f>(HLOOKUP('Yearly Pension'!AS$2,'Credited Service'!$G$1:$BC$80,$A3+1,FALSE)) * (IF($B3=500, (Assumptions!$B$7)*12, IF((HLOOKUP(AS$2,Earnings!$G$2:$BC$81,('Yearly Pension'!$A3)+1, FALSE)) &gt; AS$1, (Assumptions!$B$8)*(AS$1) + (Assumptions!$B$9)*MAX(0,  (HLOOKUP(AS$2,Earnings!$G$2:$BC$81,('Yearly Pension'!$A3)+1, FALSE)) - AS$1), ((Assumptions!$B$8)*'Yearly Pension'!AS$1))))</f>
        <v>720</v>
      </c>
      <c r="AT3" s="6">
        <f>(HLOOKUP('Yearly Pension'!AT$2,'Credited Service'!$G$1:$BC$80,$A3+1,FALSE)) * (IF($B3=500, (Assumptions!$B$7)*12, IF((HLOOKUP(AT$2,Earnings!$G$2:$BC$81,('Yearly Pension'!$A3)+1, FALSE)) &gt; AT$1, (Assumptions!$B$8)*(AT$1) + (Assumptions!$B$9)*MAX(0,  (HLOOKUP(AT$2,Earnings!$G$2:$BC$81,('Yearly Pension'!$A3)+1, FALSE)) - AT$1), ((Assumptions!$B$8)*'Yearly Pension'!AT$1))))</f>
        <v>720</v>
      </c>
      <c r="AU3" s="6">
        <f>(HLOOKUP('Yearly Pension'!AU$2,'Credited Service'!$G$1:$BC$80,$A3+1,FALSE)) * (IF($B3=500, (Assumptions!$B$7)*12, IF((HLOOKUP(AU$2,Earnings!$G$2:$BC$81,('Yearly Pension'!$A3)+1, FALSE)) &gt; AU$1, (Assumptions!$B$8)*(AU$1) + (Assumptions!$B$9)*MAX(0,  (HLOOKUP(AU$2,Earnings!$G$2:$BC$81,('Yearly Pension'!$A3)+1, FALSE)) - AU$1), ((Assumptions!$B$8)*'Yearly Pension'!AU$1))))</f>
        <v>720</v>
      </c>
      <c r="AV3" s="6">
        <f>(HLOOKUP('Yearly Pension'!AV$2,'Credited Service'!$G$1:$BC$80,$A3+1,FALSE)) * (IF($B3=500, (Assumptions!$B$7)*12, IF((HLOOKUP(AV$2,Earnings!$G$2:$BC$81,('Yearly Pension'!$A3)+1, FALSE)) &gt; AV$1, (Assumptions!$B$8)*(AV$1) + (Assumptions!$B$9)*MAX(0,  (HLOOKUP(AV$2,Earnings!$G$2:$BC$81,('Yearly Pension'!$A3)+1, FALSE)) - AV$1), ((Assumptions!$B$8)*'Yearly Pension'!AV$1))))</f>
        <v>720</v>
      </c>
      <c r="AW3" s="6">
        <f>(HLOOKUP('Yearly Pension'!AW$2,'Credited Service'!$G$1:$BC$80,$A3+1,FALSE)) * (IF($B3=500, (Assumptions!$B$7)*12, IF((HLOOKUP(AW$2,Earnings!$G$2:$BC$81,('Yearly Pension'!$A3)+1, FALSE)) &gt; AW$1, (Assumptions!$B$8)*(AW$1) + (Assumptions!$B$9)*MAX(0,  (HLOOKUP(AW$2,Earnings!$G$2:$BC$81,('Yearly Pension'!$A3)+1, FALSE)) - AW$1), ((Assumptions!$B$8)*'Yearly Pension'!AW$1))))</f>
        <v>720</v>
      </c>
      <c r="AX3" s="6">
        <f>(HLOOKUP('Yearly Pension'!AX$2,'Credited Service'!$G$1:$BC$80,$A3+1,FALSE)) * (IF($B3=500, (Assumptions!$B$7)*12, IF((HLOOKUP(AX$2,Earnings!$G$2:$BC$81,('Yearly Pension'!$A3)+1, FALSE)) &gt; AX$1, (Assumptions!$B$8)*(AX$1) + (Assumptions!$B$9)*MAX(0,  (HLOOKUP(AX$2,Earnings!$G$2:$BC$81,('Yearly Pension'!$A3)+1, FALSE)) - AX$1), ((Assumptions!$B$8)*'Yearly Pension'!AX$1))))</f>
        <v>720</v>
      </c>
      <c r="AY3" s="6">
        <f>(HLOOKUP('Yearly Pension'!AY$2,'Credited Service'!$G$1:$BC$80,$A3+1,FALSE)) * (IF($B3=500, (Assumptions!$B$7)*12, IF((HLOOKUP(AY$2,Earnings!$G$2:$BC$81,('Yearly Pension'!$A3)+1, FALSE)) &gt; AY$1, (Assumptions!$B$8)*(AY$1) + (Assumptions!$B$9)*MAX(0,  (HLOOKUP(AY$2,Earnings!$G$2:$BC$81,('Yearly Pension'!$A3)+1, FALSE)) - AY$1), ((Assumptions!$B$8)*'Yearly Pension'!AY$1))))</f>
        <v>720</v>
      </c>
      <c r="AZ3" s="6">
        <f>(HLOOKUP('Yearly Pension'!AZ$2,'Credited Service'!$G$1:$BC$80,$A3+1,FALSE)) * (IF($B3=500, (Assumptions!$B$7)*12, IF((HLOOKUP(AZ$2,Earnings!$G$2:$BC$81,('Yearly Pension'!$A3)+1, FALSE)) &gt; AZ$1, (Assumptions!$B$8)*(AZ$1) + (Assumptions!$B$9)*MAX(0,  (HLOOKUP(AZ$2,Earnings!$G$2:$BC$81,('Yearly Pension'!$A3)+1, FALSE)) - AZ$1), ((Assumptions!$B$8)*'Yearly Pension'!AZ$1))))</f>
        <v>720</v>
      </c>
      <c r="BA3" s="6">
        <f>(HLOOKUP('Yearly Pension'!BA$2,'Credited Service'!$G$1:$BC$80,$A3+1,FALSE)) * (IF($B3=500, (Assumptions!$B$7)*12, IF((HLOOKUP(BA$2,Earnings!$G$2:$BC$81,('Yearly Pension'!$A3)+1, FALSE)) &gt; BA$1, (Assumptions!$B$8)*(BA$1) + (Assumptions!$B$9)*MAX(0,  (HLOOKUP(BA$2,Earnings!$G$2:$BC$81,('Yearly Pension'!$A3)+1, FALSE)) - BA$1), ((Assumptions!$B$8)*'Yearly Pension'!BA$1))))</f>
        <v>720</v>
      </c>
      <c r="BB3" s="6">
        <f>(HLOOKUP('Yearly Pension'!BB$2,'Credited Service'!$G$1:$BC$80,$A3+1,FALSE)) * (IF($B3=500, (Assumptions!$B$7)*12, IF((HLOOKUP(BB$2,Earnings!$G$2:$BC$81,('Yearly Pension'!$A3)+1, FALSE)) &gt; BB$1, (Assumptions!$B$8)*(BB$1) + (Assumptions!$B$9)*MAX(0,  (HLOOKUP(BB$2,Earnings!$G$2:$BC$81,('Yearly Pension'!$A3)+1, FALSE)) - BB$1), ((Assumptions!$B$8)*'Yearly Pension'!BB$1))))</f>
        <v>720</v>
      </c>
      <c r="BC3" s="6">
        <f>(HLOOKUP('Yearly Pension'!BC$2,'Credited Service'!$G$1:$BC$80,$A3+1,FALSE)) * (IF($B3=500, (Assumptions!$B$7)*12, IF((HLOOKUP(BC$2,Earnings!$G$2:$BC$81,('Yearly Pension'!$A3)+1, FALSE)) &gt; BC$1, (Assumptions!$B$8)*(BC$1) + (Assumptions!$B$9)*MAX(0,  (HLOOKUP(BC$2,Earnings!$G$2:$BC$81,('Yearly Pension'!$A3)+1, FALSE)) - BC$1), ((Assumptions!$B$8)*'Yearly Pension'!BC$1))))</f>
        <v>720</v>
      </c>
      <c r="BF3" s="5"/>
    </row>
    <row r="4" spans="1:60" x14ac:dyDescent="0.25">
      <c r="A4" s="204">
        <v>2</v>
      </c>
      <c r="B4" s="1">
        <v>500</v>
      </c>
      <c r="C4" s="1">
        <v>735</v>
      </c>
      <c r="D4" s="3">
        <v>37004</v>
      </c>
      <c r="E4" s="3">
        <v>50587</v>
      </c>
      <c r="G4" s="6">
        <f>(HLOOKUP(G$2,'Credited Service'!$G$1:$BC$80,$A4+1,FALSE)) * (IF($B4=500, (Assumptions!$B$7)*12, IF((HLOOKUP(G$2,Earnings!$G$2:$BC$81,$A4+1, FALSE)) &gt; G$1, (Assumptions!$B$8)*(G$1) + (Assumptions!$B$9)*MAX(0,  (HLOOKUP(G$2,Earnings!$G$2:$BC$81,($A4)+1, FALSE)) - G$1), ((Assumptions!$B$8)*G$1))))</f>
        <v>0</v>
      </c>
      <c r="H4" s="6">
        <f>(HLOOKUP('Yearly Pension'!H$2,'Credited Service'!$G$1:$BC$80,$A4+1,FALSE)) * (IF($B4=500, (Assumptions!$B$7)*12, IF((HLOOKUP(H$2,Earnings!$G$2:$BC$81,('Yearly Pension'!$A4)+1, FALSE)) &gt; H$1, (Assumptions!$B$8)*(H$1) + (Assumptions!$B$9)*MAX(0,  (HLOOKUP(H$2,Earnings!$G$2:$BC$81,('Yearly Pension'!$A4)+1, FALSE)) - H$1), ((Assumptions!$B$8)*'Yearly Pension'!H$1))))</f>
        <v>0</v>
      </c>
      <c r="I4" s="6">
        <f>(HLOOKUP('Yearly Pension'!I$2,'Credited Service'!$G$1:$BC$80,$A4+1,FALSE)) * (IF($B4=500, (Assumptions!$B$7)*12, IF((HLOOKUP(I$2,Earnings!$G$2:$BC$81,('Yearly Pension'!$A4)+1, FALSE)) &gt; I$1, (Assumptions!$B$8)*(I$1) + (Assumptions!$B$9)*MAX(0,  (HLOOKUP(I$2,Earnings!$G$2:$BC$81,('Yearly Pension'!$A4)+1, FALSE)) - I$1), ((Assumptions!$B$8)*'Yearly Pension'!I$1))))</f>
        <v>0</v>
      </c>
      <c r="J4" s="6">
        <f>(HLOOKUP('Yearly Pension'!J$2,'Credited Service'!$G$1:$BC$80,$A4+1,FALSE)) * (IF($B4=500, (Assumptions!$B$7)*12, IF((HLOOKUP(J$2,Earnings!$G$2:$BC$81,('Yearly Pension'!$A4)+1, FALSE)) &gt; J$1, (Assumptions!$B$8)*(J$1) + (Assumptions!$B$9)*MAX(0,  (HLOOKUP(J$2,Earnings!$G$2:$BC$81,('Yearly Pension'!$A4)+1, FALSE)) - J$1), ((Assumptions!$B$8)*'Yearly Pension'!J$1))))</f>
        <v>0</v>
      </c>
      <c r="K4" s="6">
        <f>(HLOOKUP('Yearly Pension'!K$2,'Credited Service'!$G$1:$BC$80,$A4+1,FALSE)) * (IF($B4=500, (Assumptions!$B$7)*12, IF((HLOOKUP(K$2,Earnings!$G$2:$BC$81,('Yearly Pension'!$A4)+1, FALSE)) &gt; K$1, (Assumptions!$B$8)*(K$1) + (Assumptions!$B$9)*MAX(0,  (HLOOKUP(K$2,Earnings!$G$2:$BC$81,('Yearly Pension'!$A4)+1, FALSE)) - K$1), ((Assumptions!$B$8)*'Yearly Pension'!K$1))))</f>
        <v>0</v>
      </c>
      <c r="L4" s="6">
        <f>(HLOOKUP('Yearly Pension'!L$2,'Credited Service'!$G$1:$BC$80,$A4+1,FALSE)) * (IF($B4=500, (Assumptions!$B$7)*12, IF((HLOOKUP(L$2,Earnings!$G$2:$BC$81,('Yearly Pension'!$A4)+1, FALSE)) &gt; L$1, (Assumptions!$B$8)*(L$1) + (Assumptions!$B$9)*MAX(0,  (HLOOKUP(L$2,Earnings!$G$2:$BC$81,('Yearly Pension'!$A4)+1, FALSE)) - L$1), ((Assumptions!$B$8)*'Yearly Pension'!L$1))))</f>
        <v>0</v>
      </c>
      <c r="M4" s="6">
        <f>(HLOOKUP('Yearly Pension'!M$2,'Credited Service'!$G$1:$BC$80,$A4+1,FALSE)) * (IF($B4=500, (Assumptions!$B$7)*12, IF((HLOOKUP(M$2,Earnings!$G$2:$BC$81,('Yearly Pension'!$A4)+1, FALSE)) &gt; M$1, (Assumptions!$B$8)*(M$1) + (Assumptions!$B$9)*MAX(0,  (HLOOKUP(M$2,Earnings!$G$2:$BC$81,('Yearly Pension'!$A4)+1, FALSE)) - M$1), ((Assumptions!$B$8)*'Yearly Pension'!M$1))))</f>
        <v>0</v>
      </c>
      <c r="N4" s="6">
        <f>(HLOOKUP('Yearly Pension'!N$2,'Credited Service'!$G$1:$BC$80,$A4+1,FALSE)) * (IF($B4=500, (Assumptions!$B$7)*12, IF((HLOOKUP(N$2,Earnings!$G$2:$BC$81,('Yearly Pension'!$A4)+1, FALSE)) &gt; N$1, (Assumptions!$B$8)*(N$1) + (Assumptions!$B$9)*MAX(0,  (HLOOKUP(N$2,Earnings!$G$2:$BC$81,('Yearly Pension'!$A4)+1, FALSE)) - N$1), ((Assumptions!$B$8)*'Yearly Pension'!N$1))))</f>
        <v>0</v>
      </c>
      <c r="O4" s="6">
        <f>(HLOOKUP('Yearly Pension'!O$2,'Credited Service'!$G$1:$BC$80,$A4+1,FALSE)) * (IF($B4=500, (Assumptions!$B$7)*12, IF((HLOOKUP(O$2,Earnings!$G$2:$BC$81,('Yearly Pension'!$A4)+1, FALSE)) &gt; O$1, (Assumptions!$B$8)*(O$1) + (Assumptions!$B$9)*MAX(0,  (HLOOKUP(O$2,Earnings!$G$2:$BC$81,('Yearly Pension'!$A4)+1, FALSE)) - O$1), ((Assumptions!$B$8)*'Yearly Pension'!O$1))))</f>
        <v>0</v>
      </c>
      <c r="P4" s="6">
        <f>(HLOOKUP('Yearly Pension'!P$2,'Credited Service'!$G$1:$BC$80,$A4+1,FALSE)) * (IF($B4=500, (Assumptions!$B$7)*12, IF((HLOOKUP(P$2,Earnings!$G$2:$BC$81,('Yearly Pension'!$A4)+1, FALSE)) &gt; P$1, (Assumptions!$B$8)*(P$1) + (Assumptions!$B$9)*MAX(0,  (HLOOKUP(P$2,Earnings!$G$2:$BC$81,('Yearly Pension'!$A4)+1, FALSE)) - P$1), ((Assumptions!$B$8)*'Yearly Pension'!P$1))))</f>
        <v>0</v>
      </c>
      <c r="Q4" s="6">
        <f>(HLOOKUP('Yearly Pension'!Q$2,'Credited Service'!$G$1:$BC$80,$A4+1,FALSE)) * (IF($B4=500, (Assumptions!$B$7)*12, IF((HLOOKUP(Q$2,Earnings!$G$2:$BC$81,('Yearly Pension'!$A4)+1, FALSE)) &gt; Q$1, (Assumptions!$B$8)*(Q$1) + (Assumptions!$B$9)*MAX(0,  (HLOOKUP(Q$2,Earnings!$G$2:$BC$81,('Yearly Pension'!$A4)+1, FALSE)) - Q$1), ((Assumptions!$B$8)*'Yearly Pension'!Q$1))))</f>
        <v>0</v>
      </c>
      <c r="R4" s="6">
        <f>(HLOOKUP('Yearly Pension'!R$2,'Credited Service'!$G$1:$BC$80,$A4+1,FALSE)) * (IF($B4=500, (Assumptions!$B$7)*12, IF((HLOOKUP(R$2,Earnings!$G$2:$BC$81,('Yearly Pension'!$A4)+1, FALSE)) &gt; R$1, (Assumptions!$B$8)*(R$1) + (Assumptions!$B$9)*MAX(0,  (HLOOKUP(R$2,Earnings!$G$2:$BC$81,('Yearly Pension'!$A4)+1, FALSE)) - R$1), ((Assumptions!$B$8)*'Yearly Pension'!R$1))))</f>
        <v>0</v>
      </c>
      <c r="S4" s="6">
        <f>(HLOOKUP('Yearly Pension'!S$2,'Credited Service'!$G$1:$BC$80,$A4+1,FALSE)) * (IF($B4=500, (Assumptions!$B$7)*12, IF((HLOOKUP(S$2,Earnings!$G$2:$BC$81,('Yearly Pension'!$A4)+1, FALSE)) &gt; S$1, (Assumptions!$B$8)*(S$1) + (Assumptions!$B$9)*MAX(0,  (HLOOKUP(S$2,Earnings!$G$2:$BC$81,('Yearly Pension'!$A4)+1, FALSE)) - S$1), ((Assumptions!$B$8)*'Yearly Pension'!S$1))))</f>
        <v>0</v>
      </c>
      <c r="T4" s="6">
        <f>(HLOOKUP('Yearly Pension'!T$2,'Credited Service'!$G$1:$BC$80,$A4+1,FALSE)) * (IF($B4=500, (Assumptions!$B$7)*12, IF((HLOOKUP(T$2,Earnings!$G$2:$BC$81,('Yearly Pension'!$A4)+1, FALSE)) &gt; T$1, (Assumptions!$B$8)*(T$1) + (Assumptions!$B$9)*MAX(0,  (HLOOKUP(T$2,Earnings!$G$2:$BC$81,('Yearly Pension'!$A4)+1, FALSE)) - T$1), ((Assumptions!$B$8)*'Yearly Pension'!T$1))))</f>
        <v>0</v>
      </c>
      <c r="U4" s="6">
        <f>(HLOOKUP('Yearly Pension'!U$2,'Credited Service'!$G$1:$BC$80,$A4+1,FALSE)) * (IF($B4=500, (Assumptions!$B$7)*12, IF((HLOOKUP(U$2,Earnings!$G$2:$BC$81,('Yearly Pension'!$A4)+1, FALSE)) &gt; U$1, (Assumptions!$B$8)*(U$1) + (Assumptions!$B$9)*MAX(0,  (HLOOKUP(U$2,Earnings!$G$2:$BC$81,('Yearly Pension'!$A4)+1, FALSE)) - U$1), ((Assumptions!$B$8)*'Yearly Pension'!U$1))))</f>
        <v>0</v>
      </c>
      <c r="V4" s="6">
        <f>(HLOOKUP('Yearly Pension'!V$2,'Credited Service'!$G$1:$BC$80,$A4+1,FALSE)) * (IF($B4=500, (Assumptions!$B$7)*12, IF((HLOOKUP(V$2,Earnings!$G$2:$BC$81,('Yearly Pension'!$A4)+1, FALSE)) &gt; V$1, (Assumptions!$B$8)*(V$1) + (Assumptions!$B$9)*MAX(0,  (HLOOKUP(V$2,Earnings!$G$2:$BC$81,('Yearly Pension'!$A4)+1, FALSE)) - V$1), ((Assumptions!$B$8)*'Yearly Pension'!V$1))))</f>
        <v>0</v>
      </c>
      <c r="W4" s="6">
        <f>(HLOOKUP('Yearly Pension'!W$2,'Credited Service'!$G$1:$BC$80,$A4+1,FALSE)) * (IF($B4=500, (Assumptions!$B$7)*12, IF((HLOOKUP(W$2,Earnings!$G$2:$BC$81,('Yearly Pension'!$A4)+1, FALSE)) &gt; W$1, (Assumptions!$B$8)*(W$1) + (Assumptions!$B$9)*MAX(0,  (HLOOKUP(W$2,Earnings!$G$2:$BC$81,('Yearly Pension'!$A4)+1, FALSE)) - W$1), ((Assumptions!$B$8)*'Yearly Pension'!W$1))))</f>
        <v>0</v>
      </c>
      <c r="X4" s="6">
        <f>(HLOOKUP('Yearly Pension'!X$2,'Credited Service'!$G$1:$BC$80,$A4+1,FALSE)) * (IF($B4=500, (Assumptions!$B$7)*12, IF((HLOOKUP(X$2,Earnings!$G$2:$BC$81,('Yearly Pension'!$A4)+1, FALSE)) &gt; X$1, (Assumptions!$B$8)*(X$1) + (Assumptions!$B$9)*MAX(0,  (HLOOKUP(X$2,Earnings!$G$2:$BC$81,('Yearly Pension'!$A4)+1, FALSE)) - X$1), ((Assumptions!$B$8)*'Yearly Pension'!X$1))))</f>
        <v>0</v>
      </c>
      <c r="Y4" s="6">
        <f>(HLOOKUP('Yearly Pension'!Y$2,'Credited Service'!$G$1:$BC$80,$A4+1,FALSE)) * (IF($B4=500, (Assumptions!$B$7)*12, IF((HLOOKUP(Y$2,Earnings!$G$2:$BC$81,('Yearly Pension'!$A4)+1, FALSE)) &gt; Y$1, (Assumptions!$B$8)*(Y$1) + (Assumptions!$B$9)*MAX(0,  (HLOOKUP(Y$2,Earnings!$G$2:$BC$81,('Yearly Pension'!$A4)+1, FALSE)) - Y$1), ((Assumptions!$B$8)*'Yearly Pension'!Y$1))))</f>
        <v>0</v>
      </c>
      <c r="Z4" s="6">
        <f>(HLOOKUP('Yearly Pension'!Z$2,'Credited Service'!$G$1:$BC$80,$A4+1,FALSE)) * (IF($B4=500, (Assumptions!$B$7)*12, IF((HLOOKUP(Z$2,Earnings!$G$2:$BC$81,('Yearly Pension'!$A4)+1, FALSE)) &gt; Z$1, (Assumptions!$B$8)*(Z$1) + (Assumptions!$B$9)*MAX(0,  (HLOOKUP(Z$2,Earnings!$G$2:$BC$81,('Yearly Pension'!$A4)+1, FALSE)) - Z$1), ((Assumptions!$B$8)*'Yearly Pension'!Z$1))))</f>
        <v>0</v>
      </c>
      <c r="AA4" s="6">
        <f>(HLOOKUP('Yearly Pension'!AA$2,'Credited Service'!$G$1:$BC$80,$A4+1,FALSE)) * (IF($B4=500, (Assumptions!$B$7)*12, IF((HLOOKUP(AA$2,Earnings!$G$2:$BC$81,('Yearly Pension'!$A4)+1, FALSE)) &gt; AA$1, (Assumptions!$B$8)*(AA$1) + (Assumptions!$B$9)*MAX(0,  (HLOOKUP(AA$2,Earnings!$G$2:$BC$81,('Yearly Pension'!$A4)+1, FALSE)) - AA$1), ((Assumptions!$B$8)*'Yearly Pension'!AA$1))))</f>
        <v>0</v>
      </c>
      <c r="AB4" s="6">
        <f>(HLOOKUP('Yearly Pension'!AB$2,'Credited Service'!$G$1:$BC$80,$A4+1,FALSE)) * (IF($B4=500, (Assumptions!$B$7)*12, IF((HLOOKUP(AB$2,Earnings!$G$2:$BC$81,('Yearly Pension'!$A4)+1, FALSE)) &gt; AB$1, (Assumptions!$B$8)*(AB$1) + (Assumptions!$B$9)*MAX(0,  (HLOOKUP(AB$2,Earnings!$G$2:$BC$81,('Yearly Pension'!$A4)+1, FALSE)) - AB$1), ((Assumptions!$B$8)*'Yearly Pension'!AB$1))))</f>
        <v>0</v>
      </c>
      <c r="AC4" s="6">
        <f>(HLOOKUP('Yearly Pension'!AC$2,'Credited Service'!$G$1:$BC$80,$A4+1,FALSE)) * (IF($B4=500, (Assumptions!$B$7)*12, IF((HLOOKUP(AC$2,Earnings!$G$2:$BC$81,('Yearly Pension'!$A4)+1, FALSE)) &gt; AC$1, (Assumptions!$B$8)*(AC$1) + (Assumptions!$B$9)*MAX(0,  (HLOOKUP(AC$2,Earnings!$G$2:$BC$81,('Yearly Pension'!$A4)+1, FALSE)) - AC$1), ((Assumptions!$B$8)*'Yearly Pension'!AC$1))))</f>
        <v>0</v>
      </c>
      <c r="AD4" s="6">
        <f>(HLOOKUP('Yearly Pension'!AD$2,'Credited Service'!$G$1:$BC$80,$A4+1,FALSE)) * (IF($B4=500, (Assumptions!$B$7)*12, IF((HLOOKUP(AD$2,Earnings!$G$2:$BC$81,('Yearly Pension'!$A4)+1, FALSE)) &gt; AD$1, (Assumptions!$B$8)*(AD$1) + (Assumptions!$B$9)*MAX(0,  (HLOOKUP(AD$2,Earnings!$G$2:$BC$81,('Yearly Pension'!$A4)+1, FALSE)) - AD$1), ((Assumptions!$B$8)*'Yearly Pension'!AD$1))))</f>
        <v>0</v>
      </c>
      <c r="AE4" s="6">
        <f>(HLOOKUP('Yearly Pension'!AE$2,'Credited Service'!$G$1:$BC$80,$A4+1,FALSE)) * (IF($B4=500, (Assumptions!$B$7)*12, IF((HLOOKUP(AE$2,Earnings!$G$2:$BC$81,('Yearly Pension'!$A4)+1, FALSE)) &gt; AE$1, (Assumptions!$B$8)*(AE$1) + (Assumptions!$B$9)*MAX(0,  (HLOOKUP(AE$2,Earnings!$G$2:$BC$81,('Yearly Pension'!$A4)+1, FALSE)) - AE$1), ((Assumptions!$B$8)*'Yearly Pension'!AE$1))))</f>
        <v>480</v>
      </c>
      <c r="AF4" s="6">
        <f>(HLOOKUP('Yearly Pension'!AF$2,'Credited Service'!$G$1:$BC$80,$A4+1,FALSE)) * (IF($B4=500, (Assumptions!$B$7)*12, IF((HLOOKUP(AF$2,Earnings!$G$2:$BC$81,('Yearly Pension'!$A4)+1, FALSE)) &gt; AF$1, (Assumptions!$B$8)*(AF$1) + (Assumptions!$B$9)*MAX(0,  (HLOOKUP(AF$2,Earnings!$G$2:$BC$81,('Yearly Pension'!$A4)+1, FALSE)) - AF$1), ((Assumptions!$B$8)*'Yearly Pension'!AF$1))))</f>
        <v>720</v>
      </c>
      <c r="AG4" s="6">
        <f>(HLOOKUP('Yearly Pension'!AG$2,'Credited Service'!$G$1:$BC$80,$A4+1,FALSE)) * (IF($B4=500, (Assumptions!$B$7)*12, IF((HLOOKUP(AG$2,Earnings!$G$2:$BC$81,('Yearly Pension'!$A4)+1, FALSE)) &gt; AG$1, (Assumptions!$B$8)*(AG$1) + (Assumptions!$B$9)*MAX(0,  (HLOOKUP(AG$2,Earnings!$G$2:$BC$81,('Yearly Pension'!$A4)+1, FALSE)) - AG$1), ((Assumptions!$B$8)*'Yearly Pension'!AG$1))))</f>
        <v>720</v>
      </c>
      <c r="AH4" s="6">
        <f>(HLOOKUP('Yearly Pension'!AH$2,'Credited Service'!$G$1:$BC$80,$A4+1,FALSE)) * (IF($B4=500, (Assumptions!$B$7)*12, IF((HLOOKUP(AH$2,Earnings!$G$2:$BC$81,('Yearly Pension'!$A4)+1, FALSE)) &gt; AH$1, (Assumptions!$B$8)*(AH$1) + (Assumptions!$B$9)*MAX(0,  (HLOOKUP(AH$2,Earnings!$G$2:$BC$81,('Yearly Pension'!$A4)+1, FALSE)) - AH$1), ((Assumptions!$B$8)*'Yearly Pension'!AH$1))))</f>
        <v>720</v>
      </c>
      <c r="AI4" s="6">
        <f>(HLOOKUP('Yearly Pension'!AI$2,'Credited Service'!$G$1:$BC$80,$A4+1,FALSE)) * (IF($B4=500, (Assumptions!$B$7)*12, IF((HLOOKUP(AI$2,Earnings!$G$2:$BC$81,('Yearly Pension'!$A4)+1, FALSE)) &gt; AI$1, (Assumptions!$B$8)*(AI$1) + (Assumptions!$B$9)*MAX(0,  (HLOOKUP(AI$2,Earnings!$G$2:$BC$81,('Yearly Pension'!$A4)+1, FALSE)) - AI$1), ((Assumptions!$B$8)*'Yearly Pension'!AI$1))))</f>
        <v>720</v>
      </c>
      <c r="AJ4" s="6">
        <f>(HLOOKUP('Yearly Pension'!AJ$2,'Credited Service'!$G$1:$BC$80,$A4+1,FALSE)) * (IF($B4=500, (Assumptions!$B$7)*12, IF((HLOOKUP(AJ$2,Earnings!$G$2:$BC$81,('Yearly Pension'!$A4)+1, FALSE)) &gt; AJ$1, (Assumptions!$B$8)*(AJ$1) + (Assumptions!$B$9)*MAX(0,  (HLOOKUP(AJ$2,Earnings!$G$2:$BC$81,('Yearly Pension'!$A4)+1, FALSE)) - AJ$1), ((Assumptions!$B$8)*'Yearly Pension'!AJ$1))))</f>
        <v>720</v>
      </c>
      <c r="AK4" s="6">
        <f>(HLOOKUP('Yearly Pension'!AK$2,'Credited Service'!$G$1:$BC$80,$A4+1,FALSE)) * (IF($B4=500, (Assumptions!$B$7)*12, IF((HLOOKUP(AK$2,Earnings!$G$2:$BC$81,('Yearly Pension'!$A4)+1, FALSE)) &gt; AK$1, (Assumptions!$B$8)*(AK$1) + (Assumptions!$B$9)*MAX(0,  (HLOOKUP(AK$2,Earnings!$G$2:$BC$81,('Yearly Pension'!$A4)+1, FALSE)) - AK$1), ((Assumptions!$B$8)*'Yearly Pension'!AK$1))))</f>
        <v>720</v>
      </c>
      <c r="AL4" s="6">
        <f>(HLOOKUP('Yearly Pension'!AL$2,'Credited Service'!$G$1:$BC$80,$A4+1,FALSE)) * (IF($B4=500, (Assumptions!$B$7)*12, IF((HLOOKUP(AL$2,Earnings!$G$2:$BC$81,('Yearly Pension'!$A4)+1, FALSE)) &gt; AL$1, (Assumptions!$B$8)*(AL$1) + (Assumptions!$B$9)*MAX(0,  (HLOOKUP(AL$2,Earnings!$G$2:$BC$81,('Yearly Pension'!$A4)+1, FALSE)) - AL$1), ((Assumptions!$B$8)*'Yearly Pension'!AL$1))))</f>
        <v>720</v>
      </c>
      <c r="AM4" s="6">
        <f>(HLOOKUP('Yearly Pension'!AM$2,'Credited Service'!$G$1:$BC$80,$A4+1,FALSE)) * (IF($B4=500, (Assumptions!$B$7)*12, IF((HLOOKUP(AM$2,Earnings!$G$2:$BC$81,('Yearly Pension'!$A4)+1, FALSE)) &gt; AM$1, (Assumptions!$B$8)*(AM$1) + (Assumptions!$B$9)*MAX(0,  (HLOOKUP(AM$2,Earnings!$G$2:$BC$81,('Yearly Pension'!$A4)+1, FALSE)) - AM$1), ((Assumptions!$B$8)*'Yearly Pension'!AM$1))))</f>
        <v>720</v>
      </c>
      <c r="AN4" s="6">
        <f>(HLOOKUP('Yearly Pension'!AN$2,'Credited Service'!$G$1:$BC$80,$A4+1,FALSE)) * (IF($B4=500, (Assumptions!$B$7)*12, IF((HLOOKUP(AN$2,Earnings!$G$2:$BC$81,('Yearly Pension'!$A4)+1, FALSE)) &gt; AN$1, (Assumptions!$B$8)*(AN$1) + (Assumptions!$B$9)*MAX(0,  (HLOOKUP(AN$2,Earnings!$G$2:$BC$81,('Yearly Pension'!$A4)+1, FALSE)) - AN$1), ((Assumptions!$B$8)*'Yearly Pension'!AN$1))))</f>
        <v>720</v>
      </c>
      <c r="AO4" s="6">
        <f>(HLOOKUP('Yearly Pension'!AO$2,'Credited Service'!$G$1:$BC$80,$A4+1,FALSE)) * (IF($B4=500, (Assumptions!$B$7)*12, IF((HLOOKUP(AO$2,Earnings!$G$2:$BC$81,('Yearly Pension'!$A4)+1, FALSE)) &gt; AO$1, (Assumptions!$B$8)*(AO$1) + (Assumptions!$B$9)*MAX(0,  (HLOOKUP(AO$2,Earnings!$G$2:$BC$81,('Yearly Pension'!$A4)+1, FALSE)) - AO$1), ((Assumptions!$B$8)*'Yearly Pension'!AO$1))))</f>
        <v>720</v>
      </c>
      <c r="AP4" s="6">
        <f>(HLOOKUP('Yearly Pension'!AP$2,'Credited Service'!$G$1:$BC$80,$A4+1,FALSE)) * (IF($B4=500, (Assumptions!$B$7)*12, IF((HLOOKUP(AP$2,Earnings!$G$2:$BC$81,('Yearly Pension'!$A4)+1, FALSE)) &gt; AP$1, (Assumptions!$B$8)*(AP$1) + (Assumptions!$B$9)*MAX(0,  (HLOOKUP(AP$2,Earnings!$G$2:$BC$81,('Yearly Pension'!$A4)+1, FALSE)) - AP$1), ((Assumptions!$B$8)*'Yearly Pension'!AP$1))))</f>
        <v>720</v>
      </c>
      <c r="AQ4" s="6">
        <f>(HLOOKUP('Yearly Pension'!AQ$2,'Credited Service'!$G$1:$BC$80,$A4+1,FALSE)) * (IF($B4=500, (Assumptions!$B$7)*12, IF((HLOOKUP(AQ$2,Earnings!$G$2:$BC$81,('Yearly Pension'!$A4)+1, FALSE)) &gt; AQ$1, (Assumptions!$B$8)*(AQ$1) + (Assumptions!$B$9)*MAX(0,  (HLOOKUP(AQ$2,Earnings!$G$2:$BC$81,('Yearly Pension'!$A4)+1, FALSE)) - AQ$1), ((Assumptions!$B$8)*'Yearly Pension'!AQ$1))))</f>
        <v>720</v>
      </c>
      <c r="AR4" s="6">
        <f>(HLOOKUP('Yearly Pension'!AR$2,'Credited Service'!$G$1:$BC$80,$A4+1,FALSE)) * (IF($B4=500, (Assumptions!$B$7)*12, IF((HLOOKUP(AR$2,Earnings!$G$2:$BC$81,('Yearly Pension'!$A4)+1, FALSE)) &gt; AR$1, (Assumptions!$B$8)*(AR$1) + (Assumptions!$B$9)*MAX(0,  (HLOOKUP(AR$2,Earnings!$G$2:$BC$81,('Yearly Pension'!$A4)+1, FALSE)) - AR$1), ((Assumptions!$B$8)*'Yearly Pension'!AR$1))))</f>
        <v>720</v>
      </c>
      <c r="AS4" s="6">
        <f>(HLOOKUP('Yearly Pension'!AS$2,'Credited Service'!$G$1:$BC$80,$A4+1,FALSE)) * (IF($B4=500, (Assumptions!$B$7)*12, IF((HLOOKUP(AS$2,Earnings!$G$2:$BC$81,('Yearly Pension'!$A4)+1, FALSE)) &gt; AS$1, (Assumptions!$B$8)*(AS$1) + (Assumptions!$B$9)*MAX(0,  (HLOOKUP(AS$2,Earnings!$G$2:$BC$81,('Yearly Pension'!$A4)+1, FALSE)) - AS$1), ((Assumptions!$B$8)*'Yearly Pension'!AS$1))))</f>
        <v>720</v>
      </c>
      <c r="AT4" s="6">
        <f>(HLOOKUP('Yearly Pension'!AT$2,'Credited Service'!$G$1:$BC$80,$A4+1,FALSE)) * (IF($B4=500, (Assumptions!$B$7)*12, IF((HLOOKUP(AT$2,Earnings!$G$2:$BC$81,('Yearly Pension'!$A4)+1, FALSE)) &gt; AT$1, (Assumptions!$B$8)*(AT$1) + (Assumptions!$B$9)*MAX(0,  (HLOOKUP(AT$2,Earnings!$G$2:$BC$81,('Yearly Pension'!$A4)+1, FALSE)) - AT$1), ((Assumptions!$B$8)*'Yearly Pension'!AT$1))))</f>
        <v>720</v>
      </c>
      <c r="AU4" s="6">
        <f>(HLOOKUP('Yearly Pension'!AU$2,'Credited Service'!$G$1:$BC$80,$A4+1,FALSE)) * (IF($B4=500, (Assumptions!$B$7)*12, IF((HLOOKUP(AU$2,Earnings!$G$2:$BC$81,('Yearly Pension'!$A4)+1, FALSE)) &gt; AU$1, (Assumptions!$B$8)*(AU$1) + (Assumptions!$B$9)*MAX(0,  (HLOOKUP(AU$2,Earnings!$G$2:$BC$81,('Yearly Pension'!$A4)+1, FALSE)) - AU$1), ((Assumptions!$B$8)*'Yearly Pension'!AU$1))))</f>
        <v>720</v>
      </c>
      <c r="AV4" s="6">
        <f>(HLOOKUP('Yearly Pension'!AV$2,'Credited Service'!$G$1:$BC$80,$A4+1,FALSE)) * (IF($B4=500, (Assumptions!$B$7)*12, IF((HLOOKUP(AV$2,Earnings!$G$2:$BC$81,('Yearly Pension'!$A4)+1, FALSE)) &gt; AV$1, (Assumptions!$B$8)*(AV$1) + (Assumptions!$B$9)*MAX(0,  (HLOOKUP(AV$2,Earnings!$G$2:$BC$81,('Yearly Pension'!$A4)+1, FALSE)) - AV$1), ((Assumptions!$B$8)*'Yearly Pension'!AV$1))))</f>
        <v>720</v>
      </c>
      <c r="AW4" s="6">
        <f>(HLOOKUP('Yearly Pension'!AW$2,'Credited Service'!$G$1:$BC$80,$A4+1,FALSE)) * (IF($B4=500, (Assumptions!$B$7)*12, IF((HLOOKUP(AW$2,Earnings!$G$2:$BC$81,('Yearly Pension'!$A4)+1, FALSE)) &gt; AW$1, (Assumptions!$B$8)*(AW$1) + (Assumptions!$B$9)*MAX(0,  (HLOOKUP(AW$2,Earnings!$G$2:$BC$81,('Yearly Pension'!$A4)+1, FALSE)) - AW$1), ((Assumptions!$B$8)*'Yearly Pension'!AW$1))))</f>
        <v>720</v>
      </c>
      <c r="AX4" s="6">
        <f>(HLOOKUP('Yearly Pension'!AX$2,'Credited Service'!$G$1:$BC$80,$A4+1,FALSE)) * (IF($B4=500, (Assumptions!$B$7)*12, IF((HLOOKUP(AX$2,Earnings!$G$2:$BC$81,('Yearly Pension'!$A4)+1, FALSE)) &gt; AX$1, (Assumptions!$B$8)*(AX$1) + (Assumptions!$B$9)*MAX(0,  (HLOOKUP(AX$2,Earnings!$G$2:$BC$81,('Yearly Pension'!$A4)+1, FALSE)) - AX$1), ((Assumptions!$B$8)*'Yearly Pension'!AX$1))))</f>
        <v>720</v>
      </c>
      <c r="AY4" s="6">
        <f>(HLOOKUP('Yearly Pension'!AY$2,'Credited Service'!$G$1:$BC$80,$A4+1,FALSE)) * (IF($B4=500, (Assumptions!$B$7)*12, IF((HLOOKUP(AY$2,Earnings!$G$2:$BC$81,('Yearly Pension'!$A4)+1, FALSE)) &gt; AY$1, (Assumptions!$B$8)*(AY$1) + (Assumptions!$B$9)*MAX(0,  (HLOOKUP(AY$2,Earnings!$G$2:$BC$81,('Yearly Pension'!$A4)+1, FALSE)) - AY$1), ((Assumptions!$B$8)*'Yearly Pension'!AY$1))))</f>
        <v>720</v>
      </c>
      <c r="AZ4" s="6">
        <f>(HLOOKUP('Yearly Pension'!AZ$2,'Credited Service'!$G$1:$BC$80,$A4+1,FALSE)) * (IF($B4=500, (Assumptions!$B$7)*12, IF((HLOOKUP(AZ$2,Earnings!$G$2:$BC$81,('Yearly Pension'!$A4)+1, FALSE)) &gt; AZ$1, (Assumptions!$B$8)*(AZ$1) + (Assumptions!$B$9)*MAX(0,  (HLOOKUP(AZ$2,Earnings!$G$2:$BC$81,('Yearly Pension'!$A4)+1, FALSE)) - AZ$1), ((Assumptions!$B$8)*'Yearly Pension'!AZ$1))))</f>
        <v>720</v>
      </c>
      <c r="BA4" s="6">
        <f>(HLOOKUP('Yearly Pension'!BA$2,'Credited Service'!$G$1:$BC$80,$A4+1,FALSE)) * (IF($B4=500, (Assumptions!$B$7)*12, IF((HLOOKUP(BA$2,Earnings!$G$2:$BC$81,('Yearly Pension'!$A4)+1, FALSE)) &gt; BA$1, (Assumptions!$B$8)*(BA$1) + (Assumptions!$B$9)*MAX(0,  (HLOOKUP(BA$2,Earnings!$G$2:$BC$81,('Yearly Pension'!$A4)+1, FALSE)) - BA$1), ((Assumptions!$B$8)*'Yearly Pension'!BA$1))))</f>
        <v>720</v>
      </c>
      <c r="BB4" s="6">
        <f>(HLOOKUP('Yearly Pension'!BB$2,'Credited Service'!$G$1:$BC$80,$A4+1,FALSE)) * (IF($B4=500, (Assumptions!$B$7)*12, IF((HLOOKUP(BB$2,Earnings!$G$2:$BC$81,('Yearly Pension'!$A4)+1, FALSE)) &gt; BB$1, (Assumptions!$B$8)*(BB$1) + (Assumptions!$B$9)*MAX(0,  (HLOOKUP(BB$2,Earnings!$G$2:$BC$81,('Yearly Pension'!$A4)+1, FALSE)) - BB$1), ((Assumptions!$B$8)*'Yearly Pension'!BB$1))))</f>
        <v>720</v>
      </c>
      <c r="BC4" s="6">
        <f>(HLOOKUP('Yearly Pension'!BC$2,'Credited Service'!$G$1:$BC$80,$A4+1,FALSE)) * (IF($B4=500, (Assumptions!$B$7)*12, IF((HLOOKUP(BC$2,Earnings!$G$2:$BC$81,('Yearly Pension'!$A4)+1, FALSE)) &gt; BC$1, (Assumptions!$B$8)*(BC$1) + (Assumptions!$B$9)*MAX(0,  (HLOOKUP(BC$2,Earnings!$G$2:$BC$81,('Yearly Pension'!$A4)+1, FALSE)) - BC$1), ((Assumptions!$B$8)*'Yearly Pension'!BC$1))))</f>
        <v>720</v>
      </c>
    </row>
    <row r="5" spans="1:60" x14ac:dyDescent="0.25">
      <c r="A5" s="204">
        <v>3</v>
      </c>
      <c r="B5" s="1">
        <v>500</v>
      </c>
      <c r="C5" s="1">
        <v>769</v>
      </c>
      <c r="D5" s="3">
        <v>38148</v>
      </c>
      <c r="E5" s="3">
        <v>51441</v>
      </c>
      <c r="G5" s="6">
        <f>(HLOOKUP('Yearly Pension'!G$2,'Credited Service'!$G$1:$BC$80,$A5+1,FALSE)) * (IF($B5=500, (Assumptions!$B$7)*12, IF((HLOOKUP(G$2,Earnings!$G$2:$BC$81,('Yearly Pension'!$A5)+1, FALSE)) &gt; G$1, (Assumptions!$B$8)*(G$1) + (Assumptions!$B$9)*MAX(0,  (HLOOKUP(G$2,Earnings!$G$2:$BC$81,('Yearly Pension'!$A5)+1, FALSE)) - G$1), ((Assumptions!$B$8)*'Yearly Pension'!G$1))))</f>
        <v>0</v>
      </c>
      <c r="H5" s="6">
        <f>(HLOOKUP('Yearly Pension'!H$2,'Credited Service'!$G$1:$BC$80,$A5+1,FALSE)) * (IF($B5=500, (Assumptions!$B$7)*12, IF((HLOOKUP(H$2,Earnings!$G$2:$BC$81,('Yearly Pension'!$A5)+1, FALSE)) &gt; H$1, (Assumptions!$B$8)*(H$1) + (Assumptions!$B$9)*MAX(0,  (HLOOKUP(H$2,Earnings!$G$2:$BC$81,('Yearly Pension'!$A5)+1, FALSE)) - H$1), ((Assumptions!$B$8)*'Yearly Pension'!H$1))))</f>
        <v>0</v>
      </c>
      <c r="I5" s="6">
        <f>(HLOOKUP('Yearly Pension'!I$2,'Credited Service'!$G$1:$BC$80,$A5+1,FALSE)) * (IF($B5=500, (Assumptions!$B$7)*12, IF((HLOOKUP(I$2,Earnings!$G$2:$BC$81,('Yearly Pension'!$A5)+1, FALSE)) &gt; I$1, (Assumptions!$B$8)*(I$1) + (Assumptions!$B$9)*MAX(0,  (HLOOKUP(I$2,Earnings!$G$2:$BC$81,('Yearly Pension'!$A5)+1, FALSE)) - I$1), ((Assumptions!$B$8)*'Yearly Pension'!I$1))))</f>
        <v>0</v>
      </c>
      <c r="J5" s="6">
        <f>(HLOOKUP('Yearly Pension'!J$2,'Credited Service'!$G$1:$BC$80,$A5+1,FALSE)) * (IF($B5=500, (Assumptions!$B$7)*12, IF((HLOOKUP(J$2,Earnings!$G$2:$BC$81,('Yearly Pension'!$A5)+1, FALSE)) &gt; J$1, (Assumptions!$B$8)*(J$1) + (Assumptions!$B$9)*MAX(0,  (HLOOKUP(J$2,Earnings!$G$2:$BC$81,('Yearly Pension'!$A5)+1, FALSE)) - J$1), ((Assumptions!$B$8)*'Yearly Pension'!J$1))))</f>
        <v>0</v>
      </c>
      <c r="K5" s="6">
        <f>(HLOOKUP('Yearly Pension'!K$2,'Credited Service'!$G$1:$BC$80,$A5+1,FALSE)) * (IF($B5=500, (Assumptions!$B$7)*12, IF((HLOOKUP(K$2,Earnings!$G$2:$BC$81,('Yearly Pension'!$A5)+1, FALSE)) &gt; K$1, (Assumptions!$B$8)*(K$1) + (Assumptions!$B$9)*MAX(0,  (HLOOKUP(K$2,Earnings!$G$2:$BC$81,('Yearly Pension'!$A5)+1, FALSE)) - K$1), ((Assumptions!$B$8)*'Yearly Pension'!K$1))))</f>
        <v>0</v>
      </c>
      <c r="L5" s="6">
        <f>(HLOOKUP('Yearly Pension'!L$2,'Credited Service'!$G$1:$BC$80,$A5+1,FALSE)) * (IF($B5=500, (Assumptions!$B$7)*12, IF((HLOOKUP(L$2,Earnings!$G$2:$BC$81,('Yearly Pension'!$A5)+1, FALSE)) &gt; L$1, (Assumptions!$B$8)*(L$1) + (Assumptions!$B$9)*MAX(0,  (HLOOKUP(L$2,Earnings!$G$2:$BC$81,('Yearly Pension'!$A5)+1, FALSE)) - L$1), ((Assumptions!$B$8)*'Yearly Pension'!L$1))))</f>
        <v>0</v>
      </c>
      <c r="M5" s="6">
        <f>(HLOOKUP('Yearly Pension'!M$2,'Credited Service'!$G$1:$BC$80,$A5+1,FALSE)) * (IF($B5=500, (Assumptions!$B$7)*12, IF((HLOOKUP(M$2,Earnings!$G$2:$BC$81,('Yearly Pension'!$A5)+1, FALSE)) &gt; M$1, (Assumptions!$B$8)*(M$1) + (Assumptions!$B$9)*MAX(0,  (HLOOKUP(M$2,Earnings!$G$2:$BC$81,('Yearly Pension'!$A5)+1, FALSE)) - M$1), ((Assumptions!$B$8)*'Yearly Pension'!M$1))))</f>
        <v>0</v>
      </c>
      <c r="N5" s="6">
        <f>(HLOOKUP('Yearly Pension'!N$2,'Credited Service'!$G$1:$BC$80,$A5+1,FALSE)) * (IF($B5=500, (Assumptions!$B$7)*12, IF((HLOOKUP(N$2,Earnings!$G$2:$BC$81,('Yearly Pension'!$A5)+1, FALSE)) &gt; N$1, (Assumptions!$B$8)*(N$1) + (Assumptions!$B$9)*MAX(0,  (HLOOKUP(N$2,Earnings!$G$2:$BC$81,('Yearly Pension'!$A5)+1, FALSE)) - N$1), ((Assumptions!$B$8)*'Yearly Pension'!N$1))))</f>
        <v>0</v>
      </c>
      <c r="O5" s="6">
        <f>(HLOOKUP('Yearly Pension'!O$2,'Credited Service'!$G$1:$BC$80,$A5+1,FALSE)) * (IF($B5=500, (Assumptions!$B$7)*12, IF((HLOOKUP(O$2,Earnings!$G$2:$BC$81,('Yearly Pension'!$A5)+1, FALSE)) &gt; O$1, (Assumptions!$B$8)*(O$1) + (Assumptions!$B$9)*MAX(0,  (HLOOKUP(O$2,Earnings!$G$2:$BC$81,('Yearly Pension'!$A5)+1, FALSE)) - O$1), ((Assumptions!$B$8)*'Yearly Pension'!O$1))))</f>
        <v>0</v>
      </c>
      <c r="P5" s="6">
        <f>(HLOOKUP('Yearly Pension'!P$2,'Credited Service'!$G$1:$BC$80,$A5+1,FALSE)) * (IF($B5=500, (Assumptions!$B$7)*12, IF((HLOOKUP(P$2,Earnings!$G$2:$BC$81,('Yearly Pension'!$A5)+1, FALSE)) &gt; P$1, (Assumptions!$B$8)*(P$1) + (Assumptions!$B$9)*MAX(0,  (HLOOKUP(P$2,Earnings!$G$2:$BC$81,('Yearly Pension'!$A5)+1, FALSE)) - P$1), ((Assumptions!$B$8)*'Yearly Pension'!P$1))))</f>
        <v>0</v>
      </c>
      <c r="Q5" s="6">
        <f>(HLOOKUP('Yearly Pension'!Q$2,'Credited Service'!$G$1:$BC$80,$A5+1,FALSE)) * (IF($B5=500, (Assumptions!$B$7)*12, IF((HLOOKUP(Q$2,Earnings!$G$2:$BC$81,('Yearly Pension'!$A5)+1, FALSE)) &gt; Q$1, (Assumptions!$B$8)*(Q$1) + (Assumptions!$B$9)*MAX(0,  (HLOOKUP(Q$2,Earnings!$G$2:$BC$81,('Yearly Pension'!$A5)+1, FALSE)) - Q$1), ((Assumptions!$B$8)*'Yearly Pension'!Q$1))))</f>
        <v>0</v>
      </c>
      <c r="R5" s="6">
        <f>(HLOOKUP('Yearly Pension'!R$2,'Credited Service'!$G$1:$BC$80,$A5+1,FALSE)) * (IF($B5=500, (Assumptions!$B$7)*12, IF((HLOOKUP(R$2,Earnings!$G$2:$BC$81,('Yearly Pension'!$A5)+1, FALSE)) &gt; R$1, (Assumptions!$B$8)*(R$1) + (Assumptions!$B$9)*MAX(0,  (HLOOKUP(R$2,Earnings!$G$2:$BC$81,('Yearly Pension'!$A5)+1, FALSE)) - R$1), ((Assumptions!$B$8)*'Yearly Pension'!R$1))))</f>
        <v>0</v>
      </c>
      <c r="S5" s="6">
        <f>(HLOOKUP('Yearly Pension'!S$2,'Credited Service'!$G$1:$BC$80,$A5+1,FALSE)) * (IF($B5=500, (Assumptions!$B$7)*12, IF((HLOOKUP(S$2,Earnings!$G$2:$BC$81,('Yearly Pension'!$A5)+1, FALSE)) &gt; S$1, (Assumptions!$B$8)*(S$1) + (Assumptions!$B$9)*MAX(0,  (HLOOKUP(S$2,Earnings!$G$2:$BC$81,('Yearly Pension'!$A5)+1, FALSE)) - S$1), ((Assumptions!$B$8)*'Yearly Pension'!S$1))))</f>
        <v>0</v>
      </c>
      <c r="T5" s="6">
        <f>(HLOOKUP('Yearly Pension'!T$2,'Credited Service'!$G$1:$BC$80,$A5+1,FALSE)) * (IF($B5=500, (Assumptions!$B$7)*12, IF((HLOOKUP(T$2,Earnings!$G$2:$BC$81,('Yearly Pension'!$A5)+1, FALSE)) &gt; T$1, (Assumptions!$B$8)*(T$1) + (Assumptions!$B$9)*MAX(0,  (HLOOKUP(T$2,Earnings!$G$2:$BC$81,('Yearly Pension'!$A5)+1, FALSE)) - T$1), ((Assumptions!$B$8)*'Yearly Pension'!T$1))))</f>
        <v>0</v>
      </c>
      <c r="U5" s="6">
        <f>(HLOOKUP('Yearly Pension'!U$2,'Credited Service'!$G$1:$BC$80,$A5+1,FALSE)) * (IF($B5=500, (Assumptions!$B$7)*12, IF((HLOOKUP(U$2,Earnings!$G$2:$BC$81,('Yearly Pension'!$A5)+1, FALSE)) &gt; U$1, (Assumptions!$B$8)*(U$1) + (Assumptions!$B$9)*MAX(0,  (HLOOKUP(U$2,Earnings!$G$2:$BC$81,('Yearly Pension'!$A5)+1, FALSE)) - U$1), ((Assumptions!$B$8)*'Yearly Pension'!U$1))))</f>
        <v>0</v>
      </c>
      <c r="V5" s="6">
        <f>(HLOOKUP('Yearly Pension'!V$2,'Credited Service'!$G$1:$BC$80,$A5+1,FALSE)) * (IF($B5=500, (Assumptions!$B$7)*12, IF((HLOOKUP(V$2,Earnings!$G$2:$BC$81,('Yearly Pension'!$A5)+1, FALSE)) &gt; V$1, (Assumptions!$B$8)*(V$1) + (Assumptions!$B$9)*MAX(0,  (HLOOKUP(V$2,Earnings!$G$2:$BC$81,('Yearly Pension'!$A5)+1, FALSE)) - V$1), ((Assumptions!$B$8)*'Yearly Pension'!V$1))))</f>
        <v>0</v>
      </c>
      <c r="W5" s="6">
        <f>(HLOOKUP('Yearly Pension'!W$2,'Credited Service'!$G$1:$BC$80,$A5+1,FALSE)) * (IF($B5=500, (Assumptions!$B$7)*12, IF((HLOOKUP(W$2,Earnings!$G$2:$BC$81,('Yearly Pension'!$A5)+1, FALSE)) &gt; W$1, (Assumptions!$B$8)*(W$1) + (Assumptions!$B$9)*MAX(0,  (HLOOKUP(W$2,Earnings!$G$2:$BC$81,('Yearly Pension'!$A5)+1, FALSE)) - W$1), ((Assumptions!$B$8)*'Yearly Pension'!W$1))))</f>
        <v>0</v>
      </c>
      <c r="X5" s="6">
        <f>(HLOOKUP('Yearly Pension'!X$2,'Credited Service'!$G$1:$BC$80,$A5+1,FALSE)) * (IF($B5=500, (Assumptions!$B$7)*12, IF((HLOOKUP(X$2,Earnings!$G$2:$BC$81,('Yearly Pension'!$A5)+1, FALSE)) &gt; X$1, (Assumptions!$B$8)*(X$1) + (Assumptions!$B$9)*MAX(0,  (HLOOKUP(X$2,Earnings!$G$2:$BC$81,('Yearly Pension'!$A5)+1, FALSE)) - X$1), ((Assumptions!$B$8)*'Yearly Pension'!X$1))))</f>
        <v>0</v>
      </c>
      <c r="Y5" s="6">
        <f>(HLOOKUP('Yearly Pension'!Y$2,'Credited Service'!$G$1:$BC$80,$A5+1,FALSE)) * (IF($B5=500, (Assumptions!$B$7)*12, IF((HLOOKUP(Y$2,Earnings!$G$2:$BC$81,('Yearly Pension'!$A5)+1, FALSE)) &gt; Y$1, (Assumptions!$B$8)*(Y$1) + (Assumptions!$B$9)*MAX(0,  (HLOOKUP(Y$2,Earnings!$G$2:$BC$81,('Yearly Pension'!$A5)+1, FALSE)) - Y$1), ((Assumptions!$B$8)*'Yearly Pension'!Y$1))))</f>
        <v>0</v>
      </c>
      <c r="Z5" s="6">
        <f>(HLOOKUP('Yearly Pension'!Z$2,'Credited Service'!$G$1:$BC$80,$A5+1,FALSE)) * (IF($B5=500, (Assumptions!$B$7)*12, IF((HLOOKUP(Z$2,Earnings!$G$2:$BC$81,('Yearly Pension'!$A5)+1, FALSE)) &gt; Z$1, (Assumptions!$B$8)*(Z$1) + (Assumptions!$B$9)*MAX(0,  (HLOOKUP(Z$2,Earnings!$G$2:$BC$81,('Yearly Pension'!$A5)+1, FALSE)) - Z$1), ((Assumptions!$B$8)*'Yearly Pension'!Z$1))))</f>
        <v>0</v>
      </c>
      <c r="AA5" s="6">
        <f>(HLOOKUP('Yearly Pension'!AA$2,'Credited Service'!$G$1:$BC$80,$A5+1,FALSE)) * (IF($B5=500, (Assumptions!$B$7)*12, IF((HLOOKUP(AA$2,Earnings!$G$2:$BC$81,('Yearly Pension'!$A5)+1, FALSE)) &gt; AA$1, (Assumptions!$B$8)*(AA$1) + (Assumptions!$B$9)*MAX(0,  (HLOOKUP(AA$2,Earnings!$G$2:$BC$81,('Yearly Pension'!$A5)+1, FALSE)) - AA$1), ((Assumptions!$B$8)*'Yearly Pension'!AA$1))))</f>
        <v>0</v>
      </c>
      <c r="AB5" s="6">
        <f>(HLOOKUP('Yearly Pension'!AB$2,'Credited Service'!$G$1:$BC$80,$A5+1,FALSE)) * (IF($B5=500, (Assumptions!$B$7)*12, IF((HLOOKUP(AB$2,Earnings!$G$2:$BC$81,('Yearly Pension'!$A5)+1, FALSE)) &gt; AB$1, (Assumptions!$B$8)*(AB$1) + (Assumptions!$B$9)*MAX(0,  (HLOOKUP(AB$2,Earnings!$G$2:$BC$81,('Yearly Pension'!$A5)+1, FALSE)) - AB$1), ((Assumptions!$B$8)*'Yearly Pension'!AB$1))))</f>
        <v>0</v>
      </c>
      <c r="AC5" s="6">
        <f>(HLOOKUP('Yearly Pension'!AC$2,'Credited Service'!$G$1:$BC$80,$A5+1,FALSE)) * (IF($B5=500, (Assumptions!$B$7)*12, IF((HLOOKUP(AC$2,Earnings!$G$2:$BC$81,('Yearly Pension'!$A5)+1, FALSE)) &gt; AC$1, (Assumptions!$B$8)*(AC$1) + (Assumptions!$B$9)*MAX(0,  (HLOOKUP(AC$2,Earnings!$G$2:$BC$81,('Yearly Pension'!$A5)+1, FALSE)) - AC$1), ((Assumptions!$B$8)*'Yearly Pension'!AC$1))))</f>
        <v>0</v>
      </c>
      <c r="AD5" s="6">
        <f>(HLOOKUP('Yearly Pension'!AD$2,'Credited Service'!$G$1:$BC$80,$A5+1,FALSE)) * (IF($B5=500, (Assumptions!$B$7)*12, IF((HLOOKUP(AD$2,Earnings!$G$2:$BC$81,('Yearly Pension'!$A5)+1, FALSE)) &gt; AD$1, (Assumptions!$B$8)*(AD$1) + (Assumptions!$B$9)*MAX(0,  (HLOOKUP(AD$2,Earnings!$G$2:$BC$81,('Yearly Pension'!$A5)+1, FALSE)) - AD$1), ((Assumptions!$B$8)*'Yearly Pension'!AD$1))))</f>
        <v>0</v>
      </c>
      <c r="AE5" s="6">
        <f>(HLOOKUP('Yearly Pension'!AE$2,'Credited Service'!$G$1:$BC$80,$A5+1,FALSE)) * (IF($B5=500, (Assumptions!$B$7)*12, IF((HLOOKUP(AE$2,Earnings!$G$2:$BC$81,('Yearly Pension'!$A5)+1, FALSE)) &gt; AE$1, (Assumptions!$B$8)*(AE$1) + (Assumptions!$B$9)*MAX(0,  (HLOOKUP(AE$2,Earnings!$G$2:$BC$81,('Yearly Pension'!$A5)+1, FALSE)) - AE$1), ((Assumptions!$B$8)*'Yearly Pension'!AE$1))))</f>
        <v>0</v>
      </c>
      <c r="AF5" s="6">
        <f>(HLOOKUP('Yearly Pension'!AF$2,'Credited Service'!$G$1:$BC$80,$A5+1,FALSE)) * (IF($B5=500, (Assumptions!$B$7)*12, IF((HLOOKUP(AF$2,Earnings!$G$2:$BC$81,('Yearly Pension'!$A5)+1, FALSE)) &gt; AF$1, (Assumptions!$B$8)*(AF$1) + (Assumptions!$B$9)*MAX(0,  (HLOOKUP(AF$2,Earnings!$G$2:$BC$81,('Yearly Pension'!$A5)+1, FALSE)) - AF$1), ((Assumptions!$B$8)*'Yearly Pension'!AF$1))))</f>
        <v>0</v>
      </c>
      <c r="AG5" s="6">
        <f>(HLOOKUP('Yearly Pension'!AG$2,'Credited Service'!$G$1:$BC$80,$A5+1,FALSE)) * (IF($B5=500, (Assumptions!$B$7)*12, IF((HLOOKUP(AG$2,Earnings!$G$2:$BC$81,('Yearly Pension'!$A5)+1, FALSE)) &gt; AG$1, (Assumptions!$B$8)*(AG$1) + (Assumptions!$B$9)*MAX(0,  (HLOOKUP(AG$2,Earnings!$G$2:$BC$81,('Yearly Pension'!$A5)+1, FALSE)) - AG$1), ((Assumptions!$B$8)*'Yearly Pension'!AG$1))))</f>
        <v>0</v>
      </c>
      <c r="AH5" s="6">
        <f>(HLOOKUP('Yearly Pension'!AH$2,'Credited Service'!$G$1:$BC$80,$A5+1,FALSE)) * (IF($B5=500, (Assumptions!$B$7)*12, IF((HLOOKUP(AH$2,Earnings!$G$2:$BC$81,('Yearly Pension'!$A5)+1, FALSE)) &gt; AH$1, (Assumptions!$B$8)*(AH$1) + (Assumptions!$B$9)*MAX(0,  (HLOOKUP(AH$2,Earnings!$G$2:$BC$81,('Yearly Pension'!$A5)+1, FALSE)) - AH$1), ((Assumptions!$B$8)*'Yearly Pension'!AH$1))))</f>
        <v>360</v>
      </c>
      <c r="AI5" s="6">
        <f>(HLOOKUP('Yearly Pension'!AI$2,'Credited Service'!$G$1:$BC$80,$A5+1,FALSE)) * (IF($B5=500, (Assumptions!$B$7)*12, IF((HLOOKUP(AI$2,Earnings!$G$2:$BC$81,('Yearly Pension'!$A5)+1, FALSE)) &gt; AI$1, (Assumptions!$B$8)*(AI$1) + (Assumptions!$B$9)*MAX(0,  (HLOOKUP(AI$2,Earnings!$G$2:$BC$81,('Yearly Pension'!$A5)+1, FALSE)) - AI$1), ((Assumptions!$B$8)*'Yearly Pension'!AI$1))))</f>
        <v>720</v>
      </c>
      <c r="AJ5" s="6">
        <f>(HLOOKUP('Yearly Pension'!AJ$2,'Credited Service'!$G$1:$BC$80,$A5+1,FALSE)) * (IF($B5=500, (Assumptions!$B$7)*12, IF((HLOOKUP(AJ$2,Earnings!$G$2:$BC$81,('Yearly Pension'!$A5)+1, FALSE)) &gt; AJ$1, (Assumptions!$B$8)*(AJ$1) + (Assumptions!$B$9)*MAX(0,  (HLOOKUP(AJ$2,Earnings!$G$2:$BC$81,('Yearly Pension'!$A5)+1, FALSE)) - AJ$1), ((Assumptions!$B$8)*'Yearly Pension'!AJ$1))))</f>
        <v>720</v>
      </c>
      <c r="AK5" s="6">
        <f>(HLOOKUP('Yearly Pension'!AK$2,'Credited Service'!$G$1:$BC$80,$A5+1,FALSE)) * (IF($B5=500, (Assumptions!$B$7)*12, IF((HLOOKUP(AK$2,Earnings!$G$2:$BC$81,('Yearly Pension'!$A5)+1, FALSE)) &gt; AK$1, (Assumptions!$B$8)*(AK$1) + (Assumptions!$B$9)*MAX(0,  (HLOOKUP(AK$2,Earnings!$G$2:$BC$81,('Yearly Pension'!$A5)+1, FALSE)) - AK$1), ((Assumptions!$B$8)*'Yearly Pension'!AK$1))))</f>
        <v>720</v>
      </c>
      <c r="AL5" s="6">
        <f>(HLOOKUP('Yearly Pension'!AL$2,'Credited Service'!$G$1:$BC$80,$A5+1,FALSE)) * (IF($B5=500, (Assumptions!$B$7)*12, IF((HLOOKUP(AL$2,Earnings!$G$2:$BC$81,('Yearly Pension'!$A5)+1, FALSE)) &gt; AL$1, (Assumptions!$B$8)*(AL$1) + (Assumptions!$B$9)*MAX(0,  (HLOOKUP(AL$2,Earnings!$G$2:$BC$81,('Yearly Pension'!$A5)+1, FALSE)) - AL$1), ((Assumptions!$B$8)*'Yearly Pension'!AL$1))))</f>
        <v>720</v>
      </c>
      <c r="AM5" s="6">
        <f>(HLOOKUP('Yearly Pension'!AM$2,'Credited Service'!$G$1:$BC$80,$A5+1,FALSE)) * (IF($B5=500, (Assumptions!$B$7)*12, IF((HLOOKUP(AM$2,Earnings!$G$2:$BC$81,('Yearly Pension'!$A5)+1, FALSE)) &gt; AM$1, (Assumptions!$B$8)*(AM$1) + (Assumptions!$B$9)*MAX(0,  (HLOOKUP(AM$2,Earnings!$G$2:$BC$81,('Yearly Pension'!$A5)+1, FALSE)) - AM$1), ((Assumptions!$B$8)*'Yearly Pension'!AM$1))))</f>
        <v>720</v>
      </c>
      <c r="AN5" s="6">
        <f>(HLOOKUP('Yearly Pension'!AN$2,'Credited Service'!$G$1:$BC$80,$A5+1,FALSE)) * (IF($B5=500, (Assumptions!$B$7)*12, IF((HLOOKUP(AN$2,Earnings!$G$2:$BC$81,('Yearly Pension'!$A5)+1, FALSE)) &gt; AN$1, (Assumptions!$B$8)*(AN$1) + (Assumptions!$B$9)*MAX(0,  (HLOOKUP(AN$2,Earnings!$G$2:$BC$81,('Yearly Pension'!$A5)+1, FALSE)) - AN$1), ((Assumptions!$B$8)*'Yearly Pension'!AN$1))))</f>
        <v>720</v>
      </c>
      <c r="AO5" s="6">
        <f>(HLOOKUP('Yearly Pension'!AO$2,'Credited Service'!$G$1:$BC$80,$A5+1,FALSE)) * (IF($B5=500, (Assumptions!$B$7)*12, IF((HLOOKUP(AO$2,Earnings!$G$2:$BC$81,('Yearly Pension'!$A5)+1, FALSE)) &gt; AO$1, (Assumptions!$B$8)*(AO$1) + (Assumptions!$B$9)*MAX(0,  (HLOOKUP(AO$2,Earnings!$G$2:$BC$81,('Yearly Pension'!$A5)+1, FALSE)) - AO$1), ((Assumptions!$B$8)*'Yearly Pension'!AO$1))))</f>
        <v>720</v>
      </c>
      <c r="AP5" s="6">
        <f>(HLOOKUP('Yearly Pension'!AP$2,'Credited Service'!$G$1:$BC$80,$A5+1,FALSE)) * (IF($B5=500, (Assumptions!$B$7)*12, IF((HLOOKUP(AP$2,Earnings!$G$2:$BC$81,('Yearly Pension'!$A5)+1, FALSE)) &gt; AP$1, (Assumptions!$B$8)*(AP$1) + (Assumptions!$B$9)*MAX(0,  (HLOOKUP(AP$2,Earnings!$G$2:$BC$81,('Yearly Pension'!$A5)+1, FALSE)) - AP$1), ((Assumptions!$B$8)*'Yearly Pension'!AP$1))))</f>
        <v>720</v>
      </c>
      <c r="AQ5" s="6">
        <f>(HLOOKUP('Yearly Pension'!AQ$2,'Credited Service'!$G$1:$BC$80,$A5+1,FALSE)) * (IF($B5=500, (Assumptions!$B$7)*12, IF((HLOOKUP(AQ$2,Earnings!$G$2:$BC$81,('Yearly Pension'!$A5)+1, FALSE)) &gt; AQ$1, (Assumptions!$B$8)*(AQ$1) + (Assumptions!$B$9)*MAX(0,  (HLOOKUP(AQ$2,Earnings!$G$2:$BC$81,('Yearly Pension'!$A5)+1, FALSE)) - AQ$1), ((Assumptions!$B$8)*'Yearly Pension'!AQ$1))))</f>
        <v>720</v>
      </c>
      <c r="AR5" s="6">
        <f>(HLOOKUP('Yearly Pension'!AR$2,'Credited Service'!$G$1:$BC$80,$A5+1,FALSE)) * (IF($B5=500, (Assumptions!$B$7)*12, IF((HLOOKUP(AR$2,Earnings!$G$2:$BC$81,('Yearly Pension'!$A5)+1, FALSE)) &gt; AR$1, (Assumptions!$B$8)*(AR$1) + (Assumptions!$B$9)*MAX(0,  (HLOOKUP(AR$2,Earnings!$G$2:$BC$81,('Yearly Pension'!$A5)+1, FALSE)) - AR$1), ((Assumptions!$B$8)*'Yearly Pension'!AR$1))))</f>
        <v>720</v>
      </c>
      <c r="AS5" s="6">
        <f>(HLOOKUP('Yearly Pension'!AS$2,'Credited Service'!$G$1:$BC$80,$A5+1,FALSE)) * (IF($B5=500, (Assumptions!$B$7)*12, IF((HLOOKUP(AS$2,Earnings!$G$2:$BC$81,('Yearly Pension'!$A5)+1, FALSE)) &gt; AS$1, (Assumptions!$B$8)*(AS$1) + (Assumptions!$B$9)*MAX(0,  (HLOOKUP(AS$2,Earnings!$G$2:$BC$81,('Yearly Pension'!$A5)+1, FALSE)) - AS$1), ((Assumptions!$B$8)*'Yearly Pension'!AS$1))))</f>
        <v>720</v>
      </c>
      <c r="AT5" s="6">
        <f>(HLOOKUP('Yearly Pension'!AT$2,'Credited Service'!$G$1:$BC$80,$A5+1,FALSE)) * (IF($B5=500, (Assumptions!$B$7)*12, IF((HLOOKUP(AT$2,Earnings!$G$2:$BC$81,('Yearly Pension'!$A5)+1, FALSE)) &gt; AT$1, (Assumptions!$B$8)*(AT$1) + (Assumptions!$B$9)*MAX(0,  (HLOOKUP(AT$2,Earnings!$G$2:$BC$81,('Yearly Pension'!$A5)+1, FALSE)) - AT$1), ((Assumptions!$B$8)*'Yearly Pension'!AT$1))))</f>
        <v>720</v>
      </c>
      <c r="AU5" s="6">
        <f>(HLOOKUP('Yearly Pension'!AU$2,'Credited Service'!$G$1:$BC$80,$A5+1,FALSE)) * (IF($B5=500, (Assumptions!$B$7)*12, IF((HLOOKUP(AU$2,Earnings!$G$2:$BC$81,('Yearly Pension'!$A5)+1, FALSE)) &gt; AU$1, (Assumptions!$B$8)*(AU$1) + (Assumptions!$B$9)*MAX(0,  (HLOOKUP(AU$2,Earnings!$G$2:$BC$81,('Yearly Pension'!$A5)+1, FALSE)) - AU$1), ((Assumptions!$B$8)*'Yearly Pension'!AU$1))))</f>
        <v>720</v>
      </c>
      <c r="AV5" s="6">
        <f>(HLOOKUP('Yearly Pension'!AV$2,'Credited Service'!$G$1:$BC$80,$A5+1,FALSE)) * (IF($B5=500, (Assumptions!$B$7)*12, IF((HLOOKUP(AV$2,Earnings!$G$2:$BC$81,('Yearly Pension'!$A5)+1, FALSE)) &gt; AV$1, (Assumptions!$B$8)*(AV$1) + (Assumptions!$B$9)*MAX(0,  (HLOOKUP(AV$2,Earnings!$G$2:$BC$81,('Yearly Pension'!$A5)+1, FALSE)) - AV$1), ((Assumptions!$B$8)*'Yearly Pension'!AV$1))))</f>
        <v>720</v>
      </c>
      <c r="AW5" s="6">
        <f>(HLOOKUP('Yearly Pension'!AW$2,'Credited Service'!$G$1:$BC$80,$A5+1,FALSE)) * (IF($B5=500, (Assumptions!$B$7)*12, IF((HLOOKUP(AW$2,Earnings!$G$2:$BC$81,('Yearly Pension'!$A5)+1, FALSE)) &gt; AW$1, (Assumptions!$B$8)*(AW$1) + (Assumptions!$B$9)*MAX(0,  (HLOOKUP(AW$2,Earnings!$G$2:$BC$81,('Yearly Pension'!$A5)+1, FALSE)) - AW$1), ((Assumptions!$B$8)*'Yearly Pension'!AW$1))))</f>
        <v>720</v>
      </c>
      <c r="AX5" s="6">
        <f>(HLOOKUP('Yearly Pension'!AX$2,'Credited Service'!$G$1:$BC$80,$A5+1,FALSE)) * (IF($B5=500, (Assumptions!$B$7)*12, IF((HLOOKUP(AX$2,Earnings!$G$2:$BC$81,('Yearly Pension'!$A5)+1, FALSE)) &gt; AX$1, (Assumptions!$B$8)*(AX$1) + (Assumptions!$B$9)*MAX(0,  (HLOOKUP(AX$2,Earnings!$G$2:$BC$81,('Yearly Pension'!$A5)+1, FALSE)) - AX$1), ((Assumptions!$B$8)*'Yearly Pension'!AX$1))))</f>
        <v>720</v>
      </c>
      <c r="AY5" s="6">
        <f>(HLOOKUP('Yearly Pension'!AY$2,'Credited Service'!$G$1:$BC$80,$A5+1,FALSE)) * (IF($B5=500, (Assumptions!$B$7)*12, IF((HLOOKUP(AY$2,Earnings!$G$2:$BC$81,('Yearly Pension'!$A5)+1, FALSE)) &gt; AY$1, (Assumptions!$B$8)*(AY$1) + (Assumptions!$B$9)*MAX(0,  (HLOOKUP(AY$2,Earnings!$G$2:$BC$81,('Yearly Pension'!$A5)+1, FALSE)) - AY$1), ((Assumptions!$B$8)*'Yearly Pension'!AY$1))))</f>
        <v>720</v>
      </c>
      <c r="AZ5" s="6">
        <f>(HLOOKUP('Yearly Pension'!AZ$2,'Credited Service'!$G$1:$BC$80,$A5+1,FALSE)) * (IF($B5=500, (Assumptions!$B$7)*12, IF((HLOOKUP(AZ$2,Earnings!$G$2:$BC$81,('Yearly Pension'!$A5)+1, FALSE)) &gt; AZ$1, (Assumptions!$B$8)*(AZ$1) + (Assumptions!$B$9)*MAX(0,  (HLOOKUP(AZ$2,Earnings!$G$2:$BC$81,('Yearly Pension'!$A5)+1, FALSE)) - AZ$1), ((Assumptions!$B$8)*'Yearly Pension'!AZ$1))))</f>
        <v>720</v>
      </c>
      <c r="BA5" s="6">
        <f>(HLOOKUP('Yearly Pension'!BA$2,'Credited Service'!$G$1:$BC$80,$A5+1,FALSE)) * (IF($B5=500, (Assumptions!$B$7)*12, IF((HLOOKUP(BA$2,Earnings!$G$2:$BC$81,('Yearly Pension'!$A5)+1, FALSE)) &gt; BA$1, (Assumptions!$B$8)*(BA$1) + (Assumptions!$B$9)*MAX(0,  (HLOOKUP(BA$2,Earnings!$G$2:$BC$81,('Yearly Pension'!$A5)+1, FALSE)) - BA$1), ((Assumptions!$B$8)*'Yearly Pension'!BA$1))))</f>
        <v>720</v>
      </c>
      <c r="BB5" s="6">
        <f>(HLOOKUP('Yearly Pension'!BB$2,'Credited Service'!$G$1:$BC$80,$A5+1,FALSE)) * (IF($B5=500, (Assumptions!$B$7)*12, IF((HLOOKUP(BB$2,Earnings!$G$2:$BC$81,('Yearly Pension'!$A5)+1, FALSE)) &gt; BB$1, (Assumptions!$B$8)*(BB$1) + (Assumptions!$B$9)*MAX(0,  (HLOOKUP(BB$2,Earnings!$G$2:$BC$81,('Yearly Pension'!$A5)+1, FALSE)) - BB$1), ((Assumptions!$B$8)*'Yearly Pension'!BB$1))))</f>
        <v>720</v>
      </c>
      <c r="BC5" s="6">
        <f>(HLOOKUP('Yearly Pension'!BC$2,'Credited Service'!$G$1:$BC$80,$A5+1,FALSE)) * (IF($B5=500, (Assumptions!$B$7)*12, IF((HLOOKUP(BC$2,Earnings!$G$2:$BC$81,('Yearly Pension'!$A5)+1, FALSE)) &gt; BC$1, (Assumptions!$B$8)*(BC$1) + (Assumptions!$B$9)*MAX(0,  (HLOOKUP(BC$2,Earnings!$G$2:$BC$81,('Yearly Pension'!$A5)+1, FALSE)) - BC$1), ((Assumptions!$B$8)*'Yearly Pension'!BC$1))))</f>
        <v>720</v>
      </c>
      <c r="BF5" s="5"/>
    </row>
    <row r="6" spans="1:60" x14ac:dyDescent="0.25">
      <c r="A6" s="204">
        <v>4</v>
      </c>
      <c r="B6" s="1">
        <v>500</v>
      </c>
      <c r="C6" s="1">
        <v>786</v>
      </c>
      <c r="D6" s="3">
        <v>38621</v>
      </c>
      <c r="E6" s="3">
        <v>50010</v>
      </c>
      <c r="G6" s="6">
        <f>(HLOOKUP('Yearly Pension'!G$2,'Credited Service'!$G$1:$BC$80,$A6+1,FALSE)) * (IF($B6=500, (Assumptions!$B$7)*12, IF((HLOOKUP(G$2,Earnings!$G$2:$BC$81,('Yearly Pension'!$A6)+1, FALSE)) &gt; G$1, (Assumptions!$B$8)*(G$1) + (Assumptions!$B$9)*MAX(0,  (HLOOKUP(G$2,Earnings!$G$2:$BC$81,('Yearly Pension'!$A6)+1, FALSE)) - G$1), ((Assumptions!$B$8)*'Yearly Pension'!G$1))))</f>
        <v>0</v>
      </c>
      <c r="H6" s="6">
        <f>(HLOOKUP('Yearly Pension'!H$2,'Credited Service'!$G$1:$BC$80,$A6+1,FALSE)) * (IF($B6=500, (Assumptions!$B$7)*12, IF((HLOOKUP(H$2,Earnings!$G$2:$BC$81,('Yearly Pension'!$A6)+1, FALSE)) &gt; H$1, (Assumptions!$B$8)*(H$1) + (Assumptions!$B$9)*MAX(0,  (HLOOKUP(H$2,Earnings!$G$2:$BC$81,('Yearly Pension'!$A6)+1, FALSE)) - H$1), ((Assumptions!$B$8)*'Yearly Pension'!H$1))))</f>
        <v>0</v>
      </c>
      <c r="I6" s="6">
        <f>(HLOOKUP('Yearly Pension'!I$2,'Credited Service'!$G$1:$BC$80,$A6+1,FALSE)) * (IF($B6=500, (Assumptions!$B$7)*12, IF((HLOOKUP(I$2,Earnings!$G$2:$BC$81,('Yearly Pension'!$A6)+1, FALSE)) &gt; I$1, (Assumptions!$B$8)*(I$1) + (Assumptions!$B$9)*MAX(0,  (HLOOKUP(I$2,Earnings!$G$2:$BC$81,('Yearly Pension'!$A6)+1, FALSE)) - I$1), ((Assumptions!$B$8)*'Yearly Pension'!I$1))))</f>
        <v>0</v>
      </c>
      <c r="J6" s="6">
        <f>(HLOOKUP('Yearly Pension'!J$2,'Credited Service'!$G$1:$BC$80,$A6+1,FALSE)) * (IF($B6=500, (Assumptions!$B$7)*12, IF((HLOOKUP(J$2,Earnings!$G$2:$BC$81,('Yearly Pension'!$A6)+1, FALSE)) &gt; J$1, (Assumptions!$B$8)*(J$1) + (Assumptions!$B$9)*MAX(0,  (HLOOKUP(J$2,Earnings!$G$2:$BC$81,('Yearly Pension'!$A6)+1, FALSE)) - J$1), ((Assumptions!$B$8)*'Yearly Pension'!J$1))))</f>
        <v>0</v>
      </c>
      <c r="K6" s="6">
        <f>(HLOOKUP('Yearly Pension'!K$2,'Credited Service'!$G$1:$BC$80,$A6+1,FALSE)) * (IF($B6=500, (Assumptions!$B$7)*12, IF((HLOOKUP(K$2,Earnings!$G$2:$BC$81,('Yearly Pension'!$A6)+1, FALSE)) &gt; K$1, (Assumptions!$B$8)*(K$1) + (Assumptions!$B$9)*MAX(0,  (HLOOKUP(K$2,Earnings!$G$2:$BC$81,('Yearly Pension'!$A6)+1, FALSE)) - K$1), ((Assumptions!$B$8)*'Yearly Pension'!K$1))))</f>
        <v>0</v>
      </c>
      <c r="L6" s="6">
        <f>(HLOOKUP('Yearly Pension'!L$2,'Credited Service'!$G$1:$BC$80,$A6+1,FALSE)) * (IF($B6=500, (Assumptions!$B$7)*12, IF((HLOOKUP(L$2,Earnings!$G$2:$BC$81,('Yearly Pension'!$A6)+1, FALSE)) &gt; L$1, (Assumptions!$B$8)*(L$1) + (Assumptions!$B$9)*MAX(0,  (HLOOKUP(L$2,Earnings!$G$2:$BC$81,('Yearly Pension'!$A6)+1, FALSE)) - L$1), ((Assumptions!$B$8)*'Yearly Pension'!L$1))))</f>
        <v>0</v>
      </c>
      <c r="M6" s="6">
        <f>(HLOOKUP('Yearly Pension'!M$2,'Credited Service'!$G$1:$BC$80,$A6+1,FALSE)) * (IF($B6=500, (Assumptions!$B$7)*12, IF((HLOOKUP(M$2,Earnings!$G$2:$BC$81,('Yearly Pension'!$A6)+1, FALSE)) &gt; M$1, (Assumptions!$B$8)*(M$1) + (Assumptions!$B$9)*MAX(0,  (HLOOKUP(M$2,Earnings!$G$2:$BC$81,('Yearly Pension'!$A6)+1, FALSE)) - M$1), ((Assumptions!$B$8)*'Yearly Pension'!M$1))))</f>
        <v>0</v>
      </c>
      <c r="N6" s="6">
        <f>(HLOOKUP('Yearly Pension'!N$2,'Credited Service'!$G$1:$BC$80,$A6+1,FALSE)) * (IF($B6=500, (Assumptions!$B$7)*12, IF((HLOOKUP(N$2,Earnings!$G$2:$BC$81,('Yearly Pension'!$A6)+1, FALSE)) &gt; N$1, (Assumptions!$B$8)*(N$1) + (Assumptions!$B$9)*MAX(0,  (HLOOKUP(N$2,Earnings!$G$2:$BC$81,('Yearly Pension'!$A6)+1, FALSE)) - N$1), ((Assumptions!$B$8)*'Yearly Pension'!N$1))))</f>
        <v>0</v>
      </c>
      <c r="O6" s="6">
        <f>(HLOOKUP('Yearly Pension'!O$2,'Credited Service'!$G$1:$BC$80,$A6+1,FALSE)) * (IF($B6=500, (Assumptions!$B$7)*12, IF((HLOOKUP(O$2,Earnings!$G$2:$BC$81,('Yearly Pension'!$A6)+1, FALSE)) &gt; O$1, (Assumptions!$B$8)*(O$1) + (Assumptions!$B$9)*MAX(0,  (HLOOKUP(O$2,Earnings!$G$2:$BC$81,('Yearly Pension'!$A6)+1, FALSE)) - O$1), ((Assumptions!$B$8)*'Yearly Pension'!O$1))))</f>
        <v>0</v>
      </c>
      <c r="P6" s="6">
        <f>(HLOOKUP('Yearly Pension'!P$2,'Credited Service'!$G$1:$BC$80,$A6+1,FALSE)) * (IF($B6=500, (Assumptions!$B$7)*12, IF((HLOOKUP(P$2,Earnings!$G$2:$BC$81,('Yearly Pension'!$A6)+1, FALSE)) &gt; P$1, (Assumptions!$B$8)*(P$1) + (Assumptions!$B$9)*MAX(0,  (HLOOKUP(P$2,Earnings!$G$2:$BC$81,('Yearly Pension'!$A6)+1, FALSE)) - P$1), ((Assumptions!$B$8)*'Yearly Pension'!P$1))))</f>
        <v>0</v>
      </c>
      <c r="Q6" s="6">
        <f>(HLOOKUP('Yearly Pension'!Q$2,'Credited Service'!$G$1:$BC$80,$A6+1,FALSE)) * (IF($B6=500, (Assumptions!$B$7)*12, IF((HLOOKUP(Q$2,Earnings!$G$2:$BC$81,('Yearly Pension'!$A6)+1, FALSE)) &gt; Q$1, (Assumptions!$B$8)*(Q$1) + (Assumptions!$B$9)*MAX(0,  (HLOOKUP(Q$2,Earnings!$G$2:$BC$81,('Yearly Pension'!$A6)+1, FALSE)) - Q$1), ((Assumptions!$B$8)*'Yearly Pension'!Q$1))))</f>
        <v>0</v>
      </c>
      <c r="R6" s="6">
        <f>(HLOOKUP('Yearly Pension'!R$2,'Credited Service'!$G$1:$BC$80,$A6+1,FALSE)) * (IF($B6=500, (Assumptions!$B$7)*12, IF((HLOOKUP(R$2,Earnings!$G$2:$BC$81,('Yearly Pension'!$A6)+1, FALSE)) &gt; R$1, (Assumptions!$B$8)*(R$1) + (Assumptions!$B$9)*MAX(0,  (HLOOKUP(R$2,Earnings!$G$2:$BC$81,('Yearly Pension'!$A6)+1, FALSE)) - R$1), ((Assumptions!$B$8)*'Yearly Pension'!R$1))))</f>
        <v>0</v>
      </c>
      <c r="S6" s="6">
        <f>(HLOOKUP('Yearly Pension'!S$2,'Credited Service'!$G$1:$BC$80,$A6+1,FALSE)) * (IF($B6=500, (Assumptions!$B$7)*12, IF((HLOOKUP(S$2,Earnings!$G$2:$BC$81,('Yearly Pension'!$A6)+1, FALSE)) &gt; S$1, (Assumptions!$B$8)*(S$1) + (Assumptions!$B$9)*MAX(0,  (HLOOKUP(S$2,Earnings!$G$2:$BC$81,('Yearly Pension'!$A6)+1, FALSE)) - S$1), ((Assumptions!$B$8)*'Yearly Pension'!S$1))))</f>
        <v>0</v>
      </c>
      <c r="T6" s="6">
        <f>(HLOOKUP('Yearly Pension'!T$2,'Credited Service'!$G$1:$BC$80,$A6+1,FALSE)) * (IF($B6=500, (Assumptions!$B$7)*12, IF((HLOOKUP(T$2,Earnings!$G$2:$BC$81,('Yearly Pension'!$A6)+1, FALSE)) &gt; T$1, (Assumptions!$B$8)*(T$1) + (Assumptions!$B$9)*MAX(0,  (HLOOKUP(T$2,Earnings!$G$2:$BC$81,('Yearly Pension'!$A6)+1, FALSE)) - T$1), ((Assumptions!$B$8)*'Yearly Pension'!T$1))))</f>
        <v>0</v>
      </c>
      <c r="U6" s="6">
        <f>(HLOOKUP('Yearly Pension'!U$2,'Credited Service'!$G$1:$BC$80,$A6+1,FALSE)) * (IF($B6=500, (Assumptions!$B$7)*12, IF((HLOOKUP(U$2,Earnings!$G$2:$BC$81,('Yearly Pension'!$A6)+1, FALSE)) &gt; U$1, (Assumptions!$B$8)*(U$1) + (Assumptions!$B$9)*MAX(0,  (HLOOKUP(U$2,Earnings!$G$2:$BC$81,('Yearly Pension'!$A6)+1, FALSE)) - U$1), ((Assumptions!$B$8)*'Yearly Pension'!U$1))))</f>
        <v>0</v>
      </c>
      <c r="V6" s="6">
        <f>(HLOOKUP('Yearly Pension'!V$2,'Credited Service'!$G$1:$BC$80,$A6+1,FALSE)) * (IF($B6=500, (Assumptions!$B$7)*12, IF((HLOOKUP(V$2,Earnings!$G$2:$BC$81,('Yearly Pension'!$A6)+1, FALSE)) &gt; V$1, (Assumptions!$B$8)*(V$1) + (Assumptions!$B$9)*MAX(0,  (HLOOKUP(V$2,Earnings!$G$2:$BC$81,('Yearly Pension'!$A6)+1, FALSE)) - V$1), ((Assumptions!$B$8)*'Yearly Pension'!V$1))))</f>
        <v>0</v>
      </c>
      <c r="W6" s="6">
        <f>(HLOOKUP('Yearly Pension'!W$2,'Credited Service'!$G$1:$BC$80,$A6+1,FALSE)) * (IF($B6=500, (Assumptions!$B$7)*12, IF((HLOOKUP(W$2,Earnings!$G$2:$BC$81,('Yearly Pension'!$A6)+1, FALSE)) &gt; W$1, (Assumptions!$B$8)*(W$1) + (Assumptions!$B$9)*MAX(0,  (HLOOKUP(W$2,Earnings!$G$2:$BC$81,('Yearly Pension'!$A6)+1, FALSE)) - W$1), ((Assumptions!$B$8)*'Yearly Pension'!W$1))))</f>
        <v>0</v>
      </c>
      <c r="X6" s="6">
        <f>(HLOOKUP('Yearly Pension'!X$2,'Credited Service'!$G$1:$BC$80,$A6+1,FALSE)) * (IF($B6=500, (Assumptions!$B$7)*12, IF((HLOOKUP(X$2,Earnings!$G$2:$BC$81,('Yearly Pension'!$A6)+1, FALSE)) &gt; X$1, (Assumptions!$B$8)*(X$1) + (Assumptions!$B$9)*MAX(0,  (HLOOKUP(X$2,Earnings!$G$2:$BC$81,('Yearly Pension'!$A6)+1, FALSE)) - X$1), ((Assumptions!$B$8)*'Yearly Pension'!X$1))))</f>
        <v>0</v>
      </c>
      <c r="Y6" s="6">
        <f>(HLOOKUP('Yearly Pension'!Y$2,'Credited Service'!$G$1:$BC$80,$A6+1,FALSE)) * (IF($B6=500, (Assumptions!$B$7)*12, IF((HLOOKUP(Y$2,Earnings!$G$2:$BC$81,('Yearly Pension'!$A6)+1, FALSE)) &gt; Y$1, (Assumptions!$B$8)*(Y$1) + (Assumptions!$B$9)*MAX(0,  (HLOOKUP(Y$2,Earnings!$G$2:$BC$81,('Yearly Pension'!$A6)+1, FALSE)) - Y$1), ((Assumptions!$B$8)*'Yearly Pension'!Y$1))))</f>
        <v>0</v>
      </c>
      <c r="Z6" s="6">
        <f>(HLOOKUP('Yearly Pension'!Z$2,'Credited Service'!$G$1:$BC$80,$A6+1,FALSE)) * (IF($B6=500, (Assumptions!$B$7)*12, IF((HLOOKUP(Z$2,Earnings!$G$2:$BC$81,('Yearly Pension'!$A6)+1, FALSE)) &gt; Z$1, (Assumptions!$B$8)*(Z$1) + (Assumptions!$B$9)*MAX(0,  (HLOOKUP(Z$2,Earnings!$G$2:$BC$81,('Yearly Pension'!$A6)+1, FALSE)) - Z$1), ((Assumptions!$B$8)*'Yearly Pension'!Z$1))))</f>
        <v>0</v>
      </c>
      <c r="AA6" s="6">
        <f>(HLOOKUP('Yearly Pension'!AA$2,'Credited Service'!$G$1:$BC$80,$A6+1,FALSE)) * (IF($B6=500, (Assumptions!$B$7)*12, IF((HLOOKUP(AA$2,Earnings!$G$2:$BC$81,('Yearly Pension'!$A6)+1, FALSE)) &gt; AA$1, (Assumptions!$B$8)*(AA$1) + (Assumptions!$B$9)*MAX(0,  (HLOOKUP(AA$2,Earnings!$G$2:$BC$81,('Yearly Pension'!$A6)+1, FALSE)) - AA$1), ((Assumptions!$B$8)*'Yearly Pension'!AA$1))))</f>
        <v>0</v>
      </c>
      <c r="AB6" s="6">
        <f>(HLOOKUP('Yearly Pension'!AB$2,'Credited Service'!$G$1:$BC$80,$A6+1,FALSE)) * (IF($B6=500, (Assumptions!$B$7)*12, IF((HLOOKUP(AB$2,Earnings!$G$2:$BC$81,('Yearly Pension'!$A6)+1, FALSE)) &gt; AB$1, (Assumptions!$B$8)*(AB$1) + (Assumptions!$B$9)*MAX(0,  (HLOOKUP(AB$2,Earnings!$G$2:$BC$81,('Yearly Pension'!$A6)+1, FALSE)) - AB$1), ((Assumptions!$B$8)*'Yearly Pension'!AB$1))))</f>
        <v>0</v>
      </c>
      <c r="AC6" s="6">
        <f>(HLOOKUP('Yearly Pension'!AC$2,'Credited Service'!$G$1:$BC$80,$A6+1,FALSE)) * (IF($B6=500, (Assumptions!$B$7)*12, IF((HLOOKUP(AC$2,Earnings!$G$2:$BC$81,('Yearly Pension'!$A6)+1, FALSE)) &gt; AC$1, (Assumptions!$B$8)*(AC$1) + (Assumptions!$B$9)*MAX(0,  (HLOOKUP(AC$2,Earnings!$G$2:$BC$81,('Yearly Pension'!$A6)+1, FALSE)) - AC$1), ((Assumptions!$B$8)*'Yearly Pension'!AC$1))))</f>
        <v>0</v>
      </c>
      <c r="AD6" s="6">
        <f>(HLOOKUP('Yearly Pension'!AD$2,'Credited Service'!$G$1:$BC$80,$A6+1,FALSE)) * (IF($B6=500, (Assumptions!$B$7)*12, IF((HLOOKUP(AD$2,Earnings!$G$2:$BC$81,('Yearly Pension'!$A6)+1, FALSE)) &gt; AD$1, (Assumptions!$B$8)*(AD$1) + (Assumptions!$B$9)*MAX(0,  (HLOOKUP(AD$2,Earnings!$G$2:$BC$81,('Yearly Pension'!$A6)+1, FALSE)) - AD$1), ((Assumptions!$B$8)*'Yearly Pension'!AD$1))))</f>
        <v>0</v>
      </c>
      <c r="AE6" s="6">
        <f>(HLOOKUP('Yearly Pension'!AE$2,'Credited Service'!$G$1:$BC$80,$A6+1,FALSE)) * (IF($B6=500, (Assumptions!$B$7)*12, IF((HLOOKUP(AE$2,Earnings!$G$2:$BC$81,('Yearly Pension'!$A6)+1, FALSE)) &gt; AE$1, (Assumptions!$B$8)*(AE$1) + (Assumptions!$B$9)*MAX(0,  (HLOOKUP(AE$2,Earnings!$G$2:$BC$81,('Yearly Pension'!$A6)+1, FALSE)) - AE$1), ((Assumptions!$B$8)*'Yearly Pension'!AE$1))))</f>
        <v>0</v>
      </c>
      <c r="AF6" s="6">
        <f>(HLOOKUP('Yearly Pension'!AF$2,'Credited Service'!$G$1:$BC$80,$A6+1,FALSE)) * (IF($B6=500, (Assumptions!$B$7)*12, IF((HLOOKUP(AF$2,Earnings!$G$2:$BC$81,('Yearly Pension'!$A6)+1, FALSE)) &gt; AF$1, (Assumptions!$B$8)*(AF$1) + (Assumptions!$B$9)*MAX(0,  (HLOOKUP(AF$2,Earnings!$G$2:$BC$81,('Yearly Pension'!$A6)+1, FALSE)) - AF$1), ((Assumptions!$B$8)*'Yearly Pension'!AF$1))))</f>
        <v>0</v>
      </c>
      <c r="AG6" s="6">
        <f>(HLOOKUP('Yearly Pension'!AG$2,'Credited Service'!$G$1:$BC$80,$A6+1,FALSE)) * (IF($B6=500, (Assumptions!$B$7)*12, IF((HLOOKUP(AG$2,Earnings!$G$2:$BC$81,('Yearly Pension'!$A6)+1, FALSE)) &gt; AG$1, (Assumptions!$B$8)*(AG$1) + (Assumptions!$B$9)*MAX(0,  (HLOOKUP(AG$2,Earnings!$G$2:$BC$81,('Yearly Pension'!$A6)+1, FALSE)) - AG$1), ((Assumptions!$B$8)*'Yearly Pension'!AG$1))))</f>
        <v>0</v>
      </c>
      <c r="AH6" s="6">
        <f>(HLOOKUP('Yearly Pension'!AH$2,'Credited Service'!$G$1:$BC$80,$A6+1,FALSE)) * (IF($B6=500, (Assumptions!$B$7)*12, IF((HLOOKUP(AH$2,Earnings!$G$2:$BC$81,('Yearly Pension'!$A6)+1, FALSE)) &gt; AH$1, (Assumptions!$B$8)*(AH$1) + (Assumptions!$B$9)*MAX(0,  (HLOOKUP(AH$2,Earnings!$G$2:$BC$81,('Yearly Pension'!$A6)+1, FALSE)) - AH$1), ((Assumptions!$B$8)*'Yearly Pension'!AH$1))))</f>
        <v>0</v>
      </c>
      <c r="AI6" s="6">
        <f>(HLOOKUP('Yearly Pension'!AI$2,'Credited Service'!$G$1:$BC$80,$A6+1,FALSE)) * (IF($B6=500, (Assumptions!$B$7)*12, IF((HLOOKUP(AI$2,Earnings!$G$2:$BC$81,('Yearly Pension'!$A6)+1, FALSE)) &gt; AI$1, (Assumptions!$B$8)*(AI$1) + (Assumptions!$B$9)*MAX(0,  (HLOOKUP(AI$2,Earnings!$G$2:$BC$81,('Yearly Pension'!$A6)+1, FALSE)) - AI$1), ((Assumptions!$B$8)*'Yearly Pension'!AI$1))))</f>
        <v>180</v>
      </c>
      <c r="AJ6" s="6">
        <f>(HLOOKUP('Yearly Pension'!AJ$2,'Credited Service'!$G$1:$BC$80,$A6+1,FALSE)) * (IF($B6=500, (Assumptions!$B$7)*12, IF((HLOOKUP(AJ$2,Earnings!$G$2:$BC$81,('Yearly Pension'!$A6)+1, FALSE)) &gt; AJ$1, (Assumptions!$B$8)*(AJ$1) + (Assumptions!$B$9)*MAX(0,  (HLOOKUP(AJ$2,Earnings!$G$2:$BC$81,('Yearly Pension'!$A6)+1, FALSE)) - AJ$1), ((Assumptions!$B$8)*'Yearly Pension'!AJ$1))))</f>
        <v>720</v>
      </c>
      <c r="AK6" s="6">
        <f>(HLOOKUP('Yearly Pension'!AK$2,'Credited Service'!$G$1:$BC$80,$A6+1,FALSE)) * (IF($B6=500, (Assumptions!$B$7)*12, IF((HLOOKUP(AK$2,Earnings!$G$2:$BC$81,('Yearly Pension'!$A6)+1, FALSE)) &gt; AK$1, (Assumptions!$B$8)*(AK$1) + (Assumptions!$B$9)*MAX(0,  (HLOOKUP(AK$2,Earnings!$G$2:$BC$81,('Yearly Pension'!$A6)+1, FALSE)) - AK$1), ((Assumptions!$B$8)*'Yearly Pension'!AK$1))))</f>
        <v>720</v>
      </c>
      <c r="AL6" s="6">
        <f>(HLOOKUP('Yearly Pension'!AL$2,'Credited Service'!$G$1:$BC$80,$A6+1,FALSE)) * (IF($B6=500, (Assumptions!$B$7)*12, IF((HLOOKUP(AL$2,Earnings!$G$2:$BC$81,('Yearly Pension'!$A6)+1, FALSE)) &gt; AL$1, (Assumptions!$B$8)*(AL$1) + (Assumptions!$B$9)*MAX(0,  (HLOOKUP(AL$2,Earnings!$G$2:$BC$81,('Yearly Pension'!$A6)+1, FALSE)) - AL$1), ((Assumptions!$B$8)*'Yearly Pension'!AL$1))))</f>
        <v>720</v>
      </c>
      <c r="AM6" s="6">
        <f>(HLOOKUP('Yearly Pension'!AM$2,'Credited Service'!$G$1:$BC$80,$A6+1,FALSE)) * (IF($B6=500, (Assumptions!$B$7)*12, IF((HLOOKUP(AM$2,Earnings!$G$2:$BC$81,('Yearly Pension'!$A6)+1, FALSE)) &gt; AM$1, (Assumptions!$B$8)*(AM$1) + (Assumptions!$B$9)*MAX(0,  (HLOOKUP(AM$2,Earnings!$G$2:$BC$81,('Yearly Pension'!$A6)+1, FALSE)) - AM$1), ((Assumptions!$B$8)*'Yearly Pension'!AM$1))))</f>
        <v>720</v>
      </c>
      <c r="AN6" s="6">
        <f>(HLOOKUP('Yearly Pension'!AN$2,'Credited Service'!$G$1:$BC$80,$A6+1,FALSE)) * (IF($B6=500, (Assumptions!$B$7)*12, IF((HLOOKUP(AN$2,Earnings!$G$2:$BC$81,('Yearly Pension'!$A6)+1, FALSE)) &gt; AN$1, (Assumptions!$B$8)*(AN$1) + (Assumptions!$B$9)*MAX(0,  (HLOOKUP(AN$2,Earnings!$G$2:$BC$81,('Yearly Pension'!$A6)+1, FALSE)) - AN$1), ((Assumptions!$B$8)*'Yearly Pension'!AN$1))))</f>
        <v>720</v>
      </c>
      <c r="AO6" s="6">
        <f>(HLOOKUP('Yearly Pension'!AO$2,'Credited Service'!$G$1:$BC$80,$A6+1,FALSE)) * (IF($B6=500, (Assumptions!$B$7)*12, IF((HLOOKUP(AO$2,Earnings!$G$2:$BC$81,('Yearly Pension'!$A6)+1, FALSE)) &gt; AO$1, (Assumptions!$B$8)*(AO$1) + (Assumptions!$B$9)*MAX(0,  (HLOOKUP(AO$2,Earnings!$G$2:$BC$81,('Yearly Pension'!$A6)+1, FALSE)) - AO$1), ((Assumptions!$B$8)*'Yearly Pension'!AO$1))))</f>
        <v>720</v>
      </c>
      <c r="AP6" s="6">
        <f>(HLOOKUP('Yearly Pension'!AP$2,'Credited Service'!$G$1:$BC$80,$A6+1,FALSE)) * (IF($B6=500, (Assumptions!$B$7)*12, IF((HLOOKUP(AP$2,Earnings!$G$2:$BC$81,('Yearly Pension'!$A6)+1, FALSE)) &gt; AP$1, (Assumptions!$B$8)*(AP$1) + (Assumptions!$B$9)*MAX(0,  (HLOOKUP(AP$2,Earnings!$G$2:$BC$81,('Yearly Pension'!$A6)+1, FALSE)) - AP$1), ((Assumptions!$B$8)*'Yearly Pension'!AP$1))))</f>
        <v>720</v>
      </c>
      <c r="AQ6" s="6">
        <f>(HLOOKUP('Yearly Pension'!AQ$2,'Credited Service'!$G$1:$BC$80,$A6+1,FALSE)) * (IF($B6=500, (Assumptions!$B$7)*12, IF((HLOOKUP(AQ$2,Earnings!$G$2:$BC$81,('Yearly Pension'!$A6)+1, FALSE)) &gt; AQ$1, (Assumptions!$B$8)*(AQ$1) + (Assumptions!$B$9)*MAX(0,  (HLOOKUP(AQ$2,Earnings!$G$2:$BC$81,('Yearly Pension'!$A6)+1, FALSE)) - AQ$1), ((Assumptions!$B$8)*'Yearly Pension'!AQ$1))))</f>
        <v>720</v>
      </c>
      <c r="AR6" s="6">
        <f>(HLOOKUP('Yearly Pension'!AR$2,'Credited Service'!$G$1:$BC$80,$A6+1,FALSE)) * (IF($B6=500, (Assumptions!$B$7)*12, IF((HLOOKUP(AR$2,Earnings!$G$2:$BC$81,('Yearly Pension'!$A6)+1, FALSE)) &gt; AR$1, (Assumptions!$B$8)*(AR$1) + (Assumptions!$B$9)*MAX(0,  (HLOOKUP(AR$2,Earnings!$G$2:$BC$81,('Yearly Pension'!$A6)+1, FALSE)) - AR$1), ((Assumptions!$B$8)*'Yearly Pension'!AR$1))))</f>
        <v>720</v>
      </c>
      <c r="AS6" s="6">
        <f>(HLOOKUP('Yearly Pension'!AS$2,'Credited Service'!$G$1:$BC$80,$A6+1,FALSE)) * (IF($B6=500, (Assumptions!$B$7)*12, IF((HLOOKUP(AS$2,Earnings!$G$2:$BC$81,('Yearly Pension'!$A6)+1, FALSE)) &gt; AS$1, (Assumptions!$B$8)*(AS$1) + (Assumptions!$B$9)*MAX(0,  (HLOOKUP(AS$2,Earnings!$G$2:$BC$81,('Yearly Pension'!$A6)+1, FALSE)) - AS$1), ((Assumptions!$B$8)*'Yearly Pension'!AS$1))))</f>
        <v>720</v>
      </c>
      <c r="AT6" s="6">
        <f>(HLOOKUP('Yearly Pension'!AT$2,'Credited Service'!$G$1:$BC$80,$A6+1,FALSE)) * (IF($B6=500, (Assumptions!$B$7)*12, IF((HLOOKUP(AT$2,Earnings!$G$2:$BC$81,('Yearly Pension'!$A6)+1, FALSE)) &gt; AT$1, (Assumptions!$B$8)*(AT$1) + (Assumptions!$B$9)*MAX(0,  (HLOOKUP(AT$2,Earnings!$G$2:$BC$81,('Yearly Pension'!$A6)+1, FALSE)) - AT$1), ((Assumptions!$B$8)*'Yearly Pension'!AT$1))))</f>
        <v>720</v>
      </c>
      <c r="AU6" s="6">
        <f>(HLOOKUP('Yearly Pension'!AU$2,'Credited Service'!$G$1:$BC$80,$A6+1,FALSE)) * (IF($B6=500, (Assumptions!$B$7)*12, IF((HLOOKUP(AU$2,Earnings!$G$2:$BC$81,('Yearly Pension'!$A6)+1, FALSE)) &gt; AU$1, (Assumptions!$B$8)*(AU$1) + (Assumptions!$B$9)*MAX(0,  (HLOOKUP(AU$2,Earnings!$G$2:$BC$81,('Yearly Pension'!$A6)+1, FALSE)) - AU$1), ((Assumptions!$B$8)*'Yearly Pension'!AU$1))))</f>
        <v>720</v>
      </c>
      <c r="AV6" s="6">
        <f>(HLOOKUP('Yearly Pension'!AV$2,'Credited Service'!$G$1:$BC$80,$A6+1,FALSE)) * (IF($B6=500, (Assumptions!$B$7)*12, IF((HLOOKUP(AV$2,Earnings!$G$2:$BC$81,('Yearly Pension'!$A6)+1, FALSE)) &gt; AV$1, (Assumptions!$B$8)*(AV$1) + (Assumptions!$B$9)*MAX(0,  (HLOOKUP(AV$2,Earnings!$G$2:$BC$81,('Yearly Pension'!$A6)+1, FALSE)) - AV$1), ((Assumptions!$B$8)*'Yearly Pension'!AV$1))))</f>
        <v>720</v>
      </c>
      <c r="AW6" s="6">
        <f>(HLOOKUP('Yearly Pension'!AW$2,'Credited Service'!$G$1:$BC$80,$A6+1,FALSE)) * (IF($B6=500, (Assumptions!$B$7)*12, IF((HLOOKUP(AW$2,Earnings!$G$2:$BC$81,('Yearly Pension'!$A6)+1, FALSE)) &gt; AW$1, (Assumptions!$B$8)*(AW$1) + (Assumptions!$B$9)*MAX(0,  (HLOOKUP(AW$2,Earnings!$G$2:$BC$81,('Yearly Pension'!$A6)+1, FALSE)) - AW$1), ((Assumptions!$B$8)*'Yearly Pension'!AW$1))))</f>
        <v>720</v>
      </c>
      <c r="AX6" s="6">
        <f>(HLOOKUP('Yearly Pension'!AX$2,'Credited Service'!$G$1:$BC$80,$A6+1,FALSE)) * (IF($B6=500, (Assumptions!$B$7)*12, IF((HLOOKUP(AX$2,Earnings!$G$2:$BC$81,('Yearly Pension'!$A6)+1, FALSE)) &gt; AX$1, (Assumptions!$B$8)*(AX$1) + (Assumptions!$B$9)*MAX(0,  (HLOOKUP(AX$2,Earnings!$G$2:$BC$81,('Yearly Pension'!$A6)+1, FALSE)) - AX$1), ((Assumptions!$B$8)*'Yearly Pension'!AX$1))))</f>
        <v>720</v>
      </c>
      <c r="AY6" s="6">
        <f>(HLOOKUP('Yearly Pension'!AY$2,'Credited Service'!$G$1:$BC$80,$A6+1,FALSE)) * (IF($B6=500, (Assumptions!$B$7)*12, IF((HLOOKUP(AY$2,Earnings!$G$2:$BC$81,('Yearly Pension'!$A6)+1, FALSE)) &gt; AY$1, (Assumptions!$B$8)*(AY$1) + (Assumptions!$B$9)*MAX(0,  (HLOOKUP(AY$2,Earnings!$G$2:$BC$81,('Yearly Pension'!$A6)+1, FALSE)) - AY$1), ((Assumptions!$B$8)*'Yearly Pension'!AY$1))))</f>
        <v>720</v>
      </c>
      <c r="AZ6" s="6">
        <f>(HLOOKUP('Yearly Pension'!AZ$2,'Credited Service'!$G$1:$BC$80,$A6+1,FALSE)) * (IF($B6=500, (Assumptions!$B$7)*12, IF((HLOOKUP(AZ$2,Earnings!$G$2:$BC$81,('Yearly Pension'!$A6)+1, FALSE)) &gt; AZ$1, (Assumptions!$B$8)*(AZ$1) + (Assumptions!$B$9)*MAX(0,  (HLOOKUP(AZ$2,Earnings!$G$2:$BC$81,('Yearly Pension'!$A6)+1, FALSE)) - AZ$1), ((Assumptions!$B$8)*'Yearly Pension'!AZ$1))))</f>
        <v>720</v>
      </c>
      <c r="BA6" s="6">
        <f>(HLOOKUP('Yearly Pension'!BA$2,'Credited Service'!$G$1:$BC$80,$A6+1,FALSE)) * (IF($B6=500, (Assumptions!$B$7)*12, IF((HLOOKUP(BA$2,Earnings!$G$2:$BC$81,('Yearly Pension'!$A6)+1, FALSE)) &gt; BA$1, (Assumptions!$B$8)*(BA$1) + (Assumptions!$B$9)*MAX(0,  (HLOOKUP(BA$2,Earnings!$G$2:$BC$81,('Yearly Pension'!$A6)+1, FALSE)) - BA$1), ((Assumptions!$B$8)*'Yearly Pension'!BA$1))))</f>
        <v>720</v>
      </c>
      <c r="BB6" s="6">
        <f>(HLOOKUP('Yearly Pension'!BB$2,'Credited Service'!$G$1:$BC$80,$A6+1,FALSE)) * (IF($B6=500, (Assumptions!$B$7)*12, IF((HLOOKUP(BB$2,Earnings!$G$2:$BC$81,('Yearly Pension'!$A6)+1, FALSE)) &gt; BB$1, (Assumptions!$B$8)*(BB$1) + (Assumptions!$B$9)*MAX(0,  (HLOOKUP(BB$2,Earnings!$G$2:$BC$81,('Yearly Pension'!$A6)+1, FALSE)) - BB$1), ((Assumptions!$B$8)*'Yearly Pension'!BB$1))))</f>
        <v>720</v>
      </c>
      <c r="BC6" s="6">
        <f>(HLOOKUP('Yearly Pension'!BC$2,'Credited Service'!$G$1:$BC$80,$A6+1,FALSE)) * (IF($B6=500, (Assumptions!$B$7)*12, IF((HLOOKUP(BC$2,Earnings!$G$2:$BC$81,('Yearly Pension'!$A6)+1, FALSE)) &gt; BC$1, (Assumptions!$B$8)*(BC$1) + (Assumptions!$B$9)*MAX(0,  (HLOOKUP(BC$2,Earnings!$G$2:$BC$81,('Yearly Pension'!$A6)+1, FALSE)) - BC$1), ((Assumptions!$B$8)*'Yearly Pension'!BC$1))))</f>
        <v>720</v>
      </c>
    </row>
    <row r="7" spans="1:60" x14ac:dyDescent="0.25">
      <c r="A7" s="204">
        <v>5</v>
      </c>
      <c r="B7" s="1">
        <v>500</v>
      </c>
      <c r="C7" s="1">
        <v>785</v>
      </c>
      <c r="D7" s="3">
        <v>38621</v>
      </c>
      <c r="E7" s="3">
        <v>55274</v>
      </c>
      <c r="G7" s="6">
        <f>(HLOOKUP('Yearly Pension'!G$2,'Credited Service'!$G$1:$BC$80,$A7+1,FALSE)) * (IF($B7=500, (Assumptions!$B$7)*12, IF((HLOOKUP(G$2,Earnings!$G$2:$BC$81,('Yearly Pension'!$A7)+1, FALSE)) &gt; G$1, (Assumptions!$B$8)*(G$1) + (Assumptions!$B$9)*MAX(0,  (HLOOKUP(G$2,Earnings!$G$2:$BC$81,('Yearly Pension'!$A7)+1, FALSE)) - G$1), ((Assumptions!$B$8)*'Yearly Pension'!G$1))))</f>
        <v>0</v>
      </c>
      <c r="H7" s="6">
        <f>(HLOOKUP('Yearly Pension'!H$2,'Credited Service'!$G$1:$BC$80,$A7+1,FALSE)) * (IF($B7=500, (Assumptions!$B$7)*12, IF((HLOOKUP(H$2,Earnings!$G$2:$BC$81,('Yearly Pension'!$A7)+1, FALSE)) &gt; H$1, (Assumptions!$B$8)*(H$1) + (Assumptions!$B$9)*MAX(0,  (HLOOKUP(H$2,Earnings!$G$2:$BC$81,('Yearly Pension'!$A7)+1, FALSE)) - H$1), ((Assumptions!$B$8)*'Yearly Pension'!H$1))))</f>
        <v>0</v>
      </c>
      <c r="I7" s="6">
        <f>(HLOOKUP('Yearly Pension'!I$2,'Credited Service'!$G$1:$BC$80,$A7+1,FALSE)) * (IF($B7=500, (Assumptions!$B$7)*12, IF((HLOOKUP(I$2,Earnings!$G$2:$BC$81,('Yearly Pension'!$A7)+1, FALSE)) &gt; I$1, (Assumptions!$B$8)*(I$1) + (Assumptions!$B$9)*MAX(0,  (HLOOKUP(I$2,Earnings!$G$2:$BC$81,('Yearly Pension'!$A7)+1, FALSE)) - I$1), ((Assumptions!$B$8)*'Yearly Pension'!I$1))))</f>
        <v>0</v>
      </c>
      <c r="J7" s="6">
        <f>(HLOOKUP('Yearly Pension'!J$2,'Credited Service'!$G$1:$BC$80,$A7+1,FALSE)) * (IF($B7=500, (Assumptions!$B$7)*12, IF((HLOOKUP(J$2,Earnings!$G$2:$BC$81,('Yearly Pension'!$A7)+1, FALSE)) &gt; J$1, (Assumptions!$B$8)*(J$1) + (Assumptions!$B$9)*MAX(0,  (HLOOKUP(J$2,Earnings!$G$2:$BC$81,('Yearly Pension'!$A7)+1, FALSE)) - J$1), ((Assumptions!$B$8)*'Yearly Pension'!J$1))))</f>
        <v>0</v>
      </c>
      <c r="K7" s="6">
        <f>(HLOOKUP('Yearly Pension'!K$2,'Credited Service'!$G$1:$BC$80,$A7+1,FALSE)) * (IF($B7=500, (Assumptions!$B$7)*12, IF((HLOOKUP(K$2,Earnings!$G$2:$BC$81,('Yearly Pension'!$A7)+1, FALSE)) &gt; K$1, (Assumptions!$B$8)*(K$1) + (Assumptions!$B$9)*MAX(0,  (HLOOKUP(K$2,Earnings!$G$2:$BC$81,('Yearly Pension'!$A7)+1, FALSE)) - K$1), ((Assumptions!$B$8)*'Yearly Pension'!K$1))))</f>
        <v>0</v>
      </c>
      <c r="L7" s="6">
        <f>(HLOOKUP('Yearly Pension'!L$2,'Credited Service'!$G$1:$BC$80,$A7+1,FALSE)) * (IF($B7=500, (Assumptions!$B$7)*12, IF((HLOOKUP(L$2,Earnings!$G$2:$BC$81,('Yearly Pension'!$A7)+1, FALSE)) &gt; L$1, (Assumptions!$B$8)*(L$1) + (Assumptions!$B$9)*MAX(0,  (HLOOKUP(L$2,Earnings!$G$2:$BC$81,('Yearly Pension'!$A7)+1, FALSE)) - L$1), ((Assumptions!$B$8)*'Yearly Pension'!L$1))))</f>
        <v>0</v>
      </c>
      <c r="M7" s="6">
        <f>(HLOOKUP('Yearly Pension'!M$2,'Credited Service'!$G$1:$BC$80,$A7+1,FALSE)) * (IF($B7=500, (Assumptions!$B$7)*12, IF((HLOOKUP(M$2,Earnings!$G$2:$BC$81,('Yearly Pension'!$A7)+1, FALSE)) &gt; M$1, (Assumptions!$B$8)*(M$1) + (Assumptions!$B$9)*MAX(0,  (HLOOKUP(M$2,Earnings!$G$2:$BC$81,('Yearly Pension'!$A7)+1, FALSE)) - M$1), ((Assumptions!$B$8)*'Yearly Pension'!M$1))))</f>
        <v>0</v>
      </c>
      <c r="N7" s="6">
        <f>(HLOOKUP('Yearly Pension'!N$2,'Credited Service'!$G$1:$BC$80,$A7+1,FALSE)) * (IF($B7=500, (Assumptions!$B$7)*12, IF((HLOOKUP(N$2,Earnings!$G$2:$BC$81,('Yearly Pension'!$A7)+1, FALSE)) &gt; N$1, (Assumptions!$B$8)*(N$1) + (Assumptions!$B$9)*MAX(0,  (HLOOKUP(N$2,Earnings!$G$2:$BC$81,('Yearly Pension'!$A7)+1, FALSE)) - N$1), ((Assumptions!$B$8)*'Yearly Pension'!N$1))))</f>
        <v>0</v>
      </c>
      <c r="O7" s="6">
        <f>(HLOOKUP('Yearly Pension'!O$2,'Credited Service'!$G$1:$BC$80,$A7+1,FALSE)) * (IF($B7=500, (Assumptions!$B$7)*12, IF((HLOOKUP(O$2,Earnings!$G$2:$BC$81,('Yearly Pension'!$A7)+1, FALSE)) &gt; O$1, (Assumptions!$B$8)*(O$1) + (Assumptions!$B$9)*MAX(0,  (HLOOKUP(O$2,Earnings!$G$2:$BC$81,('Yearly Pension'!$A7)+1, FALSE)) - O$1), ((Assumptions!$B$8)*'Yearly Pension'!O$1))))</f>
        <v>0</v>
      </c>
      <c r="P7" s="6">
        <f>(HLOOKUP('Yearly Pension'!P$2,'Credited Service'!$G$1:$BC$80,$A7+1,FALSE)) * (IF($B7=500, (Assumptions!$B$7)*12, IF((HLOOKUP(P$2,Earnings!$G$2:$BC$81,('Yearly Pension'!$A7)+1, FALSE)) &gt; P$1, (Assumptions!$B$8)*(P$1) + (Assumptions!$B$9)*MAX(0,  (HLOOKUP(P$2,Earnings!$G$2:$BC$81,('Yearly Pension'!$A7)+1, FALSE)) - P$1), ((Assumptions!$B$8)*'Yearly Pension'!P$1))))</f>
        <v>0</v>
      </c>
      <c r="Q7" s="6">
        <f>(HLOOKUP('Yearly Pension'!Q$2,'Credited Service'!$G$1:$BC$80,$A7+1,FALSE)) * (IF($B7=500, (Assumptions!$B$7)*12, IF((HLOOKUP(Q$2,Earnings!$G$2:$BC$81,('Yearly Pension'!$A7)+1, FALSE)) &gt; Q$1, (Assumptions!$B$8)*(Q$1) + (Assumptions!$B$9)*MAX(0,  (HLOOKUP(Q$2,Earnings!$G$2:$BC$81,('Yearly Pension'!$A7)+1, FALSE)) - Q$1), ((Assumptions!$B$8)*'Yearly Pension'!Q$1))))</f>
        <v>0</v>
      </c>
      <c r="R7" s="6">
        <f>(HLOOKUP('Yearly Pension'!R$2,'Credited Service'!$G$1:$BC$80,$A7+1,FALSE)) * (IF($B7=500, (Assumptions!$B$7)*12, IF((HLOOKUP(R$2,Earnings!$G$2:$BC$81,('Yearly Pension'!$A7)+1, FALSE)) &gt; R$1, (Assumptions!$B$8)*(R$1) + (Assumptions!$B$9)*MAX(0,  (HLOOKUP(R$2,Earnings!$G$2:$BC$81,('Yearly Pension'!$A7)+1, FALSE)) - R$1), ((Assumptions!$B$8)*'Yearly Pension'!R$1))))</f>
        <v>0</v>
      </c>
      <c r="S7" s="6">
        <f>(HLOOKUP('Yearly Pension'!S$2,'Credited Service'!$G$1:$BC$80,$A7+1,FALSE)) * (IF($B7=500, (Assumptions!$B$7)*12, IF((HLOOKUP(S$2,Earnings!$G$2:$BC$81,('Yearly Pension'!$A7)+1, FALSE)) &gt; S$1, (Assumptions!$B$8)*(S$1) + (Assumptions!$B$9)*MAX(0,  (HLOOKUP(S$2,Earnings!$G$2:$BC$81,('Yearly Pension'!$A7)+1, FALSE)) - S$1), ((Assumptions!$B$8)*'Yearly Pension'!S$1))))</f>
        <v>0</v>
      </c>
      <c r="T7" s="6">
        <f>(HLOOKUP('Yearly Pension'!T$2,'Credited Service'!$G$1:$BC$80,$A7+1,FALSE)) * (IF($B7=500, (Assumptions!$B$7)*12, IF((HLOOKUP(T$2,Earnings!$G$2:$BC$81,('Yearly Pension'!$A7)+1, FALSE)) &gt; T$1, (Assumptions!$B$8)*(T$1) + (Assumptions!$B$9)*MAX(0,  (HLOOKUP(T$2,Earnings!$G$2:$BC$81,('Yearly Pension'!$A7)+1, FALSE)) - T$1), ((Assumptions!$B$8)*'Yearly Pension'!T$1))))</f>
        <v>0</v>
      </c>
      <c r="U7" s="6">
        <f>(HLOOKUP('Yearly Pension'!U$2,'Credited Service'!$G$1:$BC$80,$A7+1,FALSE)) * (IF($B7=500, (Assumptions!$B$7)*12, IF((HLOOKUP(U$2,Earnings!$G$2:$BC$81,('Yearly Pension'!$A7)+1, FALSE)) &gt; U$1, (Assumptions!$B$8)*(U$1) + (Assumptions!$B$9)*MAX(0,  (HLOOKUP(U$2,Earnings!$G$2:$BC$81,('Yearly Pension'!$A7)+1, FALSE)) - U$1), ((Assumptions!$B$8)*'Yearly Pension'!U$1))))</f>
        <v>0</v>
      </c>
      <c r="V7" s="6">
        <f>(HLOOKUP('Yearly Pension'!V$2,'Credited Service'!$G$1:$BC$80,$A7+1,FALSE)) * (IF($B7=500, (Assumptions!$B$7)*12, IF((HLOOKUP(V$2,Earnings!$G$2:$BC$81,('Yearly Pension'!$A7)+1, FALSE)) &gt; V$1, (Assumptions!$B$8)*(V$1) + (Assumptions!$B$9)*MAX(0,  (HLOOKUP(V$2,Earnings!$G$2:$BC$81,('Yearly Pension'!$A7)+1, FALSE)) - V$1), ((Assumptions!$B$8)*'Yearly Pension'!V$1))))</f>
        <v>0</v>
      </c>
      <c r="W7" s="6">
        <f>(HLOOKUP('Yearly Pension'!W$2,'Credited Service'!$G$1:$BC$80,$A7+1,FALSE)) * (IF($B7=500, (Assumptions!$B$7)*12, IF((HLOOKUP(W$2,Earnings!$G$2:$BC$81,('Yearly Pension'!$A7)+1, FALSE)) &gt; W$1, (Assumptions!$B$8)*(W$1) + (Assumptions!$B$9)*MAX(0,  (HLOOKUP(W$2,Earnings!$G$2:$BC$81,('Yearly Pension'!$A7)+1, FALSE)) - W$1), ((Assumptions!$B$8)*'Yearly Pension'!W$1))))</f>
        <v>0</v>
      </c>
      <c r="X7" s="6">
        <f>(HLOOKUP('Yearly Pension'!X$2,'Credited Service'!$G$1:$BC$80,$A7+1,FALSE)) * (IF($B7=500, (Assumptions!$B$7)*12, IF((HLOOKUP(X$2,Earnings!$G$2:$BC$81,('Yearly Pension'!$A7)+1, FALSE)) &gt; X$1, (Assumptions!$B$8)*(X$1) + (Assumptions!$B$9)*MAX(0,  (HLOOKUP(X$2,Earnings!$G$2:$BC$81,('Yearly Pension'!$A7)+1, FALSE)) - X$1), ((Assumptions!$B$8)*'Yearly Pension'!X$1))))</f>
        <v>0</v>
      </c>
      <c r="Y7" s="6">
        <f>(HLOOKUP('Yearly Pension'!Y$2,'Credited Service'!$G$1:$BC$80,$A7+1,FALSE)) * (IF($B7=500, (Assumptions!$B$7)*12, IF((HLOOKUP(Y$2,Earnings!$G$2:$BC$81,('Yearly Pension'!$A7)+1, FALSE)) &gt; Y$1, (Assumptions!$B$8)*(Y$1) + (Assumptions!$B$9)*MAX(0,  (HLOOKUP(Y$2,Earnings!$G$2:$BC$81,('Yearly Pension'!$A7)+1, FALSE)) - Y$1), ((Assumptions!$B$8)*'Yearly Pension'!Y$1))))</f>
        <v>0</v>
      </c>
      <c r="Z7" s="6">
        <f>(HLOOKUP('Yearly Pension'!Z$2,'Credited Service'!$G$1:$BC$80,$A7+1,FALSE)) * (IF($B7=500, (Assumptions!$B$7)*12, IF((HLOOKUP(Z$2,Earnings!$G$2:$BC$81,('Yearly Pension'!$A7)+1, FALSE)) &gt; Z$1, (Assumptions!$B$8)*(Z$1) + (Assumptions!$B$9)*MAX(0,  (HLOOKUP(Z$2,Earnings!$G$2:$BC$81,('Yearly Pension'!$A7)+1, FALSE)) - Z$1), ((Assumptions!$B$8)*'Yearly Pension'!Z$1))))</f>
        <v>0</v>
      </c>
      <c r="AA7" s="6">
        <f>(HLOOKUP('Yearly Pension'!AA$2,'Credited Service'!$G$1:$BC$80,$A7+1,FALSE)) * (IF($B7=500, (Assumptions!$B$7)*12, IF((HLOOKUP(AA$2,Earnings!$G$2:$BC$81,('Yearly Pension'!$A7)+1, FALSE)) &gt; AA$1, (Assumptions!$B$8)*(AA$1) + (Assumptions!$B$9)*MAX(0,  (HLOOKUP(AA$2,Earnings!$G$2:$BC$81,('Yearly Pension'!$A7)+1, FALSE)) - AA$1), ((Assumptions!$B$8)*'Yearly Pension'!AA$1))))</f>
        <v>0</v>
      </c>
      <c r="AB7" s="6">
        <f>(HLOOKUP('Yearly Pension'!AB$2,'Credited Service'!$G$1:$BC$80,$A7+1,FALSE)) * (IF($B7=500, (Assumptions!$B$7)*12, IF((HLOOKUP(AB$2,Earnings!$G$2:$BC$81,('Yearly Pension'!$A7)+1, FALSE)) &gt; AB$1, (Assumptions!$B$8)*(AB$1) + (Assumptions!$B$9)*MAX(0,  (HLOOKUP(AB$2,Earnings!$G$2:$BC$81,('Yearly Pension'!$A7)+1, FALSE)) - AB$1), ((Assumptions!$B$8)*'Yearly Pension'!AB$1))))</f>
        <v>0</v>
      </c>
      <c r="AC7" s="6">
        <f>(HLOOKUP('Yearly Pension'!AC$2,'Credited Service'!$G$1:$BC$80,$A7+1,FALSE)) * (IF($B7=500, (Assumptions!$B$7)*12, IF((HLOOKUP(AC$2,Earnings!$G$2:$BC$81,('Yearly Pension'!$A7)+1, FALSE)) &gt; AC$1, (Assumptions!$B$8)*(AC$1) + (Assumptions!$B$9)*MAX(0,  (HLOOKUP(AC$2,Earnings!$G$2:$BC$81,('Yearly Pension'!$A7)+1, FALSE)) - AC$1), ((Assumptions!$B$8)*'Yearly Pension'!AC$1))))</f>
        <v>0</v>
      </c>
      <c r="AD7" s="6">
        <f>(HLOOKUP('Yearly Pension'!AD$2,'Credited Service'!$G$1:$BC$80,$A7+1,FALSE)) * (IF($B7=500, (Assumptions!$B$7)*12, IF((HLOOKUP(AD$2,Earnings!$G$2:$BC$81,('Yearly Pension'!$A7)+1, FALSE)) &gt; AD$1, (Assumptions!$B$8)*(AD$1) + (Assumptions!$B$9)*MAX(0,  (HLOOKUP(AD$2,Earnings!$G$2:$BC$81,('Yearly Pension'!$A7)+1, FALSE)) - AD$1), ((Assumptions!$B$8)*'Yearly Pension'!AD$1))))</f>
        <v>0</v>
      </c>
      <c r="AE7" s="6">
        <f>(HLOOKUP('Yearly Pension'!AE$2,'Credited Service'!$G$1:$BC$80,$A7+1,FALSE)) * (IF($B7=500, (Assumptions!$B$7)*12, IF((HLOOKUP(AE$2,Earnings!$G$2:$BC$81,('Yearly Pension'!$A7)+1, FALSE)) &gt; AE$1, (Assumptions!$B$8)*(AE$1) + (Assumptions!$B$9)*MAX(0,  (HLOOKUP(AE$2,Earnings!$G$2:$BC$81,('Yearly Pension'!$A7)+1, FALSE)) - AE$1), ((Assumptions!$B$8)*'Yearly Pension'!AE$1))))</f>
        <v>0</v>
      </c>
      <c r="AF7" s="6">
        <f>(HLOOKUP('Yearly Pension'!AF$2,'Credited Service'!$G$1:$BC$80,$A7+1,FALSE)) * (IF($B7=500, (Assumptions!$B$7)*12, IF((HLOOKUP(AF$2,Earnings!$G$2:$BC$81,('Yearly Pension'!$A7)+1, FALSE)) &gt; AF$1, (Assumptions!$B$8)*(AF$1) + (Assumptions!$B$9)*MAX(0,  (HLOOKUP(AF$2,Earnings!$G$2:$BC$81,('Yearly Pension'!$A7)+1, FALSE)) - AF$1), ((Assumptions!$B$8)*'Yearly Pension'!AF$1))))</f>
        <v>0</v>
      </c>
      <c r="AG7" s="6">
        <f>(HLOOKUP('Yearly Pension'!AG$2,'Credited Service'!$G$1:$BC$80,$A7+1,FALSE)) * (IF($B7=500, (Assumptions!$B$7)*12, IF((HLOOKUP(AG$2,Earnings!$G$2:$BC$81,('Yearly Pension'!$A7)+1, FALSE)) &gt; AG$1, (Assumptions!$B$8)*(AG$1) + (Assumptions!$B$9)*MAX(0,  (HLOOKUP(AG$2,Earnings!$G$2:$BC$81,('Yearly Pension'!$A7)+1, FALSE)) - AG$1), ((Assumptions!$B$8)*'Yearly Pension'!AG$1))))</f>
        <v>0</v>
      </c>
      <c r="AH7" s="6">
        <f>(HLOOKUP('Yearly Pension'!AH$2,'Credited Service'!$G$1:$BC$80,$A7+1,FALSE)) * (IF($B7=500, (Assumptions!$B$7)*12, IF((HLOOKUP(AH$2,Earnings!$G$2:$BC$81,('Yearly Pension'!$A7)+1, FALSE)) &gt; AH$1, (Assumptions!$B$8)*(AH$1) + (Assumptions!$B$9)*MAX(0,  (HLOOKUP(AH$2,Earnings!$G$2:$BC$81,('Yearly Pension'!$A7)+1, FALSE)) - AH$1), ((Assumptions!$B$8)*'Yearly Pension'!AH$1))))</f>
        <v>0</v>
      </c>
      <c r="AI7" s="6">
        <f>(HLOOKUP('Yearly Pension'!AI$2,'Credited Service'!$G$1:$BC$80,$A7+1,FALSE)) * (IF($B7=500, (Assumptions!$B$7)*12, IF((HLOOKUP(AI$2,Earnings!$G$2:$BC$81,('Yearly Pension'!$A7)+1, FALSE)) &gt; AI$1, (Assumptions!$B$8)*(AI$1) + (Assumptions!$B$9)*MAX(0,  (HLOOKUP(AI$2,Earnings!$G$2:$BC$81,('Yearly Pension'!$A7)+1, FALSE)) - AI$1), ((Assumptions!$B$8)*'Yearly Pension'!AI$1))))</f>
        <v>180</v>
      </c>
      <c r="AJ7" s="6">
        <f>(HLOOKUP('Yearly Pension'!AJ$2,'Credited Service'!$G$1:$BC$80,$A7+1,FALSE)) * (IF($B7=500, (Assumptions!$B$7)*12, IF((HLOOKUP(AJ$2,Earnings!$G$2:$BC$81,('Yearly Pension'!$A7)+1, FALSE)) &gt; AJ$1, (Assumptions!$B$8)*(AJ$1) + (Assumptions!$B$9)*MAX(0,  (HLOOKUP(AJ$2,Earnings!$G$2:$BC$81,('Yearly Pension'!$A7)+1, FALSE)) - AJ$1), ((Assumptions!$B$8)*'Yearly Pension'!AJ$1))))</f>
        <v>720</v>
      </c>
      <c r="AK7" s="6">
        <f>(HLOOKUP('Yearly Pension'!AK$2,'Credited Service'!$G$1:$BC$80,$A7+1,FALSE)) * (IF($B7=500, (Assumptions!$B$7)*12, IF((HLOOKUP(AK$2,Earnings!$G$2:$BC$81,('Yearly Pension'!$A7)+1, FALSE)) &gt; AK$1, (Assumptions!$B$8)*(AK$1) + (Assumptions!$B$9)*MAX(0,  (HLOOKUP(AK$2,Earnings!$G$2:$BC$81,('Yearly Pension'!$A7)+1, FALSE)) - AK$1), ((Assumptions!$B$8)*'Yearly Pension'!AK$1))))</f>
        <v>720</v>
      </c>
      <c r="AL7" s="6">
        <f>(HLOOKUP('Yearly Pension'!AL$2,'Credited Service'!$G$1:$BC$80,$A7+1,FALSE)) * (IF($B7=500, (Assumptions!$B$7)*12, IF((HLOOKUP(AL$2,Earnings!$G$2:$BC$81,('Yearly Pension'!$A7)+1, FALSE)) &gt; AL$1, (Assumptions!$B$8)*(AL$1) + (Assumptions!$B$9)*MAX(0,  (HLOOKUP(AL$2,Earnings!$G$2:$BC$81,('Yearly Pension'!$A7)+1, FALSE)) - AL$1), ((Assumptions!$B$8)*'Yearly Pension'!AL$1))))</f>
        <v>720</v>
      </c>
      <c r="AM7" s="6">
        <f>(HLOOKUP('Yearly Pension'!AM$2,'Credited Service'!$G$1:$BC$80,$A7+1,FALSE)) * (IF($B7=500, (Assumptions!$B$7)*12, IF((HLOOKUP(AM$2,Earnings!$G$2:$BC$81,('Yearly Pension'!$A7)+1, FALSE)) &gt; AM$1, (Assumptions!$B$8)*(AM$1) + (Assumptions!$B$9)*MAX(0,  (HLOOKUP(AM$2,Earnings!$G$2:$BC$81,('Yearly Pension'!$A7)+1, FALSE)) - AM$1), ((Assumptions!$B$8)*'Yearly Pension'!AM$1))))</f>
        <v>720</v>
      </c>
      <c r="AN7" s="6">
        <f>(HLOOKUP('Yearly Pension'!AN$2,'Credited Service'!$G$1:$BC$80,$A7+1,FALSE)) * (IF($B7=500, (Assumptions!$B$7)*12, IF((HLOOKUP(AN$2,Earnings!$G$2:$BC$81,('Yearly Pension'!$A7)+1, FALSE)) &gt; AN$1, (Assumptions!$B$8)*(AN$1) + (Assumptions!$B$9)*MAX(0,  (HLOOKUP(AN$2,Earnings!$G$2:$BC$81,('Yearly Pension'!$A7)+1, FALSE)) - AN$1), ((Assumptions!$B$8)*'Yearly Pension'!AN$1))))</f>
        <v>720</v>
      </c>
      <c r="AO7" s="6">
        <f>(HLOOKUP('Yearly Pension'!AO$2,'Credited Service'!$G$1:$BC$80,$A7+1,FALSE)) * (IF($B7=500, (Assumptions!$B$7)*12, IF((HLOOKUP(AO$2,Earnings!$G$2:$BC$81,('Yearly Pension'!$A7)+1, FALSE)) &gt; AO$1, (Assumptions!$B$8)*(AO$1) + (Assumptions!$B$9)*MAX(0,  (HLOOKUP(AO$2,Earnings!$G$2:$BC$81,('Yearly Pension'!$A7)+1, FALSE)) - AO$1), ((Assumptions!$B$8)*'Yearly Pension'!AO$1))))</f>
        <v>720</v>
      </c>
      <c r="AP7" s="6">
        <f>(HLOOKUP('Yearly Pension'!AP$2,'Credited Service'!$G$1:$BC$80,$A7+1,FALSE)) * (IF($B7=500, (Assumptions!$B$7)*12, IF((HLOOKUP(AP$2,Earnings!$G$2:$BC$81,('Yearly Pension'!$A7)+1, FALSE)) &gt; AP$1, (Assumptions!$B$8)*(AP$1) + (Assumptions!$B$9)*MAX(0,  (HLOOKUP(AP$2,Earnings!$G$2:$BC$81,('Yearly Pension'!$A7)+1, FALSE)) - AP$1), ((Assumptions!$B$8)*'Yearly Pension'!AP$1))))</f>
        <v>720</v>
      </c>
      <c r="AQ7" s="6">
        <f>(HLOOKUP('Yearly Pension'!AQ$2,'Credited Service'!$G$1:$BC$80,$A7+1,FALSE)) * (IF($B7=500, (Assumptions!$B$7)*12, IF((HLOOKUP(AQ$2,Earnings!$G$2:$BC$81,('Yearly Pension'!$A7)+1, FALSE)) &gt; AQ$1, (Assumptions!$B$8)*(AQ$1) + (Assumptions!$B$9)*MAX(0,  (HLOOKUP(AQ$2,Earnings!$G$2:$BC$81,('Yearly Pension'!$A7)+1, FALSE)) - AQ$1), ((Assumptions!$B$8)*'Yearly Pension'!AQ$1))))</f>
        <v>720</v>
      </c>
      <c r="AR7" s="6">
        <f>(HLOOKUP('Yearly Pension'!AR$2,'Credited Service'!$G$1:$BC$80,$A7+1,FALSE)) * (IF($B7=500, (Assumptions!$B$7)*12, IF((HLOOKUP(AR$2,Earnings!$G$2:$BC$81,('Yearly Pension'!$A7)+1, FALSE)) &gt; AR$1, (Assumptions!$B$8)*(AR$1) + (Assumptions!$B$9)*MAX(0,  (HLOOKUP(AR$2,Earnings!$G$2:$BC$81,('Yearly Pension'!$A7)+1, FALSE)) - AR$1), ((Assumptions!$B$8)*'Yearly Pension'!AR$1))))</f>
        <v>720</v>
      </c>
      <c r="AS7" s="6">
        <f>(HLOOKUP('Yearly Pension'!AS$2,'Credited Service'!$G$1:$BC$80,$A7+1,FALSE)) * (IF($B7=500, (Assumptions!$B$7)*12, IF((HLOOKUP(AS$2,Earnings!$G$2:$BC$81,('Yearly Pension'!$A7)+1, FALSE)) &gt; AS$1, (Assumptions!$B$8)*(AS$1) + (Assumptions!$B$9)*MAX(0,  (HLOOKUP(AS$2,Earnings!$G$2:$BC$81,('Yearly Pension'!$A7)+1, FALSE)) - AS$1), ((Assumptions!$B$8)*'Yearly Pension'!AS$1))))</f>
        <v>720</v>
      </c>
      <c r="AT7" s="6">
        <f>(HLOOKUP('Yearly Pension'!AT$2,'Credited Service'!$G$1:$BC$80,$A7+1,FALSE)) * (IF($B7=500, (Assumptions!$B$7)*12, IF((HLOOKUP(AT$2,Earnings!$G$2:$BC$81,('Yearly Pension'!$A7)+1, FALSE)) &gt; AT$1, (Assumptions!$B$8)*(AT$1) + (Assumptions!$B$9)*MAX(0,  (HLOOKUP(AT$2,Earnings!$G$2:$BC$81,('Yearly Pension'!$A7)+1, FALSE)) - AT$1), ((Assumptions!$B$8)*'Yearly Pension'!AT$1))))</f>
        <v>720</v>
      </c>
      <c r="AU7" s="6">
        <f>(HLOOKUP('Yearly Pension'!AU$2,'Credited Service'!$G$1:$BC$80,$A7+1,FALSE)) * (IF($B7=500, (Assumptions!$B$7)*12, IF((HLOOKUP(AU$2,Earnings!$G$2:$BC$81,('Yearly Pension'!$A7)+1, FALSE)) &gt; AU$1, (Assumptions!$B$8)*(AU$1) + (Assumptions!$B$9)*MAX(0,  (HLOOKUP(AU$2,Earnings!$G$2:$BC$81,('Yearly Pension'!$A7)+1, FALSE)) - AU$1), ((Assumptions!$B$8)*'Yearly Pension'!AU$1))))</f>
        <v>720</v>
      </c>
      <c r="AV7" s="6">
        <f>(HLOOKUP('Yearly Pension'!AV$2,'Credited Service'!$G$1:$BC$80,$A7+1,FALSE)) * (IF($B7=500, (Assumptions!$B$7)*12, IF((HLOOKUP(AV$2,Earnings!$G$2:$BC$81,('Yearly Pension'!$A7)+1, FALSE)) &gt; AV$1, (Assumptions!$B$8)*(AV$1) + (Assumptions!$B$9)*MAX(0,  (HLOOKUP(AV$2,Earnings!$G$2:$BC$81,('Yearly Pension'!$A7)+1, FALSE)) - AV$1), ((Assumptions!$B$8)*'Yearly Pension'!AV$1))))</f>
        <v>720</v>
      </c>
      <c r="AW7" s="6">
        <f>(HLOOKUP('Yearly Pension'!AW$2,'Credited Service'!$G$1:$BC$80,$A7+1,FALSE)) * (IF($B7=500, (Assumptions!$B$7)*12, IF((HLOOKUP(AW$2,Earnings!$G$2:$BC$81,('Yearly Pension'!$A7)+1, FALSE)) &gt; AW$1, (Assumptions!$B$8)*(AW$1) + (Assumptions!$B$9)*MAX(0,  (HLOOKUP(AW$2,Earnings!$G$2:$BC$81,('Yearly Pension'!$A7)+1, FALSE)) - AW$1), ((Assumptions!$B$8)*'Yearly Pension'!AW$1))))</f>
        <v>720</v>
      </c>
      <c r="AX7" s="6">
        <f>(HLOOKUP('Yearly Pension'!AX$2,'Credited Service'!$G$1:$BC$80,$A7+1,FALSE)) * (IF($B7=500, (Assumptions!$B$7)*12, IF((HLOOKUP(AX$2,Earnings!$G$2:$BC$81,('Yearly Pension'!$A7)+1, FALSE)) &gt; AX$1, (Assumptions!$B$8)*(AX$1) + (Assumptions!$B$9)*MAX(0,  (HLOOKUP(AX$2,Earnings!$G$2:$BC$81,('Yearly Pension'!$A7)+1, FALSE)) - AX$1), ((Assumptions!$B$8)*'Yearly Pension'!AX$1))))</f>
        <v>720</v>
      </c>
      <c r="AY7" s="6">
        <f>(HLOOKUP('Yearly Pension'!AY$2,'Credited Service'!$G$1:$BC$80,$A7+1,FALSE)) * (IF($B7=500, (Assumptions!$B$7)*12, IF((HLOOKUP(AY$2,Earnings!$G$2:$BC$81,('Yearly Pension'!$A7)+1, FALSE)) &gt; AY$1, (Assumptions!$B$8)*(AY$1) + (Assumptions!$B$9)*MAX(0,  (HLOOKUP(AY$2,Earnings!$G$2:$BC$81,('Yearly Pension'!$A7)+1, FALSE)) - AY$1), ((Assumptions!$B$8)*'Yearly Pension'!AY$1))))</f>
        <v>720</v>
      </c>
      <c r="AZ7" s="6">
        <f>(HLOOKUP('Yearly Pension'!AZ$2,'Credited Service'!$G$1:$BC$80,$A7+1,FALSE)) * (IF($B7=500, (Assumptions!$B$7)*12, IF((HLOOKUP(AZ$2,Earnings!$G$2:$BC$81,('Yearly Pension'!$A7)+1, FALSE)) &gt; AZ$1, (Assumptions!$B$8)*(AZ$1) + (Assumptions!$B$9)*MAX(0,  (HLOOKUP(AZ$2,Earnings!$G$2:$BC$81,('Yearly Pension'!$A7)+1, FALSE)) - AZ$1), ((Assumptions!$B$8)*'Yearly Pension'!AZ$1))))</f>
        <v>720</v>
      </c>
      <c r="BA7" s="6">
        <f>(HLOOKUP('Yearly Pension'!BA$2,'Credited Service'!$G$1:$BC$80,$A7+1,FALSE)) * (IF($B7=500, (Assumptions!$B$7)*12, IF((HLOOKUP(BA$2,Earnings!$G$2:$BC$81,('Yearly Pension'!$A7)+1, FALSE)) &gt; BA$1, (Assumptions!$B$8)*(BA$1) + (Assumptions!$B$9)*MAX(0,  (HLOOKUP(BA$2,Earnings!$G$2:$BC$81,('Yearly Pension'!$A7)+1, FALSE)) - BA$1), ((Assumptions!$B$8)*'Yearly Pension'!BA$1))))</f>
        <v>720</v>
      </c>
      <c r="BB7" s="6">
        <f>(HLOOKUP('Yearly Pension'!BB$2,'Credited Service'!$G$1:$BC$80,$A7+1,FALSE)) * (IF($B7=500, (Assumptions!$B$7)*12, IF((HLOOKUP(BB$2,Earnings!$G$2:$BC$81,('Yearly Pension'!$A7)+1, FALSE)) &gt; BB$1, (Assumptions!$B$8)*(BB$1) + (Assumptions!$B$9)*MAX(0,  (HLOOKUP(BB$2,Earnings!$G$2:$BC$81,('Yearly Pension'!$A7)+1, FALSE)) - BB$1), ((Assumptions!$B$8)*'Yearly Pension'!BB$1))))</f>
        <v>720</v>
      </c>
      <c r="BC7" s="6">
        <f>(HLOOKUP('Yearly Pension'!BC$2,'Credited Service'!$G$1:$BC$80,$A7+1,FALSE)) * (IF($B7=500, (Assumptions!$B$7)*12, IF((HLOOKUP(BC$2,Earnings!$G$2:$BC$81,('Yearly Pension'!$A7)+1, FALSE)) &gt; BC$1, (Assumptions!$B$8)*(BC$1) + (Assumptions!$B$9)*MAX(0,  (HLOOKUP(BC$2,Earnings!$G$2:$BC$81,('Yearly Pension'!$A7)+1, FALSE)) - BC$1), ((Assumptions!$B$8)*'Yearly Pension'!BC$1))))</f>
        <v>720</v>
      </c>
    </row>
    <row r="8" spans="1:60" x14ac:dyDescent="0.25">
      <c r="A8" s="204">
        <v>6</v>
      </c>
      <c r="B8" s="1">
        <v>500</v>
      </c>
      <c r="C8" s="1">
        <v>784</v>
      </c>
      <c r="D8" s="3">
        <v>38544</v>
      </c>
      <c r="E8" s="3">
        <v>47362</v>
      </c>
      <c r="G8" s="6">
        <f>(HLOOKUP('Yearly Pension'!G$2,'Credited Service'!$G$1:$BC$80,$A8+1,FALSE)) * (IF($B8=500, (Assumptions!$B$7)*12, IF((HLOOKUP(G$2,Earnings!$G$2:$BC$81,('Yearly Pension'!$A8)+1, FALSE)) &gt; G$1, (Assumptions!$B$8)*(G$1) + (Assumptions!$B$9)*MAX(0,  (HLOOKUP(G$2,Earnings!$G$2:$BC$81,('Yearly Pension'!$A8)+1, FALSE)) - G$1), ((Assumptions!$B$8)*'Yearly Pension'!G$1))))</f>
        <v>0</v>
      </c>
      <c r="H8" s="6">
        <f>(HLOOKUP('Yearly Pension'!H$2,'Credited Service'!$G$1:$BC$80,$A8+1,FALSE)) * (IF($B8=500, (Assumptions!$B$7)*12, IF((HLOOKUP(H$2,Earnings!$G$2:$BC$81,('Yearly Pension'!$A8)+1, FALSE)) &gt; H$1, (Assumptions!$B$8)*(H$1) + (Assumptions!$B$9)*MAX(0,  (HLOOKUP(H$2,Earnings!$G$2:$BC$81,('Yearly Pension'!$A8)+1, FALSE)) - H$1), ((Assumptions!$B$8)*'Yearly Pension'!H$1))))</f>
        <v>0</v>
      </c>
      <c r="I8" s="6">
        <f>(HLOOKUP('Yearly Pension'!I$2,'Credited Service'!$G$1:$BC$80,$A8+1,FALSE)) * (IF($B8=500, (Assumptions!$B$7)*12, IF((HLOOKUP(I$2,Earnings!$G$2:$BC$81,('Yearly Pension'!$A8)+1, FALSE)) &gt; I$1, (Assumptions!$B$8)*(I$1) + (Assumptions!$B$9)*MAX(0,  (HLOOKUP(I$2,Earnings!$G$2:$BC$81,('Yearly Pension'!$A8)+1, FALSE)) - I$1), ((Assumptions!$B$8)*'Yearly Pension'!I$1))))</f>
        <v>0</v>
      </c>
      <c r="J8" s="6">
        <f>(HLOOKUP('Yearly Pension'!J$2,'Credited Service'!$G$1:$BC$80,$A8+1,FALSE)) * (IF($B8=500, (Assumptions!$B$7)*12, IF((HLOOKUP(J$2,Earnings!$G$2:$BC$81,('Yearly Pension'!$A8)+1, FALSE)) &gt; J$1, (Assumptions!$B$8)*(J$1) + (Assumptions!$B$9)*MAX(0,  (HLOOKUP(J$2,Earnings!$G$2:$BC$81,('Yearly Pension'!$A8)+1, FALSE)) - J$1), ((Assumptions!$B$8)*'Yearly Pension'!J$1))))</f>
        <v>0</v>
      </c>
      <c r="K8" s="6">
        <f>(HLOOKUP('Yearly Pension'!K$2,'Credited Service'!$G$1:$BC$80,$A8+1,FALSE)) * (IF($B8=500, (Assumptions!$B$7)*12, IF((HLOOKUP(K$2,Earnings!$G$2:$BC$81,('Yearly Pension'!$A8)+1, FALSE)) &gt; K$1, (Assumptions!$B$8)*(K$1) + (Assumptions!$B$9)*MAX(0,  (HLOOKUP(K$2,Earnings!$G$2:$BC$81,('Yearly Pension'!$A8)+1, FALSE)) - K$1), ((Assumptions!$B$8)*'Yearly Pension'!K$1))))</f>
        <v>0</v>
      </c>
      <c r="L8" s="6">
        <f>(HLOOKUP('Yearly Pension'!L$2,'Credited Service'!$G$1:$BC$80,$A8+1,FALSE)) * (IF($B8=500, (Assumptions!$B$7)*12, IF((HLOOKUP(L$2,Earnings!$G$2:$BC$81,('Yearly Pension'!$A8)+1, FALSE)) &gt; L$1, (Assumptions!$B$8)*(L$1) + (Assumptions!$B$9)*MAX(0,  (HLOOKUP(L$2,Earnings!$G$2:$BC$81,('Yearly Pension'!$A8)+1, FALSE)) - L$1), ((Assumptions!$B$8)*'Yearly Pension'!L$1))))</f>
        <v>0</v>
      </c>
      <c r="M8" s="6">
        <f>(HLOOKUP('Yearly Pension'!M$2,'Credited Service'!$G$1:$BC$80,$A8+1,FALSE)) * (IF($B8=500, (Assumptions!$B$7)*12, IF((HLOOKUP(M$2,Earnings!$G$2:$BC$81,('Yearly Pension'!$A8)+1, FALSE)) &gt; M$1, (Assumptions!$B$8)*(M$1) + (Assumptions!$B$9)*MAX(0,  (HLOOKUP(M$2,Earnings!$G$2:$BC$81,('Yearly Pension'!$A8)+1, FALSE)) - M$1), ((Assumptions!$B$8)*'Yearly Pension'!M$1))))</f>
        <v>0</v>
      </c>
      <c r="N8" s="6">
        <f>(HLOOKUP('Yearly Pension'!N$2,'Credited Service'!$G$1:$BC$80,$A8+1,FALSE)) * (IF($B8=500, (Assumptions!$B$7)*12, IF((HLOOKUP(N$2,Earnings!$G$2:$BC$81,('Yearly Pension'!$A8)+1, FALSE)) &gt; N$1, (Assumptions!$B$8)*(N$1) + (Assumptions!$B$9)*MAX(0,  (HLOOKUP(N$2,Earnings!$G$2:$BC$81,('Yearly Pension'!$A8)+1, FALSE)) - N$1), ((Assumptions!$B$8)*'Yearly Pension'!N$1))))</f>
        <v>0</v>
      </c>
      <c r="O8" s="6">
        <f>(HLOOKUP('Yearly Pension'!O$2,'Credited Service'!$G$1:$BC$80,$A8+1,FALSE)) * (IF($B8=500, (Assumptions!$B$7)*12, IF((HLOOKUP(O$2,Earnings!$G$2:$BC$81,('Yearly Pension'!$A8)+1, FALSE)) &gt; O$1, (Assumptions!$B$8)*(O$1) + (Assumptions!$B$9)*MAX(0,  (HLOOKUP(O$2,Earnings!$G$2:$BC$81,('Yearly Pension'!$A8)+1, FALSE)) - O$1), ((Assumptions!$B$8)*'Yearly Pension'!O$1))))</f>
        <v>0</v>
      </c>
      <c r="P8" s="6">
        <f>(HLOOKUP('Yearly Pension'!P$2,'Credited Service'!$G$1:$BC$80,$A8+1,FALSE)) * (IF($B8=500, (Assumptions!$B$7)*12, IF((HLOOKUP(P$2,Earnings!$G$2:$BC$81,('Yearly Pension'!$A8)+1, FALSE)) &gt; P$1, (Assumptions!$B$8)*(P$1) + (Assumptions!$B$9)*MAX(0,  (HLOOKUP(P$2,Earnings!$G$2:$BC$81,('Yearly Pension'!$A8)+1, FALSE)) - P$1), ((Assumptions!$B$8)*'Yearly Pension'!P$1))))</f>
        <v>0</v>
      </c>
      <c r="Q8" s="6">
        <f>(HLOOKUP('Yearly Pension'!Q$2,'Credited Service'!$G$1:$BC$80,$A8+1,FALSE)) * (IF($B8=500, (Assumptions!$B$7)*12, IF((HLOOKUP(Q$2,Earnings!$G$2:$BC$81,('Yearly Pension'!$A8)+1, FALSE)) &gt; Q$1, (Assumptions!$B$8)*(Q$1) + (Assumptions!$B$9)*MAX(0,  (HLOOKUP(Q$2,Earnings!$G$2:$BC$81,('Yearly Pension'!$A8)+1, FALSE)) - Q$1), ((Assumptions!$B$8)*'Yearly Pension'!Q$1))))</f>
        <v>0</v>
      </c>
      <c r="R8" s="6">
        <f>(HLOOKUP('Yearly Pension'!R$2,'Credited Service'!$G$1:$BC$80,$A8+1,FALSE)) * (IF($B8=500, (Assumptions!$B$7)*12, IF((HLOOKUP(R$2,Earnings!$G$2:$BC$81,('Yearly Pension'!$A8)+1, FALSE)) &gt; R$1, (Assumptions!$B$8)*(R$1) + (Assumptions!$B$9)*MAX(0,  (HLOOKUP(R$2,Earnings!$G$2:$BC$81,('Yearly Pension'!$A8)+1, FALSE)) - R$1), ((Assumptions!$B$8)*'Yearly Pension'!R$1))))</f>
        <v>0</v>
      </c>
      <c r="S8" s="6">
        <f>(HLOOKUP('Yearly Pension'!S$2,'Credited Service'!$G$1:$BC$80,$A8+1,FALSE)) * (IF($B8=500, (Assumptions!$B$7)*12, IF((HLOOKUP(S$2,Earnings!$G$2:$BC$81,('Yearly Pension'!$A8)+1, FALSE)) &gt; S$1, (Assumptions!$B$8)*(S$1) + (Assumptions!$B$9)*MAX(0,  (HLOOKUP(S$2,Earnings!$G$2:$BC$81,('Yearly Pension'!$A8)+1, FALSE)) - S$1), ((Assumptions!$B$8)*'Yearly Pension'!S$1))))</f>
        <v>0</v>
      </c>
      <c r="T8" s="6">
        <f>(HLOOKUP('Yearly Pension'!T$2,'Credited Service'!$G$1:$BC$80,$A8+1,FALSE)) * (IF($B8=500, (Assumptions!$B$7)*12, IF((HLOOKUP(T$2,Earnings!$G$2:$BC$81,('Yearly Pension'!$A8)+1, FALSE)) &gt; T$1, (Assumptions!$B$8)*(T$1) + (Assumptions!$B$9)*MAX(0,  (HLOOKUP(T$2,Earnings!$G$2:$BC$81,('Yearly Pension'!$A8)+1, FALSE)) - T$1), ((Assumptions!$B$8)*'Yearly Pension'!T$1))))</f>
        <v>0</v>
      </c>
      <c r="U8" s="6">
        <f>(HLOOKUP('Yearly Pension'!U$2,'Credited Service'!$G$1:$BC$80,$A8+1,FALSE)) * (IF($B8=500, (Assumptions!$B$7)*12, IF((HLOOKUP(U$2,Earnings!$G$2:$BC$81,('Yearly Pension'!$A8)+1, FALSE)) &gt; U$1, (Assumptions!$B$8)*(U$1) + (Assumptions!$B$9)*MAX(0,  (HLOOKUP(U$2,Earnings!$G$2:$BC$81,('Yearly Pension'!$A8)+1, FALSE)) - U$1), ((Assumptions!$B$8)*'Yearly Pension'!U$1))))</f>
        <v>0</v>
      </c>
      <c r="V8" s="6">
        <f>(HLOOKUP('Yearly Pension'!V$2,'Credited Service'!$G$1:$BC$80,$A8+1,FALSE)) * (IF($B8=500, (Assumptions!$B$7)*12, IF((HLOOKUP(V$2,Earnings!$G$2:$BC$81,('Yearly Pension'!$A8)+1, FALSE)) &gt; V$1, (Assumptions!$B$8)*(V$1) + (Assumptions!$B$9)*MAX(0,  (HLOOKUP(V$2,Earnings!$G$2:$BC$81,('Yearly Pension'!$A8)+1, FALSE)) - V$1), ((Assumptions!$B$8)*'Yearly Pension'!V$1))))</f>
        <v>0</v>
      </c>
      <c r="W8" s="6">
        <f>(HLOOKUP('Yearly Pension'!W$2,'Credited Service'!$G$1:$BC$80,$A8+1,FALSE)) * (IF($B8=500, (Assumptions!$B$7)*12, IF((HLOOKUP(W$2,Earnings!$G$2:$BC$81,('Yearly Pension'!$A8)+1, FALSE)) &gt; W$1, (Assumptions!$B$8)*(W$1) + (Assumptions!$B$9)*MAX(0,  (HLOOKUP(W$2,Earnings!$G$2:$BC$81,('Yearly Pension'!$A8)+1, FALSE)) - W$1), ((Assumptions!$B$8)*'Yearly Pension'!W$1))))</f>
        <v>0</v>
      </c>
      <c r="X8" s="6">
        <f>(HLOOKUP('Yearly Pension'!X$2,'Credited Service'!$G$1:$BC$80,$A8+1,FALSE)) * (IF($B8=500, (Assumptions!$B$7)*12, IF((HLOOKUP(X$2,Earnings!$G$2:$BC$81,('Yearly Pension'!$A8)+1, FALSE)) &gt; X$1, (Assumptions!$B$8)*(X$1) + (Assumptions!$B$9)*MAX(0,  (HLOOKUP(X$2,Earnings!$G$2:$BC$81,('Yearly Pension'!$A8)+1, FALSE)) - X$1), ((Assumptions!$B$8)*'Yearly Pension'!X$1))))</f>
        <v>0</v>
      </c>
      <c r="Y8" s="6">
        <f>(HLOOKUP('Yearly Pension'!Y$2,'Credited Service'!$G$1:$BC$80,$A8+1,FALSE)) * (IF($B8=500, (Assumptions!$B$7)*12, IF((HLOOKUP(Y$2,Earnings!$G$2:$BC$81,('Yearly Pension'!$A8)+1, FALSE)) &gt; Y$1, (Assumptions!$B$8)*(Y$1) + (Assumptions!$B$9)*MAX(0,  (HLOOKUP(Y$2,Earnings!$G$2:$BC$81,('Yearly Pension'!$A8)+1, FALSE)) - Y$1), ((Assumptions!$B$8)*'Yearly Pension'!Y$1))))</f>
        <v>0</v>
      </c>
      <c r="Z8" s="6">
        <f>(HLOOKUP('Yearly Pension'!Z$2,'Credited Service'!$G$1:$BC$80,$A8+1,FALSE)) * (IF($B8=500, (Assumptions!$B$7)*12, IF((HLOOKUP(Z$2,Earnings!$G$2:$BC$81,('Yearly Pension'!$A8)+1, FALSE)) &gt; Z$1, (Assumptions!$B$8)*(Z$1) + (Assumptions!$B$9)*MAX(0,  (HLOOKUP(Z$2,Earnings!$G$2:$BC$81,('Yearly Pension'!$A8)+1, FALSE)) - Z$1), ((Assumptions!$B$8)*'Yearly Pension'!Z$1))))</f>
        <v>0</v>
      </c>
      <c r="AA8" s="6">
        <f>(HLOOKUP('Yearly Pension'!AA$2,'Credited Service'!$G$1:$BC$80,$A8+1,FALSE)) * (IF($B8=500, (Assumptions!$B$7)*12, IF((HLOOKUP(AA$2,Earnings!$G$2:$BC$81,('Yearly Pension'!$A8)+1, FALSE)) &gt; AA$1, (Assumptions!$B$8)*(AA$1) + (Assumptions!$B$9)*MAX(0,  (HLOOKUP(AA$2,Earnings!$G$2:$BC$81,('Yearly Pension'!$A8)+1, FALSE)) - AA$1), ((Assumptions!$B$8)*'Yearly Pension'!AA$1))))</f>
        <v>0</v>
      </c>
      <c r="AB8" s="6">
        <f>(HLOOKUP('Yearly Pension'!AB$2,'Credited Service'!$G$1:$BC$80,$A8+1,FALSE)) * (IF($B8=500, (Assumptions!$B$7)*12, IF((HLOOKUP(AB$2,Earnings!$G$2:$BC$81,('Yearly Pension'!$A8)+1, FALSE)) &gt; AB$1, (Assumptions!$B$8)*(AB$1) + (Assumptions!$B$9)*MAX(0,  (HLOOKUP(AB$2,Earnings!$G$2:$BC$81,('Yearly Pension'!$A8)+1, FALSE)) - AB$1), ((Assumptions!$B$8)*'Yearly Pension'!AB$1))))</f>
        <v>0</v>
      </c>
      <c r="AC8" s="6">
        <f>(HLOOKUP('Yearly Pension'!AC$2,'Credited Service'!$G$1:$BC$80,$A8+1,FALSE)) * (IF($B8=500, (Assumptions!$B$7)*12, IF((HLOOKUP(AC$2,Earnings!$G$2:$BC$81,('Yearly Pension'!$A8)+1, FALSE)) &gt; AC$1, (Assumptions!$B$8)*(AC$1) + (Assumptions!$B$9)*MAX(0,  (HLOOKUP(AC$2,Earnings!$G$2:$BC$81,('Yearly Pension'!$A8)+1, FALSE)) - AC$1), ((Assumptions!$B$8)*'Yearly Pension'!AC$1))))</f>
        <v>0</v>
      </c>
      <c r="AD8" s="6">
        <f>(HLOOKUP('Yearly Pension'!AD$2,'Credited Service'!$G$1:$BC$80,$A8+1,FALSE)) * (IF($B8=500, (Assumptions!$B$7)*12, IF((HLOOKUP(AD$2,Earnings!$G$2:$BC$81,('Yearly Pension'!$A8)+1, FALSE)) &gt; AD$1, (Assumptions!$B$8)*(AD$1) + (Assumptions!$B$9)*MAX(0,  (HLOOKUP(AD$2,Earnings!$G$2:$BC$81,('Yearly Pension'!$A8)+1, FALSE)) - AD$1), ((Assumptions!$B$8)*'Yearly Pension'!AD$1))))</f>
        <v>0</v>
      </c>
      <c r="AE8" s="6">
        <f>(HLOOKUP('Yearly Pension'!AE$2,'Credited Service'!$G$1:$BC$80,$A8+1,FALSE)) * (IF($B8=500, (Assumptions!$B$7)*12, IF((HLOOKUP(AE$2,Earnings!$G$2:$BC$81,('Yearly Pension'!$A8)+1, FALSE)) &gt; AE$1, (Assumptions!$B$8)*(AE$1) + (Assumptions!$B$9)*MAX(0,  (HLOOKUP(AE$2,Earnings!$G$2:$BC$81,('Yearly Pension'!$A8)+1, FALSE)) - AE$1), ((Assumptions!$B$8)*'Yearly Pension'!AE$1))))</f>
        <v>0</v>
      </c>
      <c r="AF8" s="6">
        <f>(HLOOKUP('Yearly Pension'!AF$2,'Credited Service'!$G$1:$BC$80,$A8+1,FALSE)) * (IF($B8=500, (Assumptions!$B$7)*12, IF((HLOOKUP(AF$2,Earnings!$G$2:$BC$81,('Yearly Pension'!$A8)+1, FALSE)) &gt; AF$1, (Assumptions!$B$8)*(AF$1) + (Assumptions!$B$9)*MAX(0,  (HLOOKUP(AF$2,Earnings!$G$2:$BC$81,('Yearly Pension'!$A8)+1, FALSE)) - AF$1), ((Assumptions!$B$8)*'Yearly Pension'!AF$1))))</f>
        <v>0</v>
      </c>
      <c r="AG8" s="6">
        <f>(HLOOKUP('Yearly Pension'!AG$2,'Credited Service'!$G$1:$BC$80,$A8+1,FALSE)) * (IF($B8=500, (Assumptions!$B$7)*12, IF((HLOOKUP(AG$2,Earnings!$G$2:$BC$81,('Yearly Pension'!$A8)+1, FALSE)) &gt; AG$1, (Assumptions!$B$8)*(AG$1) + (Assumptions!$B$9)*MAX(0,  (HLOOKUP(AG$2,Earnings!$G$2:$BC$81,('Yearly Pension'!$A8)+1, FALSE)) - AG$1), ((Assumptions!$B$8)*'Yearly Pension'!AG$1))))</f>
        <v>0</v>
      </c>
      <c r="AH8" s="6">
        <f>(HLOOKUP('Yearly Pension'!AH$2,'Credited Service'!$G$1:$BC$80,$A8+1,FALSE)) * (IF($B8=500, (Assumptions!$B$7)*12, IF((HLOOKUP(AH$2,Earnings!$G$2:$BC$81,('Yearly Pension'!$A8)+1, FALSE)) &gt; AH$1, (Assumptions!$B$8)*(AH$1) + (Assumptions!$B$9)*MAX(0,  (HLOOKUP(AH$2,Earnings!$G$2:$BC$81,('Yearly Pension'!$A8)+1, FALSE)) - AH$1), ((Assumptions!$B$8)*'Yearly Pension'!AH$1))))</f>
        <v>0</v>
      </c>
      <c r="AI8" s="6">
        <f>(HLOOKUP('Yearly Pension'!AI$2,'Credited Service'!$G$1:$BC$80,$A8+1,FALSE)) * (IF($B8=500, (Assumptions!$B$7)*12, IF((HLOOKUP(AI$2,Earnings!$G$2:$BC$81,('Yearly Pension'!$A8)+1, FALSE)) &gt; AI$1, (Assumptions!$B$8)*(AI$1) + (Assumptions!$B$9)*MAX(0,  (HLOOKUP(AI$2,Earnings!$G$2:$BC$81,('Yearly Pension'!$A8)+1, FALSE)) - AI$1), ((Assumptions!$B$8)*'Yearly Pension'!AI$1))))</f>
        <v>300</v>
      </c>
      <c r="AJ8" s="6">
        <f>(HLOOKUP('Yearly Pension'!AJ$2,'Credited Service'!$G$1:$BC$80,$A8+1,FALSE)) * (IF($B8=500, (Assumptions!$B$7)*12, IF((HLOOKUP(AJ$2,Earnings!$G$2:$BC$81,('Yearly Pension'!$A8)+1, FALSE)) &gt; AJ$1, (Assumptions!$B$8)*(AJ$1) + (Assumptions!$B$9)*MAX(0,  (HLOOKUP(AJ$2,Earnings!$G$2:$BC$81,('Yearly Pension'!$A8)+1, FALSE)) - AJ$1), ((Assumptions!$B$8)*'Yearly Pension'!AJ$1))))</f>
        <v>720</v>
      </c>
      <c r="AK8" s="6">
        <f>(HLOOKUP('Yearly Pension'!AK$2,'Credited Service'!$G$1:$BC$80,$A8+1,FALSE)) * (IF($B8=500, (Assumptions!$B$7)*12, IF((HLOOKUP(AK$2,Earnings!$G$2:$BC$81,('Yearly Pension'!$A8)+1, FALSE)) &gt; AK$1, (Assumptions!$B$8)*(AK$1) + (Assumptions!$B$9)*MAX(0,  (HLOOKUP(AK$2,Earnings!$G$2:$BC$81,('Yearly Pension'!$A8)+1, FALSE)) - AK$1), ((Assumptions!$B$8)*'Yearly Pension'!AK$1))))</f>
        <v>720</v>
      </c>
      <c r="AL8" s="6">
        <f>(HLOOKUP('Yearly Pension'!AL$2,'Credited Service'!$G$1:$BC$80,$A8+1,FALSE)) * (IF($B8=500, (Assumptions!$B$7)*12, IF((HLOOKUP(AL$2,Earnings!$G$2:$BC$81,('Yearly Pension'!$A8)+1, FALSE)) &gt; AL$1, (Assumptions!$B$8)*(AL$1) + (Assumptions!$B$9)*MAX(0,  (HLOOKUP(AL$2,Earnings!$G$2:$BC$81,('Yearly Pension'!$A8)+1, FALSE)) - AL$1), ((Assumptions!$B$8)*'Yearly Pension'!AL$1))))</f>
        <v>720</v>
      </c>
      <c r="AM8" s="6">
        <f>(HLOOKUP('Yearly Pension'!AM$2,'Credited Service'!$G$1:$BC$80,$A8+1,FALSE)) * (IF($B8=500, (Assumptions!$B$7)*12, IF((HLOOKUP(AM$2,Earnings!$G$2:$BC$81,('Yearly Pension'!$A8)+1, FALSE)) &gt; AM$1, (Assumptions!$B$8)*(AM$1) + (Assumptions!$B$9)*MAX(0,  (HLOOKUP(AM$2,Earnings!$G$2:$BC$81,('Yearly Pension'!$A8)+1, FALSE)) - AM$1), ((Assumptions!$B$8)*'Yearly Pension'!AM$1))))</f>
        <v>720</v>
      </c>
      <c r="AN8" s="6">
        <f>(HLOOKUP('Yearly Pension'!AN$2,'Credited Service'!$G$1:$BC$80,$A8+1,FALSE)) * (IF($B8=500, (Assumptions!$B$7)*12, IF((HLOOKUP(AN$2,Earnings!$G$2:$BC$81,('Yearly Pension'!$A8)+1, FALSE)) &gt; AN$1, (Assumptions!$B$8)*(AN$1) + (Assumptions!$B$9)*MAX(0,  (HLOOKUP(AN$2,Earnings!$G$2:$BC$81,('Yearly Pension'!$A8)+1, FALSE)) - AN$1), ((Assumptions!$B$8)*'Yearly Pension'!AN$1))))</f>
        <v>720</v>
      </c>
      <c r="AO8" s="6">
        <f>(HLOOKUP('Yearly Pension'!AO$2,'Credited Service'!$G$1:$BC$80,$A8+1,FALSE)) * (IF($B8=500, (Assumptions!$B$7)*12, IF((HLOOKUP(AO$2,Earnings!$G$2:$BC$81,('Yearly Pension'!$A8)+1, FALSE)) &gt; AO$1, (Assumptions!$B$8)*(AO$1) + (Assumptions!$B$9)*MAX(0,  (HLOOKUP(AO$2,Earnings!$G$2:$BC$81,('Yearly Pension'!$A8)+1, FALSE)) - AO$1), ((Assumptions!$B$8)*'Yearly Pension'!AO$1))))</f>
        <v>720</v>
      </c>
      <c r="AP8" s="6">
        <f>(HLOOKUP('Yearly Pension'!AP$2,'Credited Service'!$G$1:$BC$80,$A8+1,FALSE)) * (IF($B8=500, (Assumptions!$B$7)*12, IF((HLOOKUP(AP$2,Earnings!$G$2:$BC$81,('Yearly Pension'!$A8)+1, FALSE)) &gt; AP$1, (Assumptions!$B$8)*(AP$1) + (Assumptions!$B$9)*MAX(0,  (HLOOKUP(AP$2,Earnings!$G$2:$BC$81,('Yearly Pension'!$A8)+1, FALSE)) - AP$1), ((Assumptions!$B$8)*'Yearly Pension'!AP$1))))</f>
        <v>720</v>
      </c>
      <c r="AQ8" s="6">
        <f>(HLOOKUP('Yearly Pension'!AQ$2,'Credited Service'!$G$1:$BC$80,$A8+1,FALSE)) * (IF($B8=500, (Assumptions!$B$7)*12, IF((HLOOKUP(AQ$2,Earnings!$G$2:$BC$81,('Yearly Pension'!$A8)+1, FALSE)) &gt; AQ$1, (Assumptions!$B$8)*(AQ$1) + (Assumptions!$B$9)*MAX(0,  (HLOOKUP(AQ$2,Earnings!$G$2:$BC$81,('Yearly Pension'!$A8)+1, FALSE)) - AQ$1), ((Assumptions!$B$8)*'Yearly Pension'!AQ$1))))</f>
        <v>720</v>
      </c>
      <c r="AR8" s="6">
        <f>(HLOOKUP('Yearly Pension'!AR$2,'Credited Service'!$G$1:$BC$80,$A8+1,FALSE)) * (IF($B8=500, (Assumptions!$B$7)*12, IF((HLOOKUP(AR$2,Earnings!$G$2:$BC$81,('Yearly Pension'!$A8)+1, FALSE)) &gt; AR$1, (Assumptions!$B$8)*(AR$1) + (Assumptions!$B$9)*MAX(0,  (HLOOKUP(AR$2,Earnings!$G$2:$BC$81,('Yearly Pension'!$A8)+1, FALSE)) - AR$1), ((Assumptions!$B$8)*'Yearly Pension'!AR$1))))</f>
        <v>720</v>
      </c>
      <c r="AS8" s="6">
        <f>(HLOOKUP('Yearly Pension'!AS$2,'Credited Service'!$G$1:$BC$80,$A8+1,FALSE)) * (IF($B8=500, (Assumptions!$B$7)*12, IF((HLOOKUP(AS$2,Earnings!$G$2:$BC$81,('Yearly Pension'!$A8)+1, FALSE)) &gt; AS$1, (Assumptions!$B$8)*(AS$1) + (Assumptions!$B$9)*MAX(0,  (HLOOKUP(AS$2,Earnings!$G$2:$BC$81,('Yearly Pension'!$A8)+1, FALSE)) - AS$1), ((Assumptions!$B$8)*'Yearly Pension'!AS$1))))</f>
        <v>720</v>
      </c>
      <c r="AT8" s="6">
        <f>(HLOOKUP('Yearly Pension'!AT$2,'Credited Service'!$G$1:$BC$80,$A8+1,FALSE)) * (IF($B8=500, (Assumptions!$B$7)*12, IF((HLOOKUP(AT$2,Earnings!$G$2:$BC$81,('Yearly Pension'!$A8)+1, FALSE)) &gt; AT$1, (Assumptions!$B$8)*(AT$1) + (Assumptions!$B$9)*MAX(0,  (HLOOKUP(AT$2,Earnings!$G$2:$BC$81,('Yearly Pension'!$A8)+1, FALSE)) - AT$1), ((Assumptions!$B$8)*'Yearly Pension'!AT$1))))</f>
        <v>720</v>
      </c>
      <c r="AU8" s="6">
        <f>(HLOOKUP('Yearly Pension'!AU$2,'Credited Service'!$G$1:$BC$80,$A8+1,FALSE)) * (IF($B8=500, (Assumptions!$B$7)*12, IF((HLOOKUP(AU$2,Earnings!$G$2:$BC$81,('Yearly Pension'!$A8)+1, FALSE)) &gt; AU$1, (Assumptions!$B$8)*(AU$1) + (Assumptions!$B$9)*MAX(0,  (HLOOKUP(AU$2,Earnings!$G$2:$BC$81,('Yearly Pension'!$A8)+1, FALSE)) - AU$1), ((Assumptions!$B$8)*'Yearly Pension'!AU$1))))</f>
        <v>720</v>
      </c>
      <c r="AV8" s="6">
        <f>(HLOOKUP('Yearly Pension'!AV$2,'Credited Service'!$G$1:$BC$80,$A8+1,FALSE)) * (IF($B8=500, (Assumptions!$B$7)*12, IF((HLOOKUP(AV$2,Earnings!$G$2:$BC$81,('Yearly Pension'!$A8)+1, FALSE)) &gt; AV$1, (Assumptions!$B$8)*(AV$1) + (Assumptions!$B$9)*MAX(0,  (HLOOKUP(AV$2,Earnings!$G$2:$BC$81,('Yearly Pension'!$A8)+1, FALSE)) - AV$1), ((Assumptions!$B$8)*'Yearly Pension'!AV$1))))</f>
        <v>720</v>
      </c>
      <c r="AW8" s="6">
        <f>(HLOOKUP('Yearly Pension'!AW$2,'Credited Service'!$G$1:$BC$80,$A8+1,FALSE)) * (IF($B8=500, (Assumptions!$B$7)*12, IF((HLOOKUP(AW$2,Earnings!$G$2:$BC$81,('Yearly Pension'!$A8)+1, FALSE)) &gt; AW$1, (Assumptions!$B$8)*(AW$1) + (Assumptions!$B$9)*MAX(0,  (HLOOKUP(AW$2,Earnings!$G$2:$BC$81,('Yearly Pension'!$A8)+1, FALSE)) - AW$1), ((Assumptions!$B$8)*'Yearly Pension'!AW$1))))</f>
        <v>720</v>
      </c>
      <c r="AX8" s="6">
        <f>(HLOOKUP('Yearly Pension'!AX$2,'Credited Service'!$G$1:$BC$80,$A8+1,FALSE)) * (IF($B8=500, (Assumptions!$B$7)*12, IF((HLOOKUP(AX$2,Earnings!$G$2:$BC$81,('Yearly Pension'!$A8)+1, FALSE)) &gt; AX$1, (Assumptions!$B$8)*(AX$1) + (Assumptions!$B$9)*MAX(0,  (HLOOKUP(AX$2,Earnings!$G$2:$BC$81,('Yearly Pension'!$A8)+1, FALSE)) - AX$1), ((Assumptions!$B$8)*'Yearly Pension'!AX$1))))</f>
        <v>720</v>
      </c>
      <c r="AY8" s="6">
        <f>(HLOOKUP('Yearly Pension'!AY$2,'Credited Service'!$G$1:$BC$80,$A8+1,FALSE)) * (IF($B8=500, (Assumptions!$B$7)*12, IF((HLOOKUP(AY$2,Earnings!$G$2:$BC$81,('Yearly Pension'!$A8)+1, FALSE)) &gt; AY$1, (Assumptions!$B$8)*(AY$1) + (Assumptions!$B$9)*MAX(0,  (HLOOKUP(AY$2,Earnings!$G$2:$BC$81,('Yearly Pension'!$A8)+1, FALSE)) - AY$1), ((Assumptions!$B$8)*'Yearly Pension'!AY$1))))</f>
        <v>720</v>
      </c>
      <c r="AZ8" s="6">
        <f>(HLOOKUP('Yearly Pension'!AZ$2,'Credited Service'!$G$1:$BC$80,$A8+1,FALSE)) * (IF($B8=500, (Assumptions!$B$7)*12, IF((HLOOKUP(AZ$2,Earnings!$G$2:$BC$81,('Yearly Pension'!$A8)+1, FALSE)) &gt; AZ$1, (Assumptions!$B$8)*(AZ$1) + (Assumptions!$B$9)*MAX(0,  (HLOOKUP(AZ$2,Earnings!$G$2:$BC$81,('Yearly Pension'!$A8)+1, FALSE)) - AZ$1), ((Assumptions!$B$8)*'Yearly Pension'!AZ$1))))</f>
        <v>720</v>
      </c>
      <c r="BA8" s="6">
        <f>(HLOOKUP('Yearly Pension'!BA$2,'Credited Service'!$G$1:$BC$80,$A8+1,FALSE)) * (IF($B8=500, (Assumptions!$B$7)*12, IF((HLOOKUP(BA$2,Earnings!$G$2:$BC$81,('Yearly Pension'!$A8)+1, FALSE)) &gt; BA$1, (Assumptions!$B$8)*(BA$1) + (Assumptions!$B$9)*MAX(0,  (HLOOKUP(BA$2,Earnings!$G$2:$BC$81,('Yearly Pension'!$A8)+1, FALSE)) - BA$1), ((Assumptions!$B$8)*'Yearly Pension'!BA$1))))</f>
        <v>720</v>
      </c>
      <c r="BB8" s="6">
        <f>(HLOOKUP('Yearly Pension'!BB$2,'Credited Service'!$G$1:$BC$80,$A8+1,FALSE)) * (IF($B8=500, (Assumptions!$B$7)*12, IF((HLOOKUP(BB$2,Earnings!$G$2:$BC$81,('Yearly Pension'!$A8)+1, FALSE)) &gt; BB$1, (Assumptions!$B$8)*(BB$1) + (Assumptions!$B$9)*MAX(0,  (HLOOKUP(BB$2,Earnings!$G$2:$BC$81,('Yearly Pension'!$A8)+1, FALSE)) - BB$1), ((Assumptions!$B$8)*'Yearly Pension'!BB$1))))</f>
        <v>720</v>
      </c>
      <c r="BC8" s="6">
        <f>(HLOOKUP('Yearly Pension'!BC$2,'Credited Service'!$G$1:$BC$80,$A8+1,FALSE)) * (IF($B8=500, (Assumptions!$B$7)*12, IF((HLOOKUP(BC$2,Earnings!$G$2:$BC$81,('Yearly Pension'!$A8)+1, FALSE)) &gt; BC$1, (Assumptions!$B$8)*(BC$1) + (Assumptions!$B$9)*MAX(0,  (HLOOKUP(BC$2,Earnings!$G$2:$BC$81,('Yearly Pension'!$A8)+1, FALSE)) - BC$1), ((Assumptions!$B$8)*'Yearly Pension'!BC$1))))</f>
        <v>720</v>
      </c>
    </row>
    <row r="9" spans="1:60" x14ac:dyDescent="0.25">
      <c r="A9" s="204">
        <v>7</v>
      </c>
      <c r="B9" s="1">
        <v>500</v>
      </c>
      <c r="C9" s="1">
        <v>783</v>
      </c>
      <c r="D9" s="3">
        <v>38537</v>
      </c>
      <c r="E9" s="3">
        <v>47818</v>
      </c>
      <c r="G9" s="6">
        <f>(HLOOKUP('Yearly Pension'!G$2,'Credited Service'!$G$1:$BC$80,$A9+1,FALSE)) * (IF($B9=500, (Assumptions!$B$7)*12, IF((HLOOKUP(G$2,Earnings!$G$2:$BC$81,('Yearly Pension'!$A9)+1, FALSE)) &gt; G$1, (Assumptions!$B$8)*(G$1) + (Assumptions!$B$9)*MAX(0,  (HLOOKUP(G$2,Earnings!$G$2:$BC$81,('Yearly Pension'!$A9)+1, FALSE)) - G$1), ((Assumptions!$B$8)*'Yearly Pension'!G$1))))</f>
        <v>0</v>
      </c>
      <c r="H9" s="6">
        <f>(HLOOKUP('Yearly Pension'!H$2,'Credited Service'!$G$1:$BC$80,$A9+1,FALSE)) * (IF($B9=500, (Assumptions!$B$7)*12, IF((HLOOKUP(H$2,Earnings!$G$2:$BC$81,('Yearly Pension'!$A9)+1, FALSE)) &gt; H$1, (Assumptions!$B$8)*(H$1) + (Assumptions!$B$9)*MAX(0,  (HLOOKUP(H$2,Earnings!$G$2:$BC$81,('Yearly Pension'!$A9)+1, FALSE)) - H$1), ((Assumptions!$B$8)*'Yearly Pension'!H$1))))</f>
        <v>0</v>
      </c>
      <c r="I9" s="6">
        <f>(HLOOKUP('Yearly Pension'!I$2,'Credited Service'!$G$1:$BC$80,$A9+1,FALSE)) * (IF($B9=500, (Assumptions!$B$7)*12, IF((HLOOKUP(I$2,Earnings!$G$2:$BC$81,('Yearly Pension'!$A9)+1, FALSE)) &gt; I$1, (Assumptions!$B$8)*(I$1) + (Assumptions!$B$9)*MAX(0,  (HLOOKUP(I$2,Earnings!$G$2:$BC$81,('Yearly Pension'!$A9)+1, FALSE)) - I$1), ((Assumptions!$B$8)*'Yearly Pension'!I$1))))</f>
        <v>0</v>
      </c>
      <c r="J9" s="6">
        <f>(HLOOKUP('Yearly Pension'!J$2,'Credited Service'!$G$1:$BC$80,$A9+1,FALSE)) * (IF($B9=500, (Assumptions!$B$7)*12, IF((HLOOKUP(J$2,Earnings!$G$2:$BC$81,('Yearly Pension'!$A9)+1, FALSE)) &gt; J$1, (Assumptions!$B$8)*(J$1) + (Assumptions!$B$9)*MAX(0,  (HLOOKUP(J$2,Earnings!$G$2:$BC$81,('Yearly Pension'!$A9)+1, FALSE)) - J$1), ((Assumptions!$B$8)*'Yearly Pension'!J$1))))</f>
        <v>0</v>
      </c>
      <c r="K9" s="6">
        <f>(HLOOKUP('Yearly Pension'!K$2,'Credited Service'!$G$1:$BC$80,$A9+1,FALSE)) * (IF($B9=500, (Assumptions!$B$7)*12, IF((HLOOKUP(K$2,Earnings!$G$2:$BC$81,('Yearly Pension'!$A9)+1, FALSE)) &gt; K$1, (Assumptions!$B$8)*(K$1) + (Assumptions!$B$9)*MAX(0,  (HLOOKUP(K$2,Earnings!$G$2:$BC$81,('Yearly Pension'!$A9)+1, FALSE)) - K$1), ((Assumptions!$B$8)*'Yearly Pension'!K$1))))</f>
        <v>0</v>
      </c>
      <c r="L9" s="6">
        <f>(HLOOKUP('Yearly Pension'!L$2,'Credited Service'!$G$1:$BC$80,$A9+1,FALSE)) * (IF($B9=500, (Assumptions!$B$7)*12, IF((HLOOKUP(L$2,Earnings!$G$2:$BC$81,('Yearly Pension'!$A9)+1, FALSE)) &gt; L$1, (Assumptions!$B$8)*(L$1) + (Assumptions!$B$9)*MAX(0,  (HLOOKUP(L$2,Earnings!$G$2:$BC$81,('Yearly Pension'!$A9)+1, FALSE)) - L$1), ((Assumptions!$B$8)*'Yearly Pension'!L$1))))</f>
        <v>0</v>
      </c>
      <c r="M9" s="6">
        <f>(HLOOKUP('Yearly Pension'!M$2,'Credited Service'!$G$1:$BC$80,$A9+1,FALSE)) * (IF($B9=500, (Assumptions!$B$7)*12, IF((HLOOKUP(M$2,Earnings!$G$2:$BC$81,('Yearly Pension'!$A9)+1, FALSE)) &gt; M$1, (Assumptions!$B$8)*(M$1) + (Assumptions!$B$9)*MAX(0,  (HLOOKUP(M$2,Earnings!$G$2:$BC$81,('Yearly Pension'!$A9)+1, FALSE)) - M$1), ((Assumptions!$B$8)*'Yearly Pension'!M$1))))</f>
        <v>0</v>
      </c>
      <c r="N9" s="6">
        <f>(HLOOKUP('Yearly Pension'!N$2,'Credited Service'!$G$1:$BC$80,$A9+1,FALSE)) * (IF($B9=500, (Assumptions!$B$7)*12, IF((HLOOKUP(N$2,Earnings!$G$2:$BC$81,('Yearly Pension'!$A9)+1, FALSE)) &gt; N$1, (Assumptions!$B$8)*(N$1) + (Assumptions!$B$9)*MAX(0,  (HLOOKUP(N$2,Earnings!$G$2:$BC$81,('Yearly Pension'!$A9)+1, FALSE)) - N$1), ((Assumptions!$B$8)*'Yearly Pension'!N$1))))</f>
        <v>0</v>
      </c>
      <c r="O9" s="6">
        <f>(HLOOKUP('Yearly Pension'!O$2,'Credited Service'!$G$1:$BC$80,$A9+1,FALSE)) * (IF($B9=500, (Assumptions!$B$7)*12, IF((HLOOKUP(O$2,Earnings!$G$2:$BC$81,('Yearly Pension'!$A9)+1, FALSE)) &gt; O$1, (Assumptions!$B$8)*(O$1) + (Assumptions!$B$9)*MAX(0,  (HLOOKUP(O$2,Earnings!$G$2:$BC$81,('Yearly Pension'!$A9)+1, FALSE)) - O$1), ((Assumptions!$B$8)*'Yearly Pension'!O$1))))</f>
        <v>0</v>
      </c>
      <c r="P9" s="6">
        <f>(HLOOKUP('Yearly Pension'!P$2,'Credited Service'!$G$1:$BC$80,$A9+1,FALSE)) * (IF($B9=500, (Assumptions!$B$7)*12, IF((HLOOKUP(P$2,Earnings!$G$2:$BC$81,('Yearly Pension'!$A9)+1, FALSE)) &gt; P$1, (Assumptions!$B$8)*(P$1) + (Assumptions!$B$9)*MAX(0,  (HLOOKUP(P$2,Earnings!$G$2:$BC$81,('Yearly Pension'!$A9)+1, FALSE)) - P$1), ((Assumptions!$B$8)*'Yearly Pension'!P$1))))</f>
        <v>0</v>
      </c>
      <c r="Q9" s="6">
        <f>(HLOOKUP('Yearly Pension'!Q$2,'Credited Service'!$G$1:$BC$80,$A9+1,FALSE)) * (IF($B9=500, (Assumptions!$B$7)*12, IF((HLOOKUP(Q$2,Earnings!$G$2:$BC$81,('Yearly Pension'!$A9)+1, FALSE)) &gt; Q$1, (Assumptions!$B$8)*(Q$1) + (Assumptions!$B$9)*MAX(0,  (HLOOKUP(Q$2,Earnings!$G$2:$BC$81,('Yearly Pension'!$A9)+1, FALSE)) - Q$1), ((Assumptions!$B$8)*'Yearly Pension'!Q$1))))</f>
        <v>0</v>
      </c>
      <c r="R9" s="6">
        <f>(HLOOKUP('Yearly Pension'!R$2,'Credited Service'!$G$1:$BC$80,$A9+1,FALSE)) * (IF($B9=500, (Assumptions!$B$7)*12, IF((HLOOKUP(R$2,Earnings!$G$2:$BC$81,('Yearly Pension'!$A9)+1, FALSE)) &gt; R$1, (Assumptions!$B$8)*(R$1) + (Assumptions!$B$9)*MAX(0,  (HLOOKUP(R$2,Earnings!$G$2:$BC$81,('Yearly Pension'!$A9)+1, FALSE)) - R$1), ((Assumptions!$B$8)*'Yearly Pension'!R$1))))</f>
        <v>0</v>
      </c>
      <c r="S9" s="6">
        <f>(HLOOKUP('Yearly Pension'!S$2,'Credited Service'!$G$1:$BC$80,$A9+1,FALSE)) * (IF($B9=500, (Assumptions!$B$7)*12, IF((HLOOKUP(S$2,Earnings!$G$2:$BC$81,('Yearly Pension'!$A9)+1, FALSE)) &gt; S$1, (Assumptions!$B$8)*(S$1) + (Assumptions!$B$9)*MAX(0,  (HLOOKUP(S$2,Earnings!$G$2:$BC$81,('Yearly Pension'!$A9)+1, FALSE)) - S$1), ((Assumptions!$B$8)*'Yearly Pension'!S$1))))</f>
        <v>0</v>
      </c>
      <c r="T9" s="6">
        <f>(HLOOKUP('Yearly Pension'!T$2,'Credited Service'!$G$1:$BC$80,$A9+1,FALSE)) * (IF($B9=500, (Assumptions!$B$7)*12, IF((HLOOKUP(T$2,Earnings!$G$2:$BC$81,('Yearly Pension'!$A9)+1, FALSE)) &gt; T$1, (Assumptions!$B$8)*(T$1) + (Assumptions!$B$9)*MAX(0,  (HLOOKUP(T$2,Earnings!$G$2:$BC$81,('Yearly Pension'!$A9)+1, FALSE)) - T$1), ((Assumptions!$B$8)*'Yearly Pension'!T$1))))</f>
        <v>0</v>
      </c>
      <c r="U9" s="6">
        <f>(HLOOKUP('Yearly Pension'!U$2,'Credited Service'!$G$1:$BC$80,$A9+1,FALSE)) * (IF($B9=500, (Assumptions!$B$7)*12, IF((HLOOKUP(U$2,Earnings!$G$2:$BC$81,('Yearly Pension'!$A9)+1, FALSE)) &gt; U$1, (Assumptions!$B$8)*(U$1) + (Assumptions!$B$9)*MAX(0,  (HLOOKUP(U$2,Earnings!$G$2:$BC$81,('Yearly Pension'!$A9)+1, FALSE)) - U$1), ((Assumptions!$B$8)*'Yearly Pension'!U$1))))</f>
        <v>0</v>
      </c>
      <c r="V9" s="6">
        <f>(HLOOKUP('Yearly Pension'!V$2,'Credited Service'!$G$1:$BC$80,$A9+1,FALSE)) * (IF($B9=500, (Assumptions!$B$7)*12, IF((HLOOKUP(V$2,Earnings!$G$2:$BC$81,('Yearly Pension'!$A9)+1, FALSE)) &gt; V$1, (Assumptions!$B$8)*(V$1) + (Assumptions!$B$9)*MAX(0,  (HLOOKUP(V$2,Earnings!$G$2:$BC$81,('Yearly Pension'!$A9)+1, FALSE)) - V$1), ((Assumptions!$B$8)*'Yearly Pension'!V$1))))</f>
        <v>0</v>
      </c>
      <c r="W9" s="6">
        <f>(HLOOKUP('Yearly Pension'!W$2,'Credited Service'!$G$1:$BC$80,$A9+1,FALSE)) * (IF($B9=500, (Assumptions!$B$7)*12, IF((HLOOKUP(W$2,Earnings!$G$2:$BC$81,('Yearly Pension'!$A9)+1, FALSE)) &gt; W$1, (Assumptions!$B$8)*(W$1) + (Assumptions!$B$9)*MAX(0,  (HLOOKUP(W$2,Earnings!$G$2:$BC$81,('Yearly Pension'!$A9)+1, FALSE)) - W$1), ((Assumptions!$B$8)*'Yearly Pension'!W$1))))</f>
        <v>0</v>
      </c>
      <c r="X9" s="6">
        <f>(HLOOKUP('Yearly Pension'!X$2,'Credited Service'!$G$1:$BC$80,$A9+1,FALSE)) * (IF($B9=500, (Assumptions!$B$7)*12, IF((HLOOKUP(X$2,Earnings!$G$2:$BC$81,('Yearly Pension'!$A9)+1, FALSE)) &gt; X$1, (Assumptions!$B$8)*(X$1) + (Assumptions!$B$9)*MAX(0,  (HLOOKUP(X$2,Earnings!$G$2:$BC$81,('Yearly Pension'!$A9)+1, FALSE)) - X$1), ((Assumptions!$B$8)*'Yearly Pension'!X$1))))</f>
        <v>0</v>
      </c>
      <c r="Y9" s="6">
        <f>(HLOOKUP('Yearly Pension'!Y$2,'Credited Service'!$G$1:$BC$80,$A9+1,FALSE)) * (IF($B9=500, (Assumptions!$B$7)*12, IF((HLOOKUP(Y$2,Earnings!$G$2:$BC$81,('Yearly Pension'!$A9)+1, FALSE)) &gt; Y$1, (Assumptions!$B$8)*(Y$1) + (Assumptions!$B$9)*MAX(0,  (HLOOKUP(Y$2,Earnings!$G$2:$BC$81,('Yearly Pension'!$A9)+1, FALSE)) - Y$1), ((Assumptions!$B$8)*'Yearly Pension'!Y$1))))</f>
        <v>0</v>
      </c>
      <c r="Z9" s="6">
        <f>(HLOOKUP('Yearly Pension'!Z$2,'Credited Service'!$G$1:$BC$80,$A9+1,FALSE)) * (IF($B9=500, (Assumptions!$B$7)*12, IF((HLOOKUP(Z$2,Earnings!$G$2:$BC$81,('Yearly Pension'!$A9)+1, FALSE)) &gt; Z$1, (Assumptions!$B$8)*(Z$1) + (Assumptions!$B$9)*MAX(0,  (HLOOKUP(Z$2,Earnings!$G$2:$BC$81,('Yearly Pension'!$A9)+1, FALSE)) - Z$1), ((Assumptions!$B$8)*'Yearly Pension'!Z$1))))</f>
        <v>0</v>
      </c>
      <c r="AA9" s="6">
        <f>(HLOOKUP('Yearly Pension'!AA$2,'Credited Service'!$G$1:$BC$80,$A9+1,FALSE)) * (IF($B9=500, (Assumptions!$B$7)*12, IF((HLOOKUP(AA$2,Earnings!$G$2:$BC$81,('Yearly Pension'!$A9)+1, FALSE)) &gt; AA$1, (Assumptions!$B$8)*(AA$1) + (Assumptions!$B$9)*MAX(0,  (HLOOKUP(AA$2,Earnings!$G$2:$BC$81,('Yearly Pension'!$A9)+1, FALSE)) - AA$1), ((Assumptions!$B$8)*'Yearly Pension'!AA$1))))</f>
        <v>0</v>
      </c>
      <c r="AB9" s="6">
        <f>(HLOOKUP('Yearly Pension'!AB$2,'Credited Service'!$G$1:$BC$80,$A9+1,FALSE)) * (IF($B9=500, (Assumptions!$B$7)*12, IF((HLOOKUP(AB$2,Earnings!$G$2:$BC$81,('Yearly Pension'!$A9)+1, FALSE)) &gt; AB$1, (Assumptions!$B$8)*(AB$1) + (Assumptions!$B$9)*MAX(0,  (HLOOKUP(AB$2,Earnings!$G$2:$BC$81,('Yearly Pension'!$A9)+1, FALSE)) - AB$1), ((Assumptions!$B$8)*'Yearly Pension'!AB$1))))</f>
        <v>0</v>
      </c>
      <c r="AC9" s="6">
        <f>(HLOOKUP('Yearly Pension'!AC$2,'Credited Service'!$G$1:$BC$80,$A9+1,FALSE)) * (IF($B9=500, (Assumptions!$B$7)*12, IF((HLOOKUP(AC$2,Earnings!$G$2:$BC$81,('Yearly Pension'!$A9)+1, FALSE)) &gt; AC$1, (Assumptions!$B$8)*(AC$1) + (Assumptions!$B$9)*MAX(0,  (HLOOKUP(AC$2,Earnings!$G$2:$BC$81,('Yearly Pension'!$A9)+1, FALSE)) - AC$1), ((Assumptions!$B$8)*'Yearly Pension'!AC$1))))</f>
        <v>0</v>
      </c>
      <c r="AD9" s="6">
        <f>(HLOOKUP('Yearly Pension'!AD$2,'Credited Service'!$G$1:$BC$80,$A9+1,FALSE)) * (IF($B9=500, (Assumptions!$B$7)*12, IF((HLOOKUP(AD$2,Earnings!$G$2:$BC$81,('Yearly Pension'!$A9)+1, FALSE)) &gt; AD$1, (Assumptions!$B$8)*(AD$1) + (Assumptions!$B$9)*MAX(0,  (HLOOKUP(AD$2,Earnings!$G$2:$BC$81,('Yearly Pension'!$A9)+1, FALSE)) - AD$1), ((Assumptions!$B$8)*'Yearly Pension'!AD$1))))</f>
        <v>0</v>
      </c>
      <c r="AE9" s="6">
        <f>(HLOOKUP('Yearly Pension'!AE$2,'Credited Service'!$G$1:$BC$80,$A9+1,FALSE)) * (IF($B9=500, (Assumptions!$B$7)*12, IF((HLOOKUP(AE$2,Earnings!$G$2:$BC$81,('Yearly Pension'!$A9)+1, FALSE)) &gt; AE$1, (Assumptions!$B$8)*(AE$1) + (Assumptions!$B$9)*MAX(0,  (HLOOKUP(AE$2,Earnings!$G$2:$BC$81,('Yearly Pension'!$A9)+1, FALSE)) - AE$1), ((Assumptions!$B$8)*'Yearly Pension'!AE$1))))</f>
        <v>0</v>
      </c>
      <c r="AF9" s="6">
        <f>(HLOOKUP('Yearly Pension'!AF$2,'Credited Service'!$G$1:$BC$80,$A9+1,FALSE)) * (IF($B9=500, (Assumptions!$B$7)*12, IF((HLOOKUP(AF$2,Earnings!$G$2:$BC$81,('Yearly Pension'!$A9)+1, FALSE)) &gt; AF$1, (Assumptions!$B$8)*(AF$1) + (Assumptions!$B$9)*MAX(0,  (HLOOKUP(AF$2,Earnings!$G$2:$BC$81,('Yearly Pension'!$A9)+1, FALSE)) - AF$1), ((Assumptions!$B$8)*'Yearly Pension'!AF$1))))</f>
        <v>0</v>
      </c>
      <c r="AG9" s="6">
        <f>(HLOOKUP('Yearly Pension'!AG$2,'Credited Service'!$G$1:$BC$80,$A9+1,FALSE)) * (IF($B9=500, (Assumptions!$B$7)*12, IF((HLOOKUP(AG$2,Earnings!$G$2:$BC$81,('Yearly Pension'!$A9)+1, FALSE)) &gt; AG$1, (Assumptions!$B$8)*(AG$1) + (Assumptions!$B$9)*MAX(0,  (HLOOKUP(AG$2,Earnings!$G$2:$BC$81,('Yearly Pension'!$A9)+1, FALSE)) - AG$1), ((Assumptions!$B$8)*'Yearly Pension'!AG$1))))</f>
        <v>0</v>
      </c>
      <c r="AH9" s="6">
        <f>(HLOOKUP('Yearly Pension'!AH$2,'Credited Service'!$G$1:$BC$80,$A9+1,FALSE)) * (IF($B9=500, (Assumptions!$B$7)*12, IF((HLOOKUP(AH$2,Earnings!$G$2:$BC$81,('Yearly Pension'!$A9)+1, FALSE)) &gt; AH$1, (Assumptions!$B$8)*(AH$1) + (Assumptions!$B$9)*MAX(0,  (HLOOKUP(AH$2,Earnings!$G$2:$BC$81,('Yearly Pension'!$A9)+1, FALSE)) - AH$1), ((Assumptions!$B$8)*'Yearly Pension'!AH$1))))</f>
        <v>0</v>
      </c>
      <c r="AI9" s="6">
        <f>(HLOOKUP('Yearly Pension'!AI$2,'Credited Service'!$G$1:$BC$80,$A9+1,FALSE)) * (IF($B9=500, (Assumptions!$B$7)*12, IF((HLOOKUP(AI$2,Earnings!$G$2:$BC$81,('Yearly Pension'!$A9)+1, FALSE)) &gt; AI$1, (Assumptions!$B$8)*(AI$1) + (Assumptions!$B$9)*MAX(0,  (HLOOKUP(AI$2,Earnings!$G$2:$BC$81,('Yearly Pension'!$A9)+1, FALSE)) - AI$1), ((Assumptions!$B$8)*'Yearly Pension'!AI$1))))</f>
        <v>300</v>
      </c>
      <c r="AJ9" s="6">
        <f>(HLOOKUP('Yearly Pension'!AJ$2,'Credited Service'!$G$1:$BC$80,$A9+1,FALSE)) * (IF($B9=500, (Assumptions!$B$7)*12, IF((HLOOKUP(AJ$2,Earnings!$G$2:$BC$81,('Yearly Pension'!$A9)+1, FALSE)) &gt; AJ$1, (Assumptions!$B$8)*(AJ$1) + (Assumptions!$B$9)*MAX(0,  (HLOOKUP(AJ$2,Earnings!$G$2:$BC$81,('Yearly Pension'!$A9)+1, FALSE)) - AJ$1), ((Assumptions!$B$8)*'Yearly Pension'!AJ$1))))</f>
        <v>720</v>
      </c>
      <c r="AK9" s="6">
        <f>(HLOOKUP('Yearly Pension'!AK$2,'Credited Service'!$G$1:$BC$80,$A9+1,FALSE)) * (IF($B9=500, (Assumptions!$B$7)*12, IF((HLOOKUP(AK$2,Earnings!$G$2:$BC$81,('Yearly Pension'!$A9)+1, FALSE)) &gt; AK$1, (Assumptions!$B$8)*(AK$1) + (Assumptions!$B$9)*MAX(0,  (HLOOKUP(AK$2,Earnings!$G$2:$BC$81,('Yearly Pension'!$A9)+1, FALSE)) - AK$1), ((Assumptions!$B$8)*'Yearly Pension'!AK$1))))</f>
        <v>720</v>
      </c>
      <c r="AL9" s="6">
        <f>(HLOOKUP('Yearly Pension'!AL$2,'Credited Service'!$G$1:$BC$80,$A9+1,FALSE)) * (IF($B9=500, (Assumptions!$B$7)*12, IF((HLOOKUP(AL$2,Earnings!$G$2:$BC$81,('Yearly Pension'!$A9)+1, FALSE)) &gt; AL$1, (Assumptions!$B$8)*(AL$1) + (Assumptions!$B$9)*MAX(0,  (HLOOKUP(AL$2,Earnings!$G$2:$BC$81,('Yearly Pension'!$A9)+1, FALSE)) - AL$1), ((Assumptions!$B$8)*'Yearly Pension'!AL$1))))</f>
        <v>720</v>
      </c>
      <c r="AM9" s="6">
        <f>(HLOOKUP('Yearly Pension'!AM$2,'Credited Service'!$G$1:$BC$80,$A9+1,FALSE)) * (IF($B9=500, (Assumptions!$B$7)*12, IF((HLOOKUP(AM$2,Earnings!$G$2:$BC$81,('Yearly Pension'!$A9)+1, FALSE)) &gt; AM$1, (Assumptions!$B$8)*(AM$1) + (Assumptions!$B$9)*MAX(0,  (HLOOKUP(AM$2,Earnings!$G$2:$BC$81,('Yearly Pension'!$A9)+1, FALSE)) - AM$1), ((Assumptions!$B$8)*'Yearly Pension'!AM$1))))</f>
        <v>720</v>
      </c>
      <c r="AN9" s="6">
        <f>(HLOOKUP('Yearly Pension'!AN$2,'Credited Service'!$G$1:$BC$80,$A9+1,FALSE)) * (IF($B9=500, (Assumptions!$B$7)*12, IF((HLOOKUP(AN$2,Earnings!$G$2:$BC$81,('Yearly Pension'!$A9)+1, FALSE)) &gt; AN$1, (Assumptions!$B$8)*(AN$1) + (Assumptions!$B$9)*MAX(0,  (HLOOKUP(AN$2,Earnings!$G$2:$BC$81,('Yearly Pension'!$A9)+1, FALSE)) - AN$1), ((Assumptions!$B$8)*'Yearly Pension'!AN$1))))</f>
        <v>720</v>
      </c>
      <c r="AO9" s="6">
        <f>(HLOOKUP('Yearly Pension'!AO$2,'Credited Service'!$G$1:$BC$80,$A9+1,FALSE)) * (IF($B9=500, (Assumptions!$B$7)*12, IF((HLOOKUP(AO$2,Earnings!$G$2:$BC$81,('Yearly Pension'!$A9)+1, FALSE)) &gt; AO$1, (Assumptions!$B$8)*(AO$1) + (Assumptions!$B$9)*MAX(0,  (HLOOKUP(AO$2,Earnings!$G$2:$BC$81,('Yearly Pension'!$A9)+1, FALSE)) - AO$1), ((Assumptions!$B$8)*'Yearly Pension'!AO$1))))</f>
        <v>720</v>
      </c>
      <c r="AP9" s="6">
        <f>(HLOOKUP('Yearly Pension'!AP$2,'Credited Service'!$G$1:$BC$80,$A9+1,FALSE)) * (IF($B9=500, (Assumptions!$B$7)*12, IF((HLOOKUP(AP$2,Earnings!$G$2:$BC$81,('Yearly Pension'!$A9)+1, FALSE)) &gt; AP$1, (Assumptions!$B$8)*(AP$1) + (Assumptions!$B$9)*MAX(0,  (HLOOKUP(AP$2,Earnings!$G$2:$BC$81,('Yearly Pension'!$A9)+1, FALSE)) - AP$1), ((Assumptions!$B$8)*'Yearly Pension'!AP$1))))</f>
        <v>720</v>
      </c>
      <c r="AQ9" s="6">
        <f>(HLOOKUP('Yearly Pension'!AQ$2,'Credited Service'!$G$1:$BC$80,$A9+1,FALSE)) * (IF($B9=500, (Assumptions!$B$7)*12, IF((HLOOKUP(AQ$2,Earnings!$G$2:$BC$81,('Yearly Pension'!$A9)+1, FALSE)) &gt; AQ$1, (Assumptions!$B$8)*(AQ$1) + (Assumptions!$B$9)*MAX(0,  (HLOOKUP(AQ$2,Earnings!$G$2:$BC$81,('Yearly Pension'!$A9)+1, FALSE)) - AQ$1), ((Assumptions!$B$8)*'Yearly Pension'!AQ$1))))</f>
        <v>720</v>
      </c>
      <c r="AR9" s="6">
        <f>(HLOOKUP('Yearly Pension'!AR$2,'Credited Service'!$G$1:$BC$80,$A9+1,FALSE)) * (IF($B9=500, (Assumptions!$B$7)*12, IF((HLOOKUP(AR$2,Earnings!$G$2:$BC$81,('Yearly Pension'!$A9)+1, FALSE)) &gt; AR$1, (Assumptions!$B$8)*(AR$1) + (Assumptions!$B$9)*MAX(0,  (HLOOKUP(AR$2,Earnings!$G$2:$BC$81,('Yearly Pension'!$A9)+1, FALSE)) - AR$1), ((Assumptions!$B$8)*'Yearly Pension'!AR$1))))</f>
        <v>720</v>
      </c>
      <c r="AS9" s="6">
        <f>(HLOOKUP('Yearly Pension'!AS$2,'Credited Service'!$G$1:$BC$80,$A9+1,FALSE)) * (IF($B9=500, (Assumptions!$B$7)*12, IF((HLOOKUP(AS$2,Earnings!$G$2:$BC$81,('Yearly Pension'!$A9)+1, FALSE)) &gt; AS$1, (Assumptions!$B$8)*(AS$1) + (Assumptions!$B$9)*MAX(0,  (HLOOKUP(AS$2,Earnings!$G$2:$BC$81,('Yearly Pension'!$A9)+1, FALSE)) - AS$1), ((Assumptions!$B$8)*'Yearly Pension'!AS$1))))</f>
        <v>720</v>
      </c>
      <c r="AT9" s="6">
        <f>(HLOOKUP('Yearly Pension'!AT$2,'Credited Service'!$G$1:$BC$80,$A9+1,FALSE)) * (IF($B9=500, (Assumptions!$B$7)*12, IF((HLOOKUP(AT$2,Earnings!$G$2:$BC$81,('Yearly Pension'!$A9)+1, FALSE)) &gt; AT$1, (Assumptions!$B$8)*(AT$1) + (Assumptions!$B$9)*MAX(0,  (HLOOKUP(AT$2,Earnings!$G$2:$BC$81,('Yearly Pension'!$A9)+1, FALSE)) - AT$1), ((Assumptions!$B$8)*'Yearly Pension'!AT$1))))</f>
        <v>720</v>
      </c>
      <c r="AU9" s="6">
        <f>(HLOOKUP('Yearly Pension'!AU$2,'Credited Service'!$G$1:$BC$80,$A9+1,FALSE)) * (IF($B9=500, (Assumptions!$B$7)*12, IF((HLOOKUP(AU$2,Earnings!$G$2:$BC$81,('Yearly Pension'!$A9)+1, FALSE)) &gt; AU$1, (Assumptions!$B$8)*(AU$1) + (Assumptions!$B$9)*MAX(0,  (HLOOKUP(AU$2,Earnings!$G$2:$BC$81,('Yearly Pension'!$A9)+1, FALSE)) - AU$1), ((Assumptions!$B$8)*'Yearly Pension'!AU$1))))</f>
        <v>720</v>
      </c>
      <c r="AV9" s="6">
        <f>(HLOOKUP('Yearly Pension'!AV$2,'Credited Service'!$G$1:$BC$80,$A9+1,FALSE)) * (IF($B9=500, (Assumptions!$B$7)*12, IF((HLOOKUP(AV$2,Earnings!$G$2:$BC$81,('Yearly Pension'!$A9)+1, FALSE)) &gt; AV$1, (Assumptions!$B$8)*(AV$1) + (Assumptions!$B$9)*MAX(0,  (HLOOKUP(AV$2,Earnings!$G$2:$BC$81,('Yearly Pension'!$A9)+1, FALSE)) - AV$1), ((Assumptions!$B$8)*'Yearly Pension'!AV$1))))</f>
        <v>720</v>
      </c>
      <c r="AW9" s="6">
        <f>(HLOOKUP('Yearly Pension'!AW$2,'Credited Service'!$G$1:$BC$80,$A9+1,FALSE)) * (IF($B9=500, (Assumptions!$B$7)*12, IF((HLOOKUP(AW$2,Earnings!$G$2:$BC$81,('Yearly Pension'!$A9)+1, FALSE)) &gt; AW$1, (Assumptions!$B$8)*(AW$1) + (Assumptions!$B$9)*MAX(0,  (HLOOKUP(AW$2,Earnings!$G$2:$BC$81,('Yearly Pension'!$A9)+1, FALSE)) - AW$1), ((Assumptions!$B$8)*'Yearly Pension'!AW$1))))</f>
        <v>720</v>
      </c>
      <c r="AX9" s="6">
        <f>(HLOOKUP('Yearly Pension'!AX$2,'Credited Service'!$G$1:$BC$80,$A9+1,FALSE)) * (IF($B9=500, (Assumptions!$B$7)*12, IF((HLOOKUP(AX$2,Earnings!$G$2:$BC$81,('Yearly Pension'!$A9)+1, FALSE)) &gt; AX$1, (Assumptions!$B$8)*(AX$1) + (Assumptions!$B$9)*MAX(0,  (HLOOKUP(AX$2,Earnings!$G$2:$BC$81,('Yearly Pension'!$A9)+1, FALSE)) - AX$1), ((Assumptions!$B$8)*'Yearly Pension'!AX$1))))</f>
        <v>720</v>
      </c>
      <c r="AY9" s="6">
        <f>(HLOOKUP('Yearly Pension'!AY$2,'Credited Service'!$G$1:$BC$80,$A9+1,FALSE)) * (IF($B9=500, (Assumptions!$B$7)*12, IF((HLOOKUP(AY$2,Earnings!$G$2:$BC$81,('Yearly Pension'!$A9)+1, FALSE)) &gt; AY$1, (Assumptions!$B$8)*(AY$1) + (Assumptions!$B$9)*MAX(0,  (HLOOKUP(AY$2,Earnings!$G$2:$BC$81,('Yearly Pension'!$A9)+1, FALSE)) - AY$1), ((Assumptions!$B$8)*'Yearly Pension'!AY$1))))</f>
        <v>720</v>
      </c>
      <c r="AZ9" s="6">
        <f>(HLOOKUP('Yearly Pension'!AZ$2,'Credited Service'!$G$1:$BC$80,$A9+1,FALSE)) * (IF($B9=500, (Assumptions!$B$7)*12, IF((HLOOKUP(AZ$2,Earnings!$G$2:$BC$81,('Yearly Pension'!$A9)+1, FALSE)) &gt; AZ$1, (Assumptions!$B$8)*(AZ$1) + (Assumptions!$B$9)*MAX(0,  (HLOOKUP(AZ$2,Earnings!$G$2:$BC$81,('Yearly Pension'!$A9)+1, FALSE)) - AZ$1), ((Assumptions!$B$8)*'Yearly Pension'!AZ$1))))</f>
        <v>720</v>
      </c>
      <c r="BA9" s="6">
        <f>(HLOOKUP('Yearly Pension'!BA$2,'Credited Service'!$G$1:$BC$80,$A9+1,FALSE)) * (IF($B9=500, (Assumptions!$B$7)*12, IF((HLOOKUP(BA$2,Earnings!$G$2:$BC$81,('Yearly Pension'!$A9)+1, FALSE)) &gt; BA$1, (Assumptions!$B$8)*(BA$1) + (Assumptions!$B$9)*MAX(0,  (HLOOKUP(BA$2,Earnings!$G$2:$BC$81,('Yearly Pension'!$A9)+1, FALSE)) - BA$1), ((Assumptions!$B$8)*'Yearly Pension'!BA$1))))</f>
        <v>720</v>
      </c>
      <c r="BB9" s="6">
        <f>(HLOOKUP('Yearly Pension'!BB$2,'Credited Service'!$G$1:$BC$80,$A9+1,FALSE)) * (IF($B9=500, (Assumptions!$B$7)*12, IF((HLOOKUP(BB$2,Earnings!$G$2:$BC$81,('Yearly Pension'!$A9)+1, FALSE)) &gt; BB$1, (Assumptions!$B$8)*(BB$1) + (Assumptions!$B$9)*MAX(0,  (HLOOKUP(BB$2,Earnings!$G$2:$BC$81,('Yearly Pension'!$A9)+1, FALSE)) - BB$1), ((Assumptions!$B$8)*'Yearly Pension'!BB$1))))</f>
        <v>720</v>
      </c>
      <c r="BC9" s="6">
        <f>(HLOOKUP('Yearly Pension'!BC$2,'Credited Service'!$G$1:$BC$80,$A9+1,FALSE)) * (IF($B9=500, (Assumptions!$B$7)*12, IF((HLOOKUP(BC$2,Earnings!$G$2:$BC$81,('Yearly Pension'!$A9)+1, FALSE)) &gt; BC$1, (Assumptions!$B$8)*(BC$1) + (Assumptions!$B$9)*MAX(0,  (HLOOKUP(BC$2,Earnings!$G$2:$BC$81,('Yearly Pension'!$A9)+1, FALSE)) - BC$1), ((Assumptions!$B$8)*'Yearly Pension'!BC$1))))</f>
        <v>720</v>
      </c>
    </row>
    <row r="10" spans="1:60" x14ac:dyDescent="0.25">
      <c r="A10" s="204">
        <v>8</v>
      </c>
      <c r="B10" s="1">
        <v>500</v>
      </c>
      <c r="C10" s="1">
        <v>782</v>
      </c>
      <c r="D10" s="3">
        <v>38502</v>
      </c>
      <c r="E10" s="3">
        <v>54483</v>
      </c>
      <c r="G10" s="6">
        <f>(HLOOKUP('Yearly Pension'!G$2,'Credited Service'!$G$1:$BC$80,$A10+1,FALSE)) * (IF($B10=500, (Assumptions!$B$7)*12, IF((HLOOKUP(G$2,Earnings!$G$2:$BC$81,('Yearly Pension'!$A10)+1, FALSE)) &gt; G$1, (Assumptions!$B$8)*(G$1) + (Assumptions!$B$9)*MAX(0,  (HLOOKUP(G$2,Earnings!$G$2:$BC$81,('Yearly Pension'!$A10)+1, FALSE)) - G$1), ((Assumptions!$B$8)*'Yearly Pension'!G$1))))</f>
        <v>0</v>
      </c>
      <c r="H10" s="6">
        <f>(HLOOKUP('Yearly Pension'!H$2,'Credited Service'!$G$1:$BC$80,$A10+1,FALSE)) * (IF($B10=500, (Assumptions!$B$7)*12, IF((HLOOKUP(H$2,Earnings!$G$2:$BC$81,('Yearly Pension'!$A10)+1, FALSE)) &gt; H$1, (Assumptions!$B$8)*(H$1) + (Assumptions!$B$9)*MAX(0,  (HLOOKUP(H$2,Earnings!$G$2:$BC$81,('Yearly Pension'!$A10)+1, FALSE)) - H$1), ((Assumptions!$B$8)*'Yearly Pension'!H$1))))</f>
        <v>0</v>
      </c>
      <c r="I10" s="6">
        <f>(HLOOKUP('Yearly Pension'!I$2,'Credited Service'!$G$1:$BC$80,$A10+1,FALSE)) * (IF($B10=500, (Assumptions!$B$7)*12, IF((HLOOKUP(I$2,Earnings!$G$2:$BC$81,('Yearly Pension'!$A10)+1, FALSE)) &gt; I$1, (Assumptions!$B$8)*(I$1) + (Assumptions!$B$9)*MAX(0,  (HLOOKUP(I$2,Earnings!$G$2:$BC$81,('Yearly Pension'!$A10)+1, FALSE)) - I$1), ((Assumptions!$B$8)*'Yearly Pension'!I$1))))</f>
        <v>0</v>
      </c>
      <c r="J10" s="6">
        <f>(HLOOKUP('Yearly Pension'!J$2,'Credited Service'!$G$1:$BC$80,$A10+1,FALSE)) * (IF($B10=500, (Assumptions!$B$7)*12, IF((HLOOKUP(J$2,Earnings!$G$2:$BC$81,('Yearly Pension'!$A10)+1, FALSE)) &gt; J$1, (Assumptions!$B$8)*(J$1) + (Assumptions!$B$9)*MAX(0,  (HLOOKUP(J$2,Earnings!$G$2:$BC$81,('Yearly Pension'!$A10)+1, FALSE)) - J$1), ((Assumptions!$B$8)*'Yearly Pension'!J$1))))</f>
        <v>0</v>
      </c>
      <c r="K10" s="6">
        <f>(HLOOKUP('Yearly Pension'!K$2,'Credited Service'!$G$1:$BC$80,$A10+1,FALSE)) * (IF($B10=500, (Assumptions!$B$7)*12, IF((HLOOKUP(K$2,Earnings!$G$2:$BC$81,('Yearly Pension'!$A10)+1, FALSE)) &gt; K$1, (Assumptions!$B$8)*(K$1) + (Assumptions!$B$9)*MAX(0,  (HLOOKUP(K$2,Earnings!$G$2:$BC$81,('Yearly Pension'!$A10)+1, FALSE)) - K$1), ((Assumptions!$B$8)*'Yearly Pension'!K$1))))</f>
        <v>0</v>
      </c>
      <c r="L10" s="6">
        <f>(HLOOKUP('Yearly Pension'!L$2,'Credited Service'!$G$1:$BC$80,$A10+1,FALSE)) * (IF($B10=500, (Assumptions!$B$7)*12, IF((HLOOKUP(L$2,Earnings!$G$2:$BC$81,('Yearly Pension'!$A10)+1, FALSE)) &gt; L$1, (Assumptions!$B$8)*(L$1) + (Assumptions!$B$9)*MAX(0,  (HLOOKUP(L$2,Earnings!$G$2:$BC$81,('Yearly Pension'!$A10)+1, FALSE)) - L$1), ((Assumptions!$B$8)*'Yearly Pension'!L$1))))</f>
        <v>0</v>
      </c>
      <c r="M10" s="6">
        <f>(HLOOKUP('Yearly Pension'!M$2,'Credited Service'!$G$1:$BC$80,$A10+1,FALSE)) * (IF($B10=500, (Assumptions!$B$7)*12, IF((HLOOKUP(M$2,Earnings!$G$2:$BC$81,('Yearly Pension'!$A10)+1, FALSE)) &gt; M$1, (Assumptions!$B$8)*(M$1) + (Assumptions!$B$9)*MAX(0,  (HLOOKUP(M$2,Earnings!$G$2:$BC$81,('Yearly Pension'!$A10)+1, FALSE)) - M$1), ((Assumptions!$B$8)*'Yearly Pension'!M$1))))</f>
        <v>0</v>
      </c>
      <c r="N10" s="6">
        <f>(HLOOKUP('Yearly Pension'!N$2,'Credited Service'!$G$1:$BC$80,$A10+1,FALSE)) * (IF($B10=500, (Assumptions!$B$7)*12, IF((HLOOKUP(N$2,Earnings!$G$2:$BC$81,('Yearly Pension'!$A10)+1, FALSE)) &gt; N$1, (Assumptions!$B$8)*(N$1) + (Assumptions!$B$9)*MAX(0,  (HLOOKUP(N$2,Earnings!$G$2:$BC$81,('Yearly Pension'!$A10)+1, FALSE)) - N$1), ((Assumptions!$B$8)*'Yearly Pension'!N$1))))</f>
        <v>0</v>
      </c>
      <c r="O10" s="6">
        <f>(HLOOKUP('Yearly Pension'!O$2,'Credited Service'!$G$1:$BC$80,$A10+1,FALSE)) * (IF($B10=500, (Assumptions!$B$7)*12, IF((HLOOKUP(O$2,Earnings!$G$2:$BC$81,('Yearly Pension'!$A10)+1, FALSE)) &gt; O$1, (Assumptions!$B$8)*(O$1) + (Assumptions!$B$9)*MAX(0,  (HLOOKUP(O$2,Earnings!$G$2:$BC$81,('Yearly Pension'!$A10)+1, FALSE)) - O$1), ((Assumptions!$B$8)*'Yearly Pension'!O$1))))</f>
        <v>0</v>
      </c>
      <c r="P10" s="6">
        <f>(HLOOKUP('Yearly Pension'!P$2,'Credited Service'!$G$1:$BC$80,$A10+1,FALSE)) * (IF($B10=500, (Assumptions!$B$7)*12, IF((HLOOKUP(P$2,Earnings!$G$2:$BC$81,('Yearly Pension'!$A10)+1, FALSE)) &gt; P$1, (Assumptions!$B$8)*(P$1) + (Assumptions!$B$9)*MAX(0,  (HLOOKUP(P$2,Earnings!$G$2:$BC$81,('Yearly Pension'!$A10)+1, FALSE)) - P$1), ((Assumptions!$B$8)*'Yearly Pension'!P$1))))</f>
        <v>0</v>
      </c>
      <c r="Q10" s="6">
        <f>(HLOOKUP('Yearly Pension'!Q$2,'Credited Service'!$G$1:$BC$80,$A10+1,FALSE)) * (IF($B10=500, (Assumptions!$B$7)*12, IF((HLOOKUP(Q$2,Earnings!$G$2:$BC$81,('Yearly Pension'!$A10)+1, FALSE)) &gt; Q$1, (Assumptions!$B$8)*(Q$1) + (Assumptions!$B$9)*MAX(0,  (HLOOKUP(Q$2,Earnings!$G$2:$BC$81,('Yearly Pension'!$A10)+1, FALSE)) - Q$1), ((Assumptions!$B$8)*'Yearly Pension'!Q$1))))</f>
        <v>0</v>
      </c>
      <c r="R10" s="6">
        <f>(HLOOKUP('Yearly Pension'!R$2,'Credited Service'!$G$1:$BC$80,$A10+1,FALSE)) * (IF($B10=500, (Assumptions!$B$7)*12, IF((HLOOKUP(R$2,Earnings!$G$2:$BC$81,('Yearly Pension'!$A10)+1, FALSE)) &gt; R$1, (Assumptions!$B$8)*(R$1) + (Assumptions!$B$9)*MAX(0,  (HLOOKUP(R$2,Earnings!$G$2:$BC$81,('Yearly Pension'!$A10)+1, FALSE)) - R$1), ((Assumptions!$B$8)*'Yearly Pension'!R$1))))</f>
        <v>0</v>
      </c>
      <c r="S10" s="6">
        <f>(HLOOKUP('Yearly Pension'!S$2,'Credited Service'!$G$1:$BC$80,$A10+1,FALSE)) * (IF($B10=500, (Assumptions!$B$7)*12, IF((HLOOKUP(S$2,Earnings!$G$2:$BC$81,('Yearly Pension'!$A10)+1, FALSE)) &gt; S$1, (Assumptions!$B$8)*(S$1) + (Assumptions!$B$9)*MAX(0,  (HLOOKUP(S$2,Earnings!$G$2:$BC$81,('Yearly Pension'!$A10)+1, FALSE)) - S$1), ((Assumptions!$B$8)*'Yearly Pension'!S$1))))</f>
        <v>0</v>
      </c>
      <c r="T10" s="6">
        <f>(HLOOKUP('Yearly Pension'!T$2,'Credited Service'!$G$1:$BC$80,$A10+1,FALSE)) * (IF($B10=500, (Assumptions!$B$7)*12, IF((HLOOKUP(T$2,Earnings!$G$2:$BC$81,('Yearly Pension'!$A10)+1, FALSE)) &gt; T$1, (Assumptions!$B$8)*(T$1) + (Assumptions!$B$9)*MAX(0,  (HLOOKUP(T$2,Earnings!$G$2:$BC$81,('Yearly Pension'!$A10)+1, FALSE)) - T$1), ((Assumptions!$B$8)*'Yearly Pension'!T$1))))</f>
        <v>0</v>
      </c>
      <c r="U10" s="6">
        <f>(HLOOKUP('Yearly Pension'!U$2,'Credited Service'!$G$1:$BC$80,$A10+1,FALSE)) * (IF($B10=500, (Assumptions!$B$7)*12, IF((HLOOKUP(U$2,Earnings!$G$2:$BC$81,('Yearly Pension'!$A10)+1, FALSE)) &gt; U$1, (Assumptions!$B$8)*(U$1) + (Assumptions!$B$9)*MAX(0,  (HLOOKUP(U$2,Earnings!$G$2:$BC$81,('Yearly Pension'!$A10)+1, FALSE)) - U$1), ((Assumptions!$B$8)*'Yearly Pension'!U$1))))</f>
        <v>0</v>
      </c>
      <c r="V10" s="6">
        <f>(HLOOKUP('Yearly Pension'!V$2,'Credited Service'!$G$1:$BC$80,$A10+1,FALSE)) * (IF($B10=500, (Assumptions!$B$7)*12, IF((HLOOKUP(V$2,Earnings!$G$2:$BC$81,('Yearly Pension'!$A10)+1, FALSE)) &gt; V$1, (Assumptions!$B$8)*(V$1) + (Assumptions!$B$9)*MAX(0,  (HLOOKUP(V$2,Earnings!$G$2:$BC$81,('Yearly Pension'!$A10)+1, FALSE)) - V$1), ((Assumptions!$B$8)*'Yearly Pension'!V$1))))</f>
        <v>0</v>
      </c>
      <c r="W10" s="6">
        <f>(HLOOKUP('Yearly Pension'!W$2,'Credited Service'!$G$1:$BC$80,$A10+1,FALSE)) * (IF($B10=500, (Assumptions!$B$7)*12, IF((HLOOKUP(W$2,Earnings!$G$2:$BC$81,('Yearly Pension'!$A10)+1, FALSE)) &gt; W$1, (Assumptions!$B$8)*(W$1) + (Assumptions!$B$9)*MAX(0,  (HLOOKUP(W$2,Earnings!$G$2:$BC$81,('Yearly Pension'!$A10)+1, FALSE)) - W$1), ((Assumptions!$B$8)*'Yearly Pension'!W$1))))</f>
        <v>0</v>
      </c>
      <c r="X10" s="6">
        <f>(HLOOKUP('Yearly Pension'!X$2,'Credited Service'!$G$1:$BC$80,$A10+1,FALSE)) * (IF($B10=500, (Assumptions!$B$7)*12, IF((HLOOKUP(X$2,Earnings!$G$2:$BC$81,('Yearly Pension'!$A10)+1, FALSE)) &gt; X$1, (Assumptions!$B$8)*(X$1) + (Assumptions!$B$9)*MAX(0,  (HLOOKUP(X$2,Earnings!$G$2:$BC$81,('Yearly Pension'!$A10)+1, FALSE)) - X$1), ((Assumptions!$B$8)*'Yearly Pension'!X$1))))</f>
        <v>0</v>
      </c>
      <c r="Y10" s="6">
        <f>(HLOOKUP('Yearly Pension'!Y$2,'Credited Service'!$G$1:$BC$80,$A10+1,FALSE)) * (IF($B10=500, (Assumptions!$B$7)*12, IF((HLOOKUP(Y$2,Earnings!$G$2:$BC$81,('Yearly Pension'!$A10)+1, FALSE)) &gt; Y$1, (Assumptions!$B$8)*(Y$1) + (Assumptions!$B$9)*MAX(0,  (HLOOKUP(Y$2,Earnings!$G$2:$BC$81,('Yearly Pension'!$A10)+1, FALSE)) - Y$1), ((Assumptions!$B$8)*'Yearly Pension'!Y$1))))</f>
        <v>0</v>
      </c>
      <c r="Z10" s="6">
        <f>(HLOOKUP('Yearly Pension'!Z$2,'Credited Service'!$G$1:$BC$80,$A10+1,FALSE)) * (IF($B10=500, (Assumptions!$B$7)*12, IF((HLOOKUP(Z$2,Earnings!$G$2:$BC$81,('Yearly Pension'!$A10)+1, FALSE)) &gt; Z$1, (Assumptions!$B$8)*(Z$1) + (Assumptions!$B$9)*MAX(0,  (HLOOKUP(Z$2,Earnings!$G$2:$BC$81,('Yearly Pension'!$A10)+1, FALSE)) - Z$1), ((Assumptions!$B$8)*'Yearly Pension'!Z$1))))</f>
        <v>0</v>
      </c>
      <c r="AA10" s="6">
        <f>(HLOOKUP('Yearly Pension'!AA$2,'Credited Service'!$G$1:$BC$80,$A10+1,FALSE)) * (IF($B10=500, (Assumptions!$B$7)*12, IF((HLOOKUP(AA$2,Earnings!$G$2:$BC$81,('Yearly Pension'!$A10)+1, FALSE)) &gt; AA$1, (Assumptions!$B$8)*(AA$1) + (Assumptions!$B$9)*MAX(0,  (HLOOKUP(AA$2,Earnings!$G$2:$BC$81,('Yearly Pension'!$A10)+1, FALSE)) - AA$1), ((Assumptions!$B$8)*'Yearly Pension'!AA$1))))</f>
        <v>0</v>
      </c>
      <c r="AB10" s="6">
        <f>(HLOOKUP('Yearly Pension'!AB$2,'Credited Service'!$G$1:$BC$80,$A10+1,FALSE)) * (IF($B10=500, (Assumptions!$B$7)*12, IF((HLOOKUP(AB$2,Earnings!$G$2:$BC$81,('Yearly Pension'!$A10)+1, FALSE)) &gt; AB$1, (Assumptions!$B$8)*(AB$1) + (Assumptions!$B$9)*MAX(0,  (HLOOKUP(AB$2,Earnings!$G$2:$BC$81,('Yearly Pension'!$A10)+1, FALSE)) - AB$1), ((Assumptions!$B$8)*'Yearly Pension'!AB$1))))</f>
        <v>0</v>
      </c>
      <c r="AC10" s="6">
        <f>(HLOOKUP('Yearly Pension'!AC$2,'Credited Service'!$G$1:$BC$80,$A10+1,FALSE)) * (IF($B10=500, (Assumptions!$B$7)*12, IF((HLOOKUP(AC$2,Earnings!$G$2:$BC$81,('Yearly Pension'!$A10)+1, FALSE)) &gt; AC$1, (Assumptions!$B$8)*(AC$1) + (Assumptions!$B$9)*MAX(0,  (HLOOKUP(AC$2,Earnings!$G$2:$BC$81,('Yearly Pension'!$A10)+1, FALSE)) - AC$1), ((Assumptions!$B$8)*'Yearly Pension'!AC$1))))</f>
        <v>0</v>
      </c>
      <c r="AD10" s="6">
        <f>(HLOOKUP('Yearly Pension'!AD$2,'Credited Service'!$G$1:$BC$80,$A10+1,FALSE)) * (IF($B10=500, (Assumptions!$B$7)*12, IF((HLOOKUP(AD$2,Earnings!$G$2:$BC$81,('Yearly Pension'!$A10)+1, FALSE)) &gt; AD$1, (Assumptions!$B$8)*(AD$1) + (Assumptions!$B$9)*MAX(0,  (HLOOKUP(AD$2,Earnings!$G$2:$BC$81,('Yearly Pension'!$A10)+1, FALSE)) - AD$1), ((Assumptions!$B$8)*'Yearly Pension'!AD$1))))</f>
        <v>0</v>
      </c>
      <c r="AE10" s="6">
        <f>(HLOOKUP('Yearly Pension'!AE$2,'Credited Service'!$G$1:$BC$80,$A10+1,FALSE)) * (IF($B10=500, (Assumptions!$B$7)*12, IF((HLOOKUP(AE$2,Earnings!$G$2:$BC$81,('Yearly Pension'!$A10)+1, FALSE)) &gt; AE$1, (Assumptions!$B$8)*(AE$1) + (Assumptions!$B$9)*MAX(0,  (HLOOKUP(AE$2,Earnings!$G$2:$BC$81,('Yearly Pension'!$A10)+1, FALSE)) - AE$1), ((Assumptions!$B$8)*'Yearly Pension'!AE$1))))</f>
        <v>0</v>
      </c>
      <c r="AF10" s="6">
        <f>(HLOOKUP('Yearly Pension'!AF$2,'Credited Service'!$G$1:$BC$80,$A10+1,FALSE)) * (IF($B10=500, (Assumptions!$B$7)*12, IF((HLOOKUP(AF$2,Earnings!$G$2:$BC$81,('Yearly Pension'!$A10)+1, FALSE)) &gt; AF$1, (Assumptions!$B$8)*(AF$1) + (Assumptions!$B$9)*MAX(0,  (HLOOKUP(AF$2,Earnings!$G$2:$BC$81,('Yearly Pension'!$A10)+1, FALSE)) - AF$1), ((Assumptions!$B$8)*'Yearly Pension'!AF$1))))</f>
        <v>0</v>
      </c>
      <c r="AG10" s="6">
        <f>(HLOOKUP('Yearly Pension'!AG$2,'Credited Service'!$G$1:$BC$80,$A10+1,FALSE)) * (IF($B10=500, (Assumptions!$B$7)*12, IF((HLOOKUP(AG$2,Earnings!$G$2:$BC$81,('Yearly Pension'!$A10)+1, FALSE)) &gt; AG$1, (Assumptions!$B$8)*(AG$1) + (Assumptions!$B$9)*MAX(0,  (HLOOKUP(AG$2,Earnings!$G$2:$BC$81,('Yearly Pension'!$A10)+1, FALSE)) - AG$1), ((Assumptions!$B$8)*'Yearly Pension'!AG$1))))</f>
        <v>0</v>
      </c>
      <c r="AH10" s="6">
        <f>(HLOOKUP('Yearly Pension'!AH$2,'Credited Service'!$G$1:$BC$80,$A10+1,FALSE)) * (IF($B10=500, (Assumptions!$B$7)*12, IF((HLOOKUP(AH$2,Earnings!$G$2:$BC$81,('Yearly Pension'!$A10)+1, FALSE)) &gt; AH$1, (Assumptions!$B$8)*(AH$1) + (Assumptions!$B$9)*MAX(0,  (HLOOKUP(AH$2,Earnings!$G$2:$BC$81,('Yearly Pension'!$A10)+1, FALSE)) - AH$1), ((Assumptions!$B$8)*'Yearly Pension'!AH$1))))</f>
        <v>0</v>
      </c>
      <c r="AI10" s="6">
        <f>(HLOOKUP('Yearly Pension'!AI$2,'Credited Service'!$G$1:$BC$80,$A10+1,FALSE)) * (IF($B10=500, (Assumptions!$B$7)*12, IF((HLOOKUP(AI$2,Earnings!$G$2:$BC$81,('Yearly Pension'!$A10)+1, FALSE)) &gt; AI$1, (Assumptions!$B$8)*(AI$1) + (Assumptions!$B$9)*MAX(0,  (HLOOKUP(AI$2,Earnings!$G$2:$BC$81,('Yearly Pension'!$A10)+1, FALSE)) - AI$1), ((Assumptions!$B$8)*'Yearly Pension'!AI$1))))</f>
        <v>420</v>
      </c>
      <c r="AJ10" s="6">
        <f>(HLOOKUP('Yearly Pension'!AJ$2,'Credited Service'!$G$1:$BC$80,$A10+1,FALSE)) * (IF($B10=500, (Assumptions!$B$7)*12, IF((HLOOKUP(AJ$2,Earnings!$G$2:$BC$81,('Yearly Pension'!$A10)+1, FALSE)) &gt; AJ$1, (Assumptions!$B$8)*(AJ$1) + (Assumptions!$B$9)*MAX(0,  (HLOOKUP(AJ$2,Earnings!$G$2:$BC$81,('Yearly Pension'!$A10)+1, FALSE)) - AJ$1), ((Assumptions!$B$8)*'Yearly Pension'!AJ$1))))</f>
        <v>720</v>
      </c>
      <c r="AK10" s="6">
        <f>(HLOOKUP('Yearly Pension'!AK$2,'Credited Service'!$G$1:$BC$80,$A10+1,FALSE)) * (IF($B10=500, (Assumptions!$B$7)*12, IF((HLOOKUP(AK$2,Earnings!$G$2:$BC$81,('Yearly Pension'!$A10)+1, FALSE)) &gt; AK$1, (Assumptions!$B$8)*(AK$1) + (Assumptions!$B$9)*MAX(0,  (HLOOKUP(AK$2,Earnings!$G$2:$BC$81,('Yearly Pension'!$A10)+1, FALSE)) - AK$1), ((Assumptions!$B$8)*'Yearly Pension'!AK$1))))</f>
        <v>720</v>
      </c>
      <c r="AL10" s="6">
        <f>(HLOOKUP('Yearly Pension'!AL$2,'Credited Service'!$G$1:$BC$80,$A10+1,FALSE)) * (IF($B10=500, (Assumptions!$B$7)*12, IF((HLOOKUP(AL$2,Earnings!$G$2:$BC$81,('Yearly Pension'!$A10)+1, FALSE)) &gt; AL$1, (Assumptions!$B$8)*(AL$1) + (Assumptions!$B$9)*MAX(0,  (HLOOKUP(AL$2,Earnings!$G$2:$BC$81,('Yearly Pension'!$A10)+1, FALSE)) - AL$1), ((Assumptions!$B$8)*'Yearly Pension'!AL$1))))</f>
        <v>720</v>
      </c>
      <c r="AM10" s="6">
        <f>(HLOOKUP('Yearly Pension'!AM$2,'Credited Service'!$G$1:$BC$80,$A10+1,FALSE)) * (IF($B10=500, (Assumptions!$B$7)*12, IF((HLOOKUP(AM$2,Earnings!$G$2:$BC$81,('Yearly Pension'!$A10)+1, FALSE)) &gt; AM$1, (Assumptions!$B$8)*(AM$1) + (Assumptions!$B$9)*MAX(0,  (HLOOKUP(AM$2,Earnings!$G$2:$BC$81,('Yearly Pension'!$A10)+1, FALSE)) - AM$1), ((Assumptions!$B$8)*'Yearly Pension'!AM$1))))</f>
        <v>720</v>
      </c>
      <c r="AN10" s="6">
        <f>(HLOOKUP('Yearly Pension'!AN$2,'Credited Service'!$G$1:$BC$80,$A10+1,FALSE)) * (IF($B10=500, (Assumptions!$B$7)*12, IF((HLOOKUP(AN$2,Earnings!$G$2:$BC$81,('Yearly Pension'!$A10)+1, FALSE)) &gt; AN$1, (Assumptions!$B$8)*(AN$1) + (Assumptions!$B$9)*MAX(0,  (HLOOKUP(AN$2,Earnings!$G$2:$BC$81,('Yearly Pension'!$A10)+1, FALSE)) - AN$1), ((Assumptions!$B$8)*'Yearly Pension'!AN$1))))</f>
        <v>720</v>
      </c>
      <c r="AO10" s="6">
        <f>(HLOOKUP('Yearly Pension'!AO$2,'Credited Service'!$G$1:$BC$80,$A10+1,FALSE)) * (IF($B10=500, (Assumptions!$B$7)*12, IF((HLOOKUP(AO$2,Earnings!$G$2:$BC$81,('Yearly Pension'!$A10)+1, FALSE)) &gt; AO$1, (Assumptions!$B$8)*(AO$1) + (Assumptions!$B$9)*MAX(0,  (HLOOKUP(AO$2,Earnings!$G$2:$BC$81,('Yearly Pension'!$A10)+1, FALSE)) - AO$1), ((Assumptions!$B$8)*'Yearly Pension'!AO$1))))</f>
        <v>720</v>
      </c>
      <c r="AP10" s="6">
        <f>(HLOOKUP('Yearly Pension'!AP$2,'Credited Service'!$G$1:$BC$80,$A10+1,FALSE)) * (IF($B10=500, (Assumptions!$B$7)*12, IF((HLOOKUP(AP$2,Earnings!$G$2:$BC$81,('Yearly Pension'!$A10)+1, FALSE)) &gt; AP$1, (Assumptions!$B$8)*(AP$1) + (Assumptions!$B$9)*MAX(0,  (HLOOKUP(AP$2,Earnings!$G$2:$BC$81,('Yearly Pension'!$A10)+1, FALSE)) - AP$1), ((Assumptions!$B$8)*'Yearly Pension'!AP$1))))</f>
        <v>720</v>
      </c>
      <c r="AQ10" s="6">
        <f>(HLOOKUP('Yearly Pension'!AQ$2,'Credited Service'!$G$1:$BC$80,$A10+1,FALSE)) * (IF($B10=500, (Assumptions!$B$7)*12, IF((HLOOKUP(AQ$2,Earnings!$G$2:$BC$81,('Yearly Pension'!$A10)+1, FALSE)) &gt; AQ$1, (Assumptions!$B$8)*(AQ$1) + (Assumptions!$B$9)*MAX(0,  (HLOOKUP(AQ$2,Earnings!$G$2:$BC$81,('Yearly Pension'!$A10)+1, FALSE)) - AQ$1), ((Assumptions!$B$8)*'Yearly Pension'!AQ$1))))</f>
        <v>720</v>
      </c>
      <c r="AR10" s="6">
        <f>(HLOOKUP('Yearly Pension'!AR$2,'Credited Service'!$G$1:$BC$80,$A10+1,FALSE)) * (IF($B10=500, (Assumptions!$B$7)*12, IF((HLOOKUP(AR$2,Earnings!$G$2:$BC$81,('Yearly Pension'!$A10)+1, FALSE)) &gt; AR$1, (Assumptions!$B$8)*(AR$1) + (Assumptions!$B$9)*MAX(0,  (HLOOKUP(AR$2,Earnings!$G$2:$BC$81,('Yearly Pension'!$A10)+1, FALSE)) - AR$1), ((Assumptions!$B$8)*'Yearly Pension'!AR$1))))</f>
        <v>720</v>
      </c>
      <c r="AS10" s="6">
        <f>(HLOOKUP('Yearly Pension'!AS$2,'Credited Service'!$G$1:$BC$80,$A10+1,FALSE)) * (IF($B10=500, (Assumptions!$B$7)*12, IF((HLOOKUP(AS$2,Earnings!$G$2:$BC$81,('Yearly Pension'!$A10)+1, FALSE)) &gt; AS$1, (Assumptions!$B$8)*(AS$1) + (Assumptions!$B$9)*MAX(0,  (HLOOKUP(AS$2,Earnings!$G$2:$BC$81,('Yearly Pension'!$A10)+1, FALSE)) - AS$1), ((Assumptions!$B$8)*'Yearly Pension'!AS$1))))</f>
        <v>720</v>
      </c>
      <c r="AT10" s="6">
        <f>(HLOOKUP('Yearly Pension'!AT$2,'Credited Service'!$G$1:$BC$80,$A10+1,FALSE)) * (IF($B10=500, (Assumptions!$B$7)*12, IF((HLOOKUP(AT$2,Earnings!$G$2:$BC$81,('Yearly Pension'!$A10)+1, FALSE)) &gt; AT$1, (Assumptions!$B$8)*(AT$1) + (Assumptions!$B$9)*MAX(0,  (HLOOKUP(AT$2,Earnings!$G$2:$BC$81,('Yearly Pension'!$A10)+1, FALSE)) - AT$1), ((Assumptions!$B$8)*'Yearly Pension'!AT$1))))</f>
        <v>720</v>
      </c>
      <c r="AU10" s="6">
        <f>(HLOOKUP('Yearly Pension'!AU$2,'Credited Service'!$G$1:$BC$80,$A10+1,FALSE)) * (IF($B10=500, (Assumptions!$B$7)*12, IF((HLOOKUP(AU$2,Earnings!$G$2:$BC$81,('Yearly Pension'!$A10)+1, FALSE)) &gt; AU$1, (Assumptions!$B$8)*(AU$1) + (Assumptions!$B$9)*MAX(0,  (HLOOKUP(AU$2,Earnings!$G$2:$BC$81,('Yearly Pension'!$A10)+1, FALSE)) - AU$1), ((Assumptions!$B$8)*'Yearly Pension'!AU$1))))</f>
        <v>720</v>
      </c>
      <c r="AV10" s="6">
        <f>(HLOOKUP('Yearly Pension'!AV$2,'Credited Service'!$G$1:$BC$80,$A10+1,FALSE)) * (IF($B10=500, (Assumptions!$B$7)*12, IF((HLOOKUP(AV$2,Earnings!$G$2:$BC$81,('Yearly Pension'!$A10)+1, FALSE)) &gt; AV$1, (Assumptions!$B$8)*(AV$1) + (Assumptions!$B$9)*MAX(0,  (HLOOKUP(AV$2,Earnings!$G$2:$BC$81,('Yearly Pension'!$A10)+1, FALSE)) - AV$1), ((Assumptions!$B$8)*'Yearly Pension'!AV$1))))</f>
        <v>720</v>
      </c>
      <c r="AW10" s="6">
        <f>(HLOOKUP('Yearly Pension'!AW$2,'Credited Service'!$G$1:$BC$80,$A10+1,FALSE)) * (IF($B10=500, (Assumptions!$B$7)*12, IF((HLOOKUP(AW$2,Earnings!$G$2:$BC$81,('Yearly Pension'!$A10)+1, FALSE)) &gt; AW$1, (Assumptions!$B$8)*(AW$1) + (Assumptions!$B$9)*MAX(0,  (HLOOKUP(AW$2,Earnings!$G$2:$BC$81,('Yearly Pension'!$A10)+1, FALSE)) - AW$1), ((Assumptions!$B$8)*'Yearly Pension'!AW$1))))</f>
        <v>720</v>
      </c>
      <c r="AX10" s="6">
        <f>(HLOOKUP('Yearly Pension'!AX$2,'Credited Service'!$G$1:$BC$80,$A10+1,FALSE)) * (IF($B10=500, (Assumptions!$B$7)*12, IF((HLOOKUP(AX$2,Earnings!$G$2:$BC$81,('Yearly Pension'!$A10)+1, FALSE)) &gt; AX$1, (Assumptions!$B$8)*(AX$1) + (Assumptions!$B$9)*MAX(0,  (HLOOKUP(AX$2,Earnings!$G$2:$BC$81,('Yearly Pension'!$A10)+1, FALSE)) - AX$1), ((Assumptions!$B$8)*'Yearly Pension'!AX$1))))</f>
        <v>720</v>
      </c>
      <c r="AY10" s="6">
        <f>(HLOOKUP('Yearly Pension'!AY$2,'Credited Service'!$G$1:$BC$80,$A10+1,FALSE)) * (IF($B10=500, (Assumptions!$B$7)*12, IF((HLOOKUP(AY$2,Earnings!$G$2:$BC$81,('Yearly Pension'!$A10)+1, FALSE)) &gt; AY$1, (Assumptions!$B$8)*(AY$1) + (Assumptions!$B$9)*MAX(0,  (HLOOKUP(AY$2,Earnings!$G$2:$BC$81,('Yearly Pension'!$A10)+1, FALSE)) - AY$1), ((Assumptions!$B$8)*'Yearly Pension'!AY$1))))</f>
        <v>720</v>
      </c>
      <c r="AZ10" s="6">
        <f>(HLOOKUP('Yearly Pension'!AZ$2,'Credited Service'!$G$1:$BC$80,$A10+1,FALSE)) * (IF($B10=500, (Assumptions!$B$7)*12, IF((HLOOKUP(AZ$2,Earnings!$G$2:$BC$81,('Yearly Pension'!$A10)+1, FALSE)) &gt; AZ$1, (Assumptions!$B$8)*(AZ$1) + (Assumptions!$B$9)*MAX(0,  (HLOOKUP(AZ$2,Earnings!$G$2:$BC$81,('Yearly Pension'!$A10)+1, FALSE)) - AZ$1), ((Assumptions!$B$8)*'Yearly Pension'!AZ$1))))</f>
        <v>720</v>
      </c>
      <c r="BA10" s="6">
        <f>(HLOOKUP('Yearly Pension'!BA$2,'Credited Service'!$G$1:$BC$80,$A10+1,FALSE)) * (IF($B10=500, (Assumptions!$B$7)*12, IF((HLOOKUP(BA$2,Earnings!$G$2:$BC$81,('Yearly Pension'!$A10)+1, FALSE)) &gt; BA$1, (Assumptions!$B$8)*(BA$1) + (Assumptions!$B$9)*MAX(0,  (HLOOKUP(BA$2,Earnings!$G$2:$BC$81,('Yearly Pension'!$A10)+1, FALSE)) - BA$1), ((Assumptions!$B$8)*'Yearly Pension'!BA$1))))</f>
        <v>720</v>
      </c>
      <c r="BB10" s="6">
        <f>(HLOOKUP('Yearly Pension'!BB$2,'Credited Service'!$G$1:$BC$80,$A10+1,FALSE)) * (IF($B10=500, (Assumptions!$B$7)*12, IF((HLOOKUP(BB$2,Earnings!$G$2:$BC$81,('Yearly Pension'!$A10)+1, FALSE)) &gt; BB$1, (Assumptions!$B$8)*(BB$1) + (Assumptions!$B$9)*MAX(0,  (HLOOKUP(BB$2,Earnings!$G$2:$BC$81,('Yearly Pension'!$A10)+1, FALSE)) - BB$1), ((Assumptions!$B$8)*'Yearly Pension'!BB$1))))</f>
        <v>720</v>
      </c>
      <c r="BC10" s="6">
        <f>(HLOOKUP('Yearly Pension'!BC$2,'Credited Service'!$G$1:$BC$80,$A10+1,FALSE)) * (IF($B10=500, (Assumptions!$B$7)*12, IF((HLOOKUP(BC$2,Earnings!$G$2:$BC$81,('Yearly Pension'!$A10)+1, FALSE)) &gt; BC$1, (Assumptions!$B$8)*(BC$1) + (Assumptions!$B$9)*MAX(0,  (HLOOKUP(BC$2,Earnings!$G$2:$BC$81,('Yearly Pension'!$A10)+1, FALSE)) - BC$1), ((Assumptions!$B$8)*'Yearly Pension'!BC$1))))</f>
        <v>720</v>
      </c>
    </row>
    <row r="11" spans="1:60" x14ac:dyDescent="0.25">
      <c r="A11" s="204">
        <v>9</v>
      </c>
      <c r="B11" s="1">
        <v>500</v>
      </c>
      <c r="C11" s="1">
        <v>781</v>
      </c>
      <c r="D11" s="3">
        <v>38383</v>
      </c>
      <c r="E11" s="3">
        <v>46631</v>
      </c>
      <c r="G11" s="6">
        <f>(HLOOKUP('Yearly Pension'!G$2,'Credited Service'!$G$1:$BC$80,$A11+1,FALSE)) * (IF($B11=500, (Assumptions!$B$7)*12, IF((HLOOKUP(G$2,Earnings!$G$2:$BC$81,('Yearly Pension'!$A11)+1, FALSE)) &gt; G$1, (Assumptions!$B$8)*(G$1) + (Assumptions!$B$9)*MAX(0,  (HLOOKUP(G$2,Earnings!$G$2:$BC$81,('Yearly Pension'!$A11)+1, FALSE)) - G$1), ((Assumptions!$B$8)*'Yearly Pension'!G$1))))</f>
        <v>0</v>
      </c>
      <c r="H11" s="6">
        <f>(HLOOKUP('Yearly Pension'!H$2,'Credited Service'!$G$1:$BC$80,$A11+1,FALSE)) * (IF($B11=500, (Assumptions!$B$7)*12, IF((HLOOKUP(H$2,Earnings!$G$2:$BC$81,('Yearly Pension'!$A11)+1, FALSE)) &gt; H$1, (Assumptions!$B$8)*(H$1) + (Assumptions!$B$9)*MAX(0,  (HLOOKUP(H$2,Earnings!$G$2:$BC$81,('Yearly Pension'!$A11)+1, FALSE)) - H$1), ((Assumptions!$B$8)*'Yearly Pension'!H$1))))</f>
        <v>0</v>
      </c>
      <c r="I11" s="6">
        <f>(HLOOKUP('Yearly Pension'!I$2,'Credited Service'!$G$1:$BC$80,$A11+1,FALSE)) * (IF($B11=500, (Assumptions!$B$7)*12, IF((HLOOKUP(I$2,Earnings!$G$2:$BC$81,('Yearly Pension'!$A11)+1, FALSE)) &gt; I$1, (Assumptions!$B$8)*(I$1) + (Assumptions!$B$9)*MAX(0,  (HLOOKUP(I$2,Earnings!$G$2:$BC$81,('Yearly Pension'!$A11)+1, FALSE)) - I$1), ((Assumptions!$B$8)*'Yearly Pension'!I$1))))</f>
        <v>0</v>
      </c>
      <c r="J11" s="6">
        <f>(HLOOKUP('Yearly Pension'!J$2,'Credited Service'!$G$1:$BC$80,$A11+1,FALSE)) * (IF($B11=500, (Assumptions!$B$7)*12, IF((HLOOKUP(J$2,Earnings!$G$2:$BC$81,('Yearly Pension'!$A11)+1, FALSE)) &gt; J$1, (Assumptions!$B$8)*(J$1) + (Assumptions!$B$9)*MAX(0,  (HLOOKUP(J$2,Earnings!$G$2:$BC$81,('Yearly Pension'!$A11)+1, FALSE)) - J$1), ((Assumptions!$B$8)*'Yearly Pension'!J$1))))</f>
        <v>0</v>
      </c>
      <c r="K11" s="6">
        <f>(HLOOKUP('Yearly Pension'!K$2,'Credited Service'!$G$1:$BC$80,$A11+1,FALSE)) * (IF($B11=500, (Assumptions!$B$7)*12, IF((HLOOKUP(K$2,Earnings!$G$2:$BC$81,('Yearly Pension'!$A11)+1, FALSE)) &gt; K$1, (Assumptions!$B$8)*(K$1) + (Assumptions!$B$9)*MAX(0,  (HLOOKUP(K$2,Earnings!$G$2:$BC$81,('Yearly Pension'!$A11)+1, FALSE)) - K$1), ((Assumptions!$B$8)*'Yearly Pension'!K$1))))</f>
        <v>0</v>
      </c>
      <c r="L11" s="6">
        <f>(HLOOKUP('Yearly Pension'!L$2,'Credited Service'!$G$1:$BC$80,$A11+1,FALSE)) * (IF($B11=500, (Assumptions!$B$7)*12, IF((HLOOKUP(L$2,Earnings!$G$2:$BC$81,('Yearly Pension'!$A11)+1, FALSE)) &gt; L$1, (Assumptions!$B$8)*(L$1) + (Assumptions!$B$9)*MAX(0,  (HLOOKUP(L$2,Earnings!$G$2:$BC$81,('Yearly Pension'!$A11)+1, FALSE)) - L$1), ((Assumptions!$B$8)*'Yearly Pension'!L$1))))</f>
        <v>0</v>
      </c>
      <c r="M11" s="6">
        <f>(HLOOKUP('Yearly Pension'!M$2,'Credited Service'!$G$1:$BC$80,$A11+1,FALSE)) * (IF($B11=500, (Assumptions!$B$7)*12, IF((HLOOKUP(M$2,Earnings!$G$2:$BC$81,('Yearly Pension'!$A11)+1, FALSE)) &gt; M$1, (Assumptions!$B$8)*(M$1) + (Assumptions!$B$9)*MAX(0,  (HLOOKUP(M$2,Earnings!$G$2:$BC$81,('Yearly Pension'!$A11)+1, FALSE)) - M$1), ((Assumptions!$B$8)*'Yearly Pension'!M$1))))</f>
        <v>0</v>
      </c>
      <c r="N11" s="6">
        <f>(HLOOKUP('Yearly Pension'!N$2,'Credited Service'!$G$1:$BC$80,$A11+1,FALSE)) * (IF($B11=500, (Assumptions!$B$7)*12, IF((HLOOKUP(N$2,Earnings!$G$2:$BC$81,('Yearly Pension'!$A11)+1, FALSE)) &gt; N$1, (Assumptions!$B$8)*(N$1) + (Assumptions!$B$9)*MAX(0,  (HLOOKUP(N$2,Earnings!$G$2:$BC$81,('Yearly Pension'!$A11)+1, FALSE)) - N$1), ((Assumptions!$B$8)*'Yearly Pension'!N$1))))</f>
        <v>0</v>
      </c>
      <c r="O11" s="6">
        <f>(HLOOKUP('Yearly Pension'!O$2,'Credited Service'!$G$1:$BC$80,$A11+1,FALSE)) * (IF($B11=500, (Assumptions!$B$7)*12, IF((HLOOKUP(O$2,Earnings!$G$2:$BC$81,('Yearly Pension'!$A11)+1, FALSE)) &gt; O$1, (Assumptions!$B$8)*(O$1) + (Assumptions!$B$9)*MAX(0,  (HLOOKUP(O$2,Earnings!$G$2:$BC$81,('Yearly Pension'!$A11)+1, FALSE)) - O$1), ((Assumptions!$B$8)*'Yearly Pension'!O$1))))</f>
        <v>0</v>
      </c>
      <c r="P11" s="6">
        <f>(HLOOKUP('Yearly Pension'!P$2,'Credited Service'!$G$1:$BC$80,$A11+1,FALSE)) * (IF($B11=500, (Assumptions!$B$7)*12, IF((HLOOKUP(P$2,Earnings!$G$2:$BC$81,('Yearly Pension'!$A11)+1, FALSE)) &gt; P$1, (Assumptions!$B$8)*(P$1) + (Assumptions!$B$9)*MAX(0,  (HLOOKUP(P$2,Earnings!$G$2:$BC$81,('Yearly Pension'!$A11)+1, FALSE)) - P$1), ((Assumptions!$B$8)*'Yearly Pension'!P$1))))</f>
        <v>0</v>
      </c>
      <c r="Q11" s="6">
        <f>(HLOOKUP('Yearly Pension'!Q$2,'Credited Service'!$G$1:$BC$80,$A11+1,FALSE)) * (IF($B11=500, (Assumptions!$B$7)*12, IF((HLOOKUP(Q$2,Earnings!$G$2:$BC$81,('Yearly Pension'!$A11)+1, FALSE)) &gt; Q$1, (Assumptions!$B$8)*(Q$1) + (Assumptions!$B$9)*MAX(0,  (HLOOKUP(Q$2,Earnings!$G$2:$BC$81,('Yearly Pension'!$A11)+1, FALSE)) - Q$1), ((Assumptions!$B$8)*'Yearly Pension'!Q$1))))</f>
        <v>0</v>
      </c>
      <c r="R11" s="6">
        <f>(HLOOKUP('Yearly Pension'!R$2,'Credited Service'!$G$1:$BC$80,$A11+1,FALSE)) * (IF($B11=500, (Assumptions!$B$7)*12, IF((HLOOKUP(R$2,Earnings!$G$2:$BC$81,('Yearly Pension'!$A11)+1, FALSE)) &gt; R$1, (Assumptions!$B$8)*(R$1) + (Assumptions!$B$9)*MAX(0,  (HLOOKUP(R$2,Earnings!$G$2:$BC$81,('Yearly Pension'!$A11)+1, FALSE)) - R$1), ((Assumptions!$B$8)*'Yearly Pension'!R$1))))</f>
        <v>0</v>
      </c>
      <c r="S11" s="6">
        <f>(HLOOKUP('Yearly Pension'!S$2,'Credited Service'!$G$1:$BC$80,$A11+1,FALSE)) * (IF($B11=500, (Assumptions!$B$7)*12, IF((HLOOKUP(S$2,Earnings!$G$2:$BC$81,('Yearly Pension'!$A11)+1, FALSE)) &gt; S$1, (Assumptions!$B$8)*(S$1) + (Assumptions!$B$9)*MAX(0,  (HLOOKUP(S$2,Earnings!$G$2:$BC$81,('Yearly Pension'!$A11)+1, FALSE)) - S$1), ((Assumptions!$B$8)*'Yearly Pension'!S$1))))</f>
        <v>0</v>
      </c>
      <c r="T11" s="6">
        <f>(HLOOKUP('Yearly Pension'!T$2,'Credited Service'!$G$1:$BC$80,$A11+1,FALSE)) * (IF($B11=500, (Assumptions!$B$7)*12, IF((HLOOKUP(T$2,Earnings!$G$2:$BC$81,('Yearly Pension'!$A11)+1, FALSE)) &gt; T$1, (Assumptions!$B$8)*(T$1) + (Assumptions!$B$9)*MAX(0,  (HLOOKUP(T$2,Earnings!$G$2:$BC$81,('Yearly Pension'!$A11)+1, FALSE)) - T$1), ((Assumptions!$B$8)*'Yearly Pension'!T$1))))</f>
        <v>0</v>
      </c>
      <c r="U11" s="6">
        <f>(HLOOKUP('Yearly Pension'!U$2,'Credited Service'!$G$1:$BC$80,$A11+1,FALSE)) * (IF($B11=500, (Assumptions!$B$7)*12, IF((HLOOKUP(U$2,Earnings!$G$2:$BC$81,('Yearly Pension'!$A11)+1, FALSE)) &gt; U$1, (Assumptions!$B$8)*(U$1) + (Assumptions!$B$9)*MAX(0,  (HLOOKUP(U$2,Earnings!$G$2:$BC$81,('Yearly Pension'!$A11)+1, FALSE)) - U$1), ((Assumptions!$B$8)*'Yearly Pension'!U$1))))</f>
        <v>0</v>
      </c>
      <c r="V11" s="6">
        <f>(HLOOKUP('Yearly Pension'!V$2,'Credited Service'!$G$1:$BC$80,$A11+1,FALSE)) * (IF($B11=500, (Assumptions!$B$7)*12, IF((HLOOKUP(V$2,Earnings!$G$2:$BC$81,('Yearly Pension'!$A11)+1, FALSE)) &gt; V$1, (Assumptions!$B$8)*(V$1) + (Assumptions!$B$9)*MAX(0,  (HLOOKUP(V$2,Earnings!$G$2:$BC$81,('Yearly Pension'!$A11)+1, FALSE)) - V$1), ((Assumptions!$B$8)*'Yearly Pension'!V$1))))</f>
        <v>0</v>
      </c>
      <c r="W11" s="6">
        <f>(HLOOKUP('Yearly Pension'!W$2,'Credited Service'!$G$1:$BC$80,$A11+1,FALSE)) * (IF($B11=500, (Assumptions!$B$7)*12, IF((HLOOKUP(W$2,Earnings!$G$2:$BC$81,('Yearly Pension'!$A11)+1, FALSE)) &gt; W$1, (Assumptions!$B$8)*(W$1) + (Assumptions!$B$9)*MAX(0,  (HLOOKUP(W$2,Earnings!$G$2:$BC$81,('Yearly Pension'!$A11)+1, FALSE)) - W$1), ((Assumptions!$B$8)*'Yearly Pension'!W$1))))</f>
        <v>0</v>
      </c>
      <c r="X11" s="6">
        <f>(HLOOKUP('Yearly Pension'!X$2,'Credited Service'!$G$1:$BC$80,$A11+1,FALSE)) * (IF($B11=500, (Assumptions!$B$7)*12, IF((HLOOKUP(X$2,Earnings!$G$2:$BC$81,('Yearly Pension'!$A11)+1, FALSE)) &gt; X$1, (Assumptions!$B$8)*(X$1) + (Assumptions!$B$9)*MAX(0,  (HLOOKUP(X$2,Earnings!$G$2:$BC$81,('Yearly Pension'!$A11)+1, FALSE)) - X$1), ((Assumptions!$B$8)*'Yearly Pension'!X$1))))</f>
        <v>0</v>
      </c>
      <c r="Y11" s="6">
        <f>(HLOOKUP('Yearly Pension'!Y$2,'Credited Service'!$G$1:$BC$80,$A11+1,FALSE)) * (IF($B11=500, (Assumptions!$B$7)*12, IF((HLOOKUP(Y$2,Earnings!$G$2:$BC$81,('Yearly Pension'!$A11)+1, FALSE)) &gt; Y$1, (Assumptions!$B$8)*(Y$1) + (Assumptions!$B$9)*MAX(0,  (HLOOKUP(Y$2,Earnings!$G$2:$BC$81,('Yearly Pension'!$A11)+1, FALSE)) - Y$1), ((Assumptions!$B$8)*'Yearly Pension'!Y$1))))</f>
        <v>0</v>
      </c>
      <c r="Z11" s="6">
        <f>(HLOOKUP('Yearly Pension'!Z$2,'Credited Service'!$G$1:$BC$80,$A11+1,FALSE)) * (IF($B11=500, (Assumptions!$B$7)*12, IF((HLOOKUP(Z$2,Earnings!$G$2:$BC$81,('Yearly Pension'!$A11)+1, FALSE)) &gt; Z$1, (Assumptions!$B$8)*(Z$1) + (Assumptions!$B$9)*MAX(0,  (HLOOKUP(Z$2,Earnings!$G$2:$BC$81,('Yearly Pension'!$A11)+1, FALSE)) - Z$1), ((Assumptions!$B$8)*'Yearly Pension'!Z$1))))</f>
        <v>0</v>
      </c>
      <c r="AA11" s="6">
        <f>(HLOOKUP('Yearly Pension'!AA$2,'Credited Service'!$G$1:$BC$80,$A11+1,FALSE)) * (IF($B11=500, (Assumptions!$B$7)*12, IF((HLOOKUP(AA$2,Earnings!$G$2:$BC$81,('Yearly Pension'!$A11)+1, FALSE)) &gt; AA$1, (Assumptions!$B$8)*(AA$1) + (Assumptions!$B$9)*MAX(0,  (HLOOKUP(AA$2,Earnings!$G$2:$BC$81,('Yearly Pension'!$A11)+1, FALSE)) - AA$1), ((Assumptions!$B$8)*'Yearly Pension'!AA$1))))</f>
        <v>0</v>
      </c>
      <c r="AB11" s="6">
        <f>(HLOOKUP('Yearly Pension'!AB$2,'Credited Service'!$G$1:$BC$80,$A11+1,FALSE)) * (IF($B11=500, (Assumptions!$B$7)*12, IF((HLOOKUP(AB$2,Earnings!$G$2:$BC$81,('Yearly Pension'!$A11)+1, FALSE)) &gt; AB$1, (Assumptions!$B$8)*(AB$1) + (Assumptions!$B$9)*MAX(0,  (HLOOKUP(AB$2,Earnings!$G$2:$BC$81,('Yearly Pension'!$A11)+1, FALSE)) - AB$1), ((Assumptions!$B$8)*'Yearly Pension'!AB$1))))</f>
        <v>0</v>
      </c>
      <c r="AC11" s="6">
        <f>(HLOOKUP('Yearly Pension'!AC$2,'Credited Service'!$G$1:$BC$80,$A11+1,FALSE)) * (IF($B11=500, (Assumptions!$B$7)*12, IF((HLOOKUP(AC$2,Earnings!$G$2:$BC$81,('Yearly Pension'!$A11)+1, FALSE)) &gt; AC$1, (Assumptions!$B$8)*(AC$1) + (Assumptions!$B$9)*MAX(0,  (HLOOKUP(AC$2,Earnings!$G$2:$BC$81,('Yearly Pension'!$A11)+1, FALSE)) - AC$1), ((Assumptions!$B$8)*'Yearly Pension'!AC$1))))</f>
        <v>0</v>
      </c>
      <c r="AD11" s="6">
        <f>(HLOOKUP('Yearly Pension'!AD$2,'Credited Service'!$G$1:$BC$80,$A11+1,FALSE)) * (IF($B11=500, (Assumptions!$B$7)*12, IF((HLOOKUP(AD$2,Earnings!$G$2:$BC$81,('Yearly Pension'!$A11)+1, FALSE)) &gt; AD$1, (Assumptions!$B$8)*(AD$1) + (Assumptions!$B$9)*MAX(0,  (HLOOKUP(AD$2,Earnings!$G$2:$BC$81,('Yearly Pension'!$A11)+1, FALSE)) - AD$1), ((Assumptions!$B$8)*'Yearly Pension'!AD$1))))</f>
        <v>0</v>
      </c>
      <c r="AE11" s="6">
        <f>(HLOOKUP('Yearly Pension'!AE$2,'Credited Service'!$G$1:$BC$80,$A11+1,FALSE)) * (IF($B11=500, (Assumptions!$B$7)*12, IF((HLOOKUP(AE$2,Earnings!$G$2:$BC$81,('Yearly Pension'!$A11)+1, FALSE)) &gt; AE$1, (Assumptions!$B$8)*(AE$1) + (Assumptions!$B$9)*MAX(0,  (HLOOKUP(AE$2,Earnings!$G$2:$BC$81,('Yearly Pension'!$A11)+1, FALSE)) - AE$1), ((Assumptions!$B$8)*'Yearly Pension'!AE$1))))</f>
        <v>0</v>
      </c>
      <c r="AF11" s="6">
        <f>(HLOOKUP('Yearly Pension'!AF$2,'Credited Service'!$G$1:$BC$80,$A11+1,FALSE)) * (IF($B11=500, (Assumptions!$B$7)*12, IF((HLOOKUP(AF$2,Earnings!$G$2:$BC$81,('Yearly Pension'!$A11)+1, FALSE)) &gt; AF$1, (Assumptions!$B$8)*(AF$1) + (Assumptions!$B$9)*MAX(0,  (HLOOKUP(AF$2,Earnings!$G$2:$BC$81,('Yearly Pension'!$A11)+1, FALSE)) - AF$1), ((Assumptions!$B$8)*'Yearly Pension'!AF$1))))</f>
        <v>0</v>
      </c>
      <c r="AG11" s="6">
        <f>(HLOOKUP('Yearly Pension'!AG$2,'Credited Service'!$G$1:$BC$80,$A11+1,FALSE)) * (IF($B11=500, (Assumptions!$B$7)*12, IF((HLOOKUP(AG$2,Earnings!$G$2:$BC$81,('Yearly Pension'!$A11)+1, FALSE)) &gt; AG$1, (Assumptions!$B$8)*(AG$1) + (Assumptions!$B$9)*MAX(0,  (HLOOKUP(AG$2,Earnings!$G$2:$BC$81,('Yearly Pension'!$A11)+1, FALSE)) - AG$1), ((Assumptions!$B$8)*'Yearly Pension'!AG$1))))</f>
        <v>0</v>
      </c>
      <c r="AH11" s="6">
        <f>(HLOOKUP('Yearly Pension'!AH$2,'Credited Service'!$G$1:$BC$80,$A11+1,FALSE)) * (IF($B11=500, (Assumptions!$B$7)*12, IF((HLOOKUP(AH$2,Earnings!$G$2:$BC$81,('Yearly Pension'!$A11)+1, FALSE)) &gt; AH$1, (Assumptions!$B$8)*(AH$1) + (Assumptions!$B$9)*MAX(0,  (HLOOKUP(AH$2,Earnings!$G$2:$BC$81,('Yearly Pension'!$A11)+1, FALSE)) - AH$1), ((Assumptions!$B$8)*'Yearly Pension'!AH$1))))</f>
        <v>0</v>
      </c>
      <c r="AI11" s="6">
        <f>(HLOOKUP('Yearly Pension'!AI$2,'Credited Service'!$G$1:$BC$80,$A11+1,FALSE)) * (IF($B11=500, (Assumptions!$B$7)*12, IF((HLOOKUP(AI$2,Earnings!$G$2:$BC$81,('Yearly Pension'!$A11)+1, FALSE)) &gt; AI$1, (Assumptions!$B$8)*(AI$1) + (Assumptions!$B$9)*MAX(0,  (HLOOKUP(AI$2,Earnings!$G$2:$BC$81,('Yearly Pension'!$A11)+1, FALSE)) - AI$1), ((Assumptions!$B$8)*'Yearly Pension'!AI$1))))</f>
        <v>660</v>
      </c>
      <c r="AJ11" s="6">
        <f>(HLOOKUP('Yearly Pension'!AJ$2,'Credited Service'!$G$1:$BC$80,$A11+1,FALSE)) * (IF($B11=500, (Assumptions!$B$7)*12, IF((HLOOKUP(AJ$2,Earnings!$G$2:$BC$81,('Yearly Pension'!$A11)+1, FALSE)) &gt; AJ$1, (Assumptions!$B$8)*(AJ$1) + (Assumptions!$B$9)*MAX(0,  (HLOOKUP(AJ$2,Earnings!$G$2:$BC$81,('Yearly Pension'!$A11)+1, FALSE)) - AJ$1), ((Assumptions!$B$8)*'Yearly Pension'!AJ$1))))</f>
        <v>720</v>
      </c>
      <c r="AK11" s="6">
        <f>(HLOOKUP('Yearly Pension'!AK$2,'Credited Service'!$G$1:$BC$80,$A11+1,FALSE)) * (IF($B11=500, (Assumptions!$B$7)*12, IF((HLOOKUP(AK$2,Earnings!$G$2:$BC$81,('Yearly Pension'!$A11)+1, FALSE)) &gt; AK$1, (Assumptions!$B$8)*(AK$1) + (Assumptions!$B$9)*MAX(0,  (HLOOKUP(AK$2,Earnings!$G$2:$BC$81,('Yearly Pension'!$A11)+1, FALSE)) - AK$1), ((Assumptions!$B$8)*'Yearly Pension'!AK$1))))</f>
        <v>720</v>
      </c>
      <c r="AL11" s="6">
        <f>(HLOOKUP('Yearly Pension'!AL$2,'Credited Service'!$G$1:$BC$80,$A11+1,FALSE)) * (IF($B11=500, (Assumptions!$B$7)*12, IF((HLOOKUP(AL$2,Earnings!$G$2:$BC$81,('Yearly Pension'!$A11)+1, FALSE)) &gt; AL$1, (Assumptions!$B$8)*(AL$1) + (Assumptions!$B$9)*MAX(0,  (HLOOKUP(AL$2,Earnings!$G$2:$BC$81,('Yearly Pension'!$A11)+1, FALSE)) - AL$1), ((Assumptions!$B$8)*'Yearly Pension'!AL$1))))</f>
        <v>720</v>
      </c>
      <c r="AM11" s="6">
        <f>(HLOOKUP('Yearly Pension'!AM$2,'Credited Service'!$G$1:$BC$80,$A11+1,FALSE)) * (IF($B11=500, (Assumptions!$B$7)*12, IF((HLOOKUP(AM$2,Earnings!$G$2:$BC$81,('Yearly Pension'!$A11)+1, FALSE)) &gt; AM$1, (Assumptions!$B$8)*(AM$1) + (Assumptions!$B$9)*MAX(0,  (HLOOKUP(AM$2,Earnings!$G$2:$BC$81,('Yearly Pension'!$A11)+1, FALSE)) - AM$1), ((Assumptions!$B$8)*'Yearly Pension'!AM$1))))</f>
        <v>720</v>
      </c>
      <c r="AN11" s="6">
        <f>(HLOOKUP('Yearly Pension'!AN$2,'Credited Service'!$G$1:$BC$80,$A11+1,FALSE)) * (IF($B11=500, (Assumptions!$B$7)*12, IF((HLOOKUP(AN$2,Earnings!$G$2:$BC$81,('Yearly Pension'!$A11)+1, FALSE)) &gt; AN$1, (Assumptions!$B$8)*(AN$1) + (Assumptions!$B$9)*MAX(0,  (HLOOKUP(AN$2,Earnings!$G$2:$BC$81,('Yearly Pension'!$A11)+1, FALSE)) - AN$1), ((Assumptions!$B$8)*'Yearly Pension'!AN$1))))</f>
        <v>720</v>
      </c>
      <c r="AO11" s="6">
        <f>(HLOOKUP('Yearly Pension'!AO$2,'Credited Service'!$G$1:$BC$80,$A11+1,FALSE)) * (IF($B11=500, (Assumptions!$B$7)*12, IF((HLOOKUP(AO$2,Earnings!$G$2:$BC$81,('Yearly Pension'!$A11)+1, FALSE)) &gt; AO$1, (Assumptions!$B$8)*(AO$1) + (Assumptions!$B$9)*MAX(0,  (HLOOKUP(AO$2,Earnings!$G$2:$BC$81,('Yearly Pension'!$A11)+1, FALSE)) - AO$1), ((Assumptions!$B$8)*'Yearly Pension'!AO$1))))</f>
        <v>720</v>
      </c>
      <c r="AP11" s="6">
        <f>(HLOOKUP('Yearly Pension'!AP$2,'Credited Service'!$G$1:$BC$80,$A11+1,FALSE)) * (IF($B11=500, (Assumptions!$B$7)*12, IF((HLOOKUP(AP$2,Earnings!$G$2:$BC$81,('Yearly Pension'!$A11)+1, FALSE)) &gt; AP$1, (Assumptions!$B$8)*(AP$1) + (Assumptions!$B$9)*MAX(0,  (HLOOKUP(AP$2,Earnings!$G$2:$BC$81,('Yearly Pension'!$A11)+1, FALSE)) - AP$1), ((Assumptions!$B$8)*'Yearly Pension'!AP$1))))</f>
        <v>720</v>
      </c>
      <c r="AQ11" s="6">
        <f>(HLOOKUP('Yearly Pension'!AQ$2,'Credited Service'!$G$1:$BC$80,$A11+1,FALSE)) * (IF($B11=500, (Assumptions!$B$7)*12, IF((HLOOKUP(AQ$2,Earnings!$G$2:$BC$81,('Yearly Pension'!$A11)+1, FALSE)) &gt; AQ$1, (Assumptions!$B$8)*(AQ$1) + (Assumptions!$B$9)*MAX(0,  (HLOOKUP(AQ$2,Earnings!$G$2:$BC$81,('Yearly Pension'!$A11)+1, FALSE)) - AQ$1), ((Assumptions!$B$8)*'Yearly Pension'!AQ$1))))</f>
        <v>720</v>
      </c>
      <c r="AR11" s="6">
        <f>(HLOOKUP('Yearly Pension'!AR$2,'Credited Service'!$G$1:$BC$80,$A11+1,FALSE)) * (IF($B11=500, (Assumptions!$B$7)*12, IF((HLOOKUP(AR$2,Earnings!$G$2:$BC$81,('Yearly Pension'!$A11)+1, FALSE)) &gt; AR$1, (Assumptions!$B$8)*(AR$1) + (Assumptions!$B$9)*MAX(0,  (HLOOKUP(AR$2,Earnings!$G$2:$BC$81,('Yearly Pension'!$A11)+1, FALSE)) - AR$1), ((Assumptions!$B$8)*'Yearly Pension'!AR$1))))</f>
        <v>720</v>
      </c>
      <c r="AS11" s="6">
        <f>(HLOOKUP('Yearly Pension'!AS$2,'Credited Service'!$G$1:$BC$80,$A11+1,FALSE)) * (IF($B11=500, (Assumptions!$B$7)*12, IF((HLOOKUP(AS$2,Earnings!$G$2:$BC$81,('Yearly Pension'!$A11)+1, FALSE)) &gt; AS$1, (Assumptions!$B$8)*(AS$1) + (Assumptions!$B$9)*MAX(0,  (HLOOKUP(AS$2,Earnings!$G$2:$BC$81,('Yearly Pension'!$A11)+1, FALSE)) - AS$1), ((Assumptions!$B$8)*'Yearly Pension'!AS$1))))</f>
        <v>720</v>
      </c>
      <c r="AT11" s="6">
        <f>(HLOOKUP('Yearly Pension'!AT$2,'Credited Service'!$G$1:$BC$80,$A11+1,FALSE)) * (IF($B11=500, (Assumptions!$B$7)*12, IF((HLOOKUP(AT$2,Earnings!$G$2:$BC$81,('Yearly Pension'!$A11)+1, FALSE)) &gt; AT$1, (Assumptions!$B$8)*(AT$1) + (Assumptions!$B$9)*MAX(0,  (HLOOKUP(AT$2,Earnings!$G$2:$BC$81,('Yearly Pension'!$A11)+1, FALSE)) - AT$1), ((Assumptions!$B$8)*'Yearly Pension'!AT$1))))</f>
        <v>720</v>
      </c>
      <c r="AU11" s="6">
        <f>(HLOOKUP('Yearly Pension'!AU$2,'Credited Service'!$G$1:$BC$80,$A11+1,FALSE)) * (IF($B11=500, (Assumptions!$B$7)*12, IF((HLOOKUP(AU$2,Earnings!$G$2:$BC$81,('Yearly Pension'!$A11)+1, FALSE)) &gt; AU$1, (Assumptions!$B$8)*(AU$1) + (Assumptions!$B$9)*MAX(0,  (HLOOKUP(AU$2,Earnings!$G$2:$BC$81,('Yearly Pension'!$A11)+1, FALSE)) - AU$1), ((Assumptions!$B$8)*'Yearly Pension'!AU$1))))</f>
        <v>720</v>
      </c>
      <c r="AV11" s="6">
        <f>(HLOOKUP('Yearly Pension'!AV$2,'Credited Service'!$G$1:$BC$80,$A11+1,FALSE)) * (IF($B11=500, (Assumptions!$B$7)*12, IF((HLOOKUP(AV$2,Earnings!$G$2:$BC$81,('Yearly Pension'!$A11)+1, FALSE)) &gt; AV$1, (Assumptions!$B$8)*(AV$1) + (Assumptions!$B$9)*MAX(0,  (HLOOKUP(AV$2,Earnings!$G$2:$BC$81,('Yearly Pension'!$A11)+1, FALSE)) - AV$1), ((Assumptions!$B$8)*'Yearly Pension'!AV$1))))</f>
        <v>720</v>
      </c>
      <c r="AW11" s="6">
        <f>(HLOOKUP('Yearly Pension'!AW$2,'Credited Service'!$G$1:$BC$80,$A11+1,FALSE)) * (IF($B11=500, (Assumptions!$B$7)*12, IF((HLOOKUP(AW$2,Earnings!$G$2:$BC$81,('Yearly Pension'!$A11)+1, FALSE)) &gt; AW$1, (Assumptions!$B$8)*(AW$1) + (Assumptions!$B$9)*MAX(0,  (HLOOKUP(AW$2,Earnings!$G$2:$BC$81,('Yearly Pension'!$A11)+1, FALSE)) - AW$1), ((Assumptions!$B$8)*'Yearly Pension'!AW$1))))</f>
        <v>720</v>
      </c>
      <c r="AX11" s="6">
        <f>(HLOOKUP('Yearly Pension'!AX$2,'Credited Service'!$G$1:$BC$80,$A11+1,FALSE)) * (IF($B11=500, (Assumptions!$B$7)*12, IF((HLOOKUP(AX$2,Earnings!$G$2:$BC$81,('Yearly Pension'!$A11)+1, FALSE)) &gt; AX$1, (Assumptions!$B$8)*(AX$1) + (Assumptions!$B$9)*MAX(0,  (HLOOKUP(AX$2,Earnings!$G$2:$BC$81,('Yearly Pension'!$A11)+1, FALSE)) - AX$1), ((Assumptions!$B$8)*'Yearly Pension'!AX$1))))</f>
        <v>720</v>
      </c>
      <c r="AY11" s="6">
        <f>(HLOOKUP('Yearly Pension'!AY$2,'Credited Service'!$G$1:$BC$80,$A11+1,FALSE)) * (IF($B11=500, (Assumptions!$B$7)*12, IF((HLOOKUP(AY$2,Earnings!$G$2:$BC$81,('Yearly Pension'!$A11)+1, FALSE)) &gt; AY$1, (Assumptions!$B$8)*(AY$1) + (Assumptions!$B$9)*MAX(0,  (HLOOKUP(AY$2,Earnings!$G$2:$BC$81,('Yearly Pension'!$A11)+1, FALSE)) - AY$1), ((Assumptions!$B$8)*'Yearly Pension'!AY$1))))</f>
        <v>720</v>
      </c>
      <c r="AZ11" s="6">
        <f>(HLOOKUP('Yearly Pension'!AZ$2,'Credited Service'!$G$1:$BC$80,$A11+1,FALSE)) * (IF($B11=500, (Assumptions!$B$7)*12, IF((HLOOKUP(AZ$2,Earnings!$G$2:$BC$81,('Yearly Pension'!$A11)+1, FALSE)) &gt; AZ$1, (Assumptions!$B$8)*(AZ$1) + (Assumptions!$B$9)*MAX(0,  (HLOOKUP(AZ$2,Earnings!$G$2:$BC$81,('Yearly Pension'!$A11)+1, FALSE)) - AZ$1), ((Assumptions!$B$8)*'Yearly Pension'!AZ$1))))</f>
        <v>720</v>
      </c>
      <c r="BA11" s="6">
        <f>(HLOOKUP('Yearly Pension'!BA$2,'Credited Service'!$G$1:$BC$80,$A11+1,FALSE)) * (IF($B11=500, (Assumptions!$B$7)*12, IF((HLOOKUP(BA$2,Earnings!$G$2:$BC$81,('Yearly Pension'!$A11)+1, FALSE)) &gt; BA$1, (Assumptions!$B$8)*(BA$1) + (Assumptions!$B$9)*MAX(0,  (HLOOKUP(BA$2,Earnings!$G$2:$BC$81,('Yearly Pension'!$A11)+1, FALSE)) - BA$1), ((Assumptions!$B$8)*'Yearly Pension'!BA$1))))</f>
        <v>720</v>
      </c>
      <c r="BB11" s="6">
        <f>(HLOOKUP('Yearly Pension'!BB$2,'Credited Service'!$G$1:$BC$80,$A11+1,FALSE)) * (IF($B11=500, (Assumptions!$B$7)*12, IF((HLOOKUP(BB$2,Earnings!$G$2:$BC$81,('Yearly Pension'!$A11)+1, FALSE)) &gt; BB$1, (Assumptions!$B$8)*(BB$1) + (Assumptions!$B$9)*MAX(0,  (HLOOKUP(BB$2,Earnings!$G$2:$BC$81,('Yearly Pension'!$A11)+1, FALSE)) - BB$1), ((Assumptions!$B$8)*'Yearly Pension'!BB$1))))</f>
        <v>720</v>
      </c>
      <c r="BC11" s="6">
        <f>(HLOOKUP('Yearly Pension'!BC$2,'Credited Service'!$G$1:$BC$80,$A11+1,FALSE)) * (IF($B11=500, (Assumptions!$B$7)*12, IF((HLOOKUP(BC$2,Earnings!$G$2:$BC$81,('Yearly Pension'!$A11)+1, FALSE)) &gt; BC$1, (Assumptions!$B$8)*(BC$1) + (Assumptions!$B$9)*MAX(0,  (HLOOKUP(BC$2,Earnings!$G$2:$BC$81,('Yearly Pension'!$A11)+1, FALSE)) - BC$1), ((Assumptions!$B$8)*'Yearly Pension'!BC$1))))</f>
        <v>720</v>
      </c>
    </row>
    <row r="12" spans="1:60" x14ac:dyDescent="0.25">
      <c r="A12" s="204">
        <v>10</v>
      </c>
      <c r="B12" s="1">
        <v>500</v>
      </c>
      <c r="C12" s="1">
        <v>780</v>
      </c>
      <c r="D12" s="3">
        <v>38446</v>
      </c>
      <c r="E12" s="3">
        <v>52932</v>
      </c>
      <c r="G12" s="6">
        <f>(HLOOKUP('Yearly Pension'!G$2,'Credited Service'!$G$1:$BC$80,$A12+1,FALSE)) * (IF($B12=500, (Assumptions!$B$7)*12, IF((HLOOKUP(G$2,Earnings!$G$2:$BC$81,('Yearly Pension'!$A12)+1, FALSE)) &gt; G$1, (Assumptions!$B$8)*(G$1) + (Assumptions!$B$9)*MAX(0,  (HLOOKUP(G$2,Earnings!$G$2:$BC$81,('Yearly Pension'!$A12)+1, FALSE)) - G$1), ((Assumptions!$B$8)*'Yearly Pension'!G$1))))</f>
        <v>0</v>
      </c>
      <c r="H12" s="6">
        <f>(HLOOKUP('Yearly Pension'!H$2,'Credited Service'!$G$1:$BC$80,$A12+1,FALSE)) * (IF($B12=500, (Assumptions!$B$7)*12, IF((HLOOKUP(H$2,Earnings!$G$2:$BC$81,('Yearly Pension'!$A12)+1, FALSE)) &gt; H$1, (Assumptions!$B$8)*(H$1) + (Assumptions!$B$9)*MAX(0,  (HLOOKUP(H$2,Earnings!$G$2:$BC$81,('Yearly Pension'!$A12)+1, FALSE)) - H$1), ((Assumptions!$B$8)*'Yearly Pension'!H$1))))</f>
        <v>0</v>
      </c>
      <c r="I12" s="6">
        <f>(HLOOKUP('Yearly Pension'!I$2,'Credited Service'!$G$1:$BC$80,$A12+1,FALSE)) * (IF($B12=500, (Assumptions!$B$7)*12, IF((HLOOKUP(I$2,Earnings!$G$2:$BC$81,('Yearly Pension'!$A12)+1, FALSE)) &gt; I$1, (Assumptions!$B$8)*(I$1) + (Assumptions!$B$9)*MAX(0,  (HLOOKUP(I$2,Earnings!$G$2:$BC$81,('Yearly Pension'!$A12)+1, FALSE)) - I$1), ((Assumptions!$B$8)*'Yearly Pension'!I$1))))</f>
        <v>0</v>
      </c>
      <c r="J12" s="6">
        <f>(HLOOKUP('Yearly Pension'!J$2,'Credited Service'!$G$1:$BC$80,$A12+1,FALSE)) * (IF($B12=500, (Assumptions!$B$7)*12, IF((HLOOKUP(J$2,Earnings!$G$2:$BC$81,('Yearly Pension'!$A12)+1, FALSE)) &gt; J$1, (Assumptions!$B$8)*(J$1) + (Assumptions!$B$9)*MAX(0,  (HLOOKUP(J$2,Earnings!$G$2:$BC$81,('Yearly Pension'!$A12)+1, FALSE)) - J$1), ((Assumptions!$B$8)*'Yearly Pension'!J$1))))</f>
        <v>0</v>
      </c>
      <c r="K12" s="6">
        <f>(HLOOKUP('Yearly Pension'!K$2,'Credited Service'!$G$1:$BC$80,$A12+1,FALSE)) * (IF($B12=500, (Assumptions!$B$7)*12, IF((HLOOKUP(K$2,Earnings!$G$2:$BC$81,('Yearly Pension'!$A12)+1, FALSE)) &gt; K$1, (Assumptions!$B$8)*(K$1) + (Assumptions!$B$9)*MAX(0,  (HLOOKUP(K$2,Earnings!$G$2:$BC$81,('Yearly Pension'!$A12)+1, FALSE)) - K$1), ((Assumptions!$B$8)*'Yearly Pension'!K$1))))</f>
        <v>0</v>
      </c>
      <c r="L12" s="6">
        <f>(HLOOKUP('Yearly Pension'!L$2,'Credited Service'!$G$1:$BC$80,$A12+1,FALSE)) * (IF($B12=500, (Assumptions!$B$7)*12, IF((HLOOKUP(L$2,Earnings!$G$2:$BC$81,('Yearly Pension'!$A12)+1, FALSE)) &gt; L$1, (Assumptions!$B$8)*(L$1) + (Assumptions!$B$9)*MAX(0,  (HLOOKUP(L$2,Earnings!$G$2:$BC$81,('Yearly Pension'!$A12)+1, FALSE)) - L$1), ((Assumptions!$B$8)*'Yearly Pension'!L$1))))</f>
        <v>0</v>
      </c>
      <c r="M12" s="6">
        <f>(HLOOKUP('Yearly Pension'!M$2,'Credited Service'!$G$1:$BC$80,$A12+1,FALSE)) * (IF($B12=500, (Assumptions!$B$7)*12, IF((HLOOKUP(M$2,Earnings!$G$2:$BC$81,('Yearly Pension'!$A12)+1, FALSE)) &gt; M$1, (Assumptions!$B$8)*(M$1) + (Assumptions!$B$9)*MAX(0,  (HLOOKUP(M$2,Earnings!$G$2:$BC$81,('Yearly Pension'!$A12)+1, FALSE)) - M$1), ((Assumptions!$B$8)*'Yearly Pension'!M$1))))</f>
        <v>0</v>
      </c>
      <c r="N12" s="6">
        <f>(HLOOKUP('Yearly Pension'!N$2,'Credited Service'!$G$1:$BC$80,$A12+1,FALSE)) * (IF($B12=500, (Assumptions!$B$7)*12, IF((HLOOKUP(N$2,Earnings!$G$2:$BC$81,('Yearly Pension'!$A12)+1, FALSE)) &gt; N$1, (Assumptions!$B$8)*(N$1) + (Assumptions!$B$9)*MAX(0,  (HLOOKUP(N$2,Earnings!$G$2:$BC$81,('Yearly Pension'!$A12)+1, FALSE)) - N$1), ((Assumptions!$B$8)*'Yearly Pension'!N$1))))</f>
        <v>0</v>
      </c>
      <c r="O12" s="6">
        <f>(HLOOKUP('Yearly Pension'!O$2,'Credited Service'!$G$1:$BC$80,$A12+1,FALSE)) * (IF($B12=500, (Assumptions!$B$7)*12, IF((HLOOKUP(O$2,Earnings!$G$2:$BC$81,('Yearly Pension'!$A12)+1, FALSE)) &gt; O$1, (Assumptions!$B$8)*(O$1) + (Assumptions!$B$9)*MAX(0,  (HLOOKUP(O$2,Earnings!$G$2:$BC$81,('Yearly Pension'!$A12)+1, FALSE)) - O$1), ((Assumptions!$B$8)*'Yearly Pension'!O$1))))</f>
        <v>0</v>
      </c>
      <c r="P12" s="6">
        <f>(HLOOKUP('Yearly Pension'!P$2,'Credited Service'!$G$1:$BC$80,$A12+1,FALSE)) * (IF($B12=500, (Assumptions!$B$7)*12, IF((HLOOKUP(P$2,Earnings!$G$2:$BC$81,('Yearly Pension'!$A12)+1, FALSE)) &gt; P$1, (Assumptions!$B$8)*(P$1) + (Assumptions!$B$9)*MAX(0,  (HLOOKUP(P$2,Earnings!$G$2:$BC$81,('Yearly Pension'!$A12)+1, FALSE)) - P$1), ((Assumptions!$B$8)*'Yearly Pension'!P$1))))</f>
        <v>0</v>
      </c>
      <c r="Q12" s="6">
        <f>(HLOOKUP('Yearly Pension'!Q$2,'Credited Service'!$G$1:$BC$80,$A12+1,FALSE)) * (IF($B12=500, (Assumptions!$B$7)*12, IF((HLOOKUP(Q$2,Earnings!$G$2:$BC$81,('Yearly Pension'!$A12)+1, FALSE)) &gt; Q$1, (Assumptions!$B$8)*(Q$1) + (Assumptions!$B$9)*MAX(0,  (HLOOKUP(Q$2,Earnings!$G$2:$BC$81,('Yearly Pension'!$A12)+1, FALSE)) - Q$1), ((Assumptions!$B$8)*'Yearly Pension'!Q$1))))</f>
        <v>0</v>
      </c>
      <c r="R12" s="6">
        <f>(HLOOKUP('Yearly Pension'!R$2,'Credited Service'!$G$1:$BC$80,$A12+1,FALSE)) * (IF($B12=500, (Assumptions!$B$7)*12, IF((HLOOKUP(R$2,Earnings!$G$2:$BC$81,('Yearly Pension'!$A12)+1, FALSE)) &gt; R$1, (Assumptions!$B$8)*(R$1) + (Assumptions!$B$9)*MAX(0,  (HLOOKUP(R$2,Earnings!$G$2:$BC$81,('Yearly Pension'!$A12)+1, FALSE)) - R$1), ((Assumptions!$B$8)*'Yearly Pension'!R$1))))</f>
        <v>0</v>
      </c>
      <c r="S12" s="6">
        <f>(HLOOKUP('Yearly Pension'!S$2,'Credited Service'!$G$1:$BC$80,$A12+1,FALSE)) * (IF($B12=500, (Assumptions!$B$7)*12, IF((HLOOKUP(S$2,Earnings!$G$2:$BC$81,('Yearly Pension'!$A12)+1, FALSE)) &gt; S$1, (Assumptions!$B$8)*(S$1) + (Assumptions!$B$9)*MAX(0,  (HLOOKUP(S$2,Earnings!$G$2:$BC$81,('Yearly Pension'!$A12)+1, FALSE)) - S$1), ((Assumptions!$B$8)*'Yearly Pension'!S$1))))</f>
        <v>0</v>
      </c>
      <c r="T12" s="6">
        <f>(HLOOKUP('Yearly Pension'!T$2,'Credited Service'!$G$1:$BC$80,$A12+1,FALSE)) * (IF($B12=500, (Assumptions!$B$7)*12, IF((HLOOKUP(T$2,Earnings!$G$2:$BC$81,('Yearly Pension'!$A12)+1, FALSE)) &gt; T$1, (Assumptions!$B$8)*(T$1) + (Assumptions!$B$9)*MAX(0,  (HLOOKUP(T$2,Earnings!$G$2:$BC$81,('Yearly Pension'!$A12)+1, FALSE)) - T$1), ((Assumptions!$B$8)*'Yearly Pension'!T$1))))</f>
        <v>0</v>
      </c>
      <c r="U12" s="6">
        <f>(HLOOKUP('Yearly Pension'!U$2,'Credited Service'!$G$1:$BC$80,$A12+1,FALSE)) * (IF($B12=500, (Assumptions!$B$7)*12, IF((HLOOKUP(U$2,Earnings!$G$2:$BC$81,('Yearly Pension'!$A12)+1, FALSE)) &gt; U$1, (Assumptions!$B$8)*(U$1) + (Assumptions!$B$9)*MAX(0,  (HLOOKUP(U$2,Earnings!$G$2:$BC$81,('Yearly Pension'!$A12)+1, FALSE)) - U$1), ((Assumptions!$B$8)*'Yearly Pension'!U$1))))</f>
        <v>0</v>
      </c>
      <c r="V12" s="6">
        <f>(HLOOKUP('Yearly Pension'!V$2,'Credited Service'!$G$1:$BC$80,$A12+1,FALSE)) * (IF($B12=500, (Assumptions!$B$7)*12, IF((HLOOKUP(V$2,Earnings!$G$2:$BC$81,('Yearly Pension'!$A12)+1, FALSE)) &gt; V$1, (Assumptions!$B$8)*(V$1) + (Assumptions!$B$9)*MAX(0,  (HLOOKUP(V$2,Earnings!$G$2:$BC$81,('Yearly Pension'!$A12)+1, FALSE)) - V$1), ((Assumptions!$B$8)*'Yearly Pension'!V$1))))</f>
        <v>0</v>
      </c>
      <c r="W12" s="6">
        <f>(HLOOKUP('Yearly Pension'!W$2,'Credited Service'!$G$1:$BC$80,$A12+1,FALSE)) * (IF($B12=500, (Assumptions!$B$7)*12, IF((HLOOKUP(W$2,Earnings!$G$2:$BC$81,('Yearly Pension'!$A12)+1, FALSE)) &gt; W$1, (Assumptions!$B$8)*(W$1) + (Assumptions!$B$9)*MAX(0,  (HLOOKUP(W$2,Earnings!$G$2:$BC$81,('Yearly Pension'!$A12)+1, FALSE)) - W$1), ((Assumptions!$B$8)*'Yearly Pension'!W$1))))</f>
        <v>0</v>
      </c>
      <c r="X12" s="6">
        <f>(HLOOKUP('Yearly Pension'!X$2,'Credited Service'!$G$1:$BC$80,$A12+1,FALSE)) * (IF($B12=500, (Assumptions!$B$7)*12, IF((HLOOKUP(X$2,Earnings!$G$2:$BC$81,('Yearly Pension'!$A12)+1, FALSE)) &gt; X$1, (Assumptions!$B$8)*(X$1) + (Assumptions!$B$9)*MAX(0,  (HLOOKUP(X$2,Earnings!$G$2:$BC$81,('Yearly Pension'!$A12)+1, FALSE)) - X$1), ((Assumptions!$B$8)*'Yearly Pension'!X$1))))</f>
        <v>0</v>
      </c>
      <c r="Y12" s="6">
        <f>(HLOOKUP('Yearly Pension'!Y$2,'Credited Service'!$G$1:$BC$80,$A12+1,FALSE)) * (IF($B12=500, (Assumptions!$B$7)*12, IF((HLOOKUP(Y$2,Earnings!$G$2:$BC$81,('Yearly Pension'!$A12)+1, FALSE)) &gt; Y$1, (Assumptions!$B$8)*(Y$1) + (Assumptions!$B$9)*MAX(0,  (HLOOKUP(Y$2,Earnings!$G$2:$BC$81,('Yearly Pension'!$A12)+1, FALSE)) - Y$1), ((Assumptions!$B$8)*'Yearly Pension'!Y$1))))</f>
        <v>0</v>
      </c>
      <c r="Z12" s="6">
        <f>(HLOOKUP('Yearly Pension'!Z$2,'Credited Service'!$G$1:$BC$80,$A12+1,FALSE)) * (IF($B12=500, (Assumptions!$B$7)*12, IF((HLOOKUP(Z$2,Earnings!$G$2:$BC$81,('Yearly Pension'!$A12)+1, FALSE)) &gt; Z$1, (Assumptions!$B$8)*(Z$1) + (Assumptions!$B$9)*MAX(0,  (HLOOKUP(Z$2,Earnings!$G$2:$BC$81,('Yearly Pension'!$A12)+1, FALSE)) - Z$1), ((Assumptions!$B$8)*'Yearly Pension'!Z$1))))</f>
        <v>0</v>
      </c>
      <c r="AA12" s="6">
        <f>(HLOOKUP('Yearly Pension'!AA$2,'Credited Service'!$G$1:$BC$80,$A12+1,FALSE)) * (IF($B12=500, (Assumptions!$B$7)*12, IF((HLOOKUP(AA$2,Earnings!$G$2:$BC$81,('Yearly Pension'!$A12)+1, FALSE)) &gt; AA$1, (Assumptions!$B$8)*(AA$1) + (Assumptions!$B$9)*MAX(0,  (HLOOKUP(AA$2,Earnings!$G$2:$BC$81,('Yearly Pension'!$A12)+1, FALSE)) - AA$1), ((Assumptions!$B$8)*'Yearly Pension'!AA$1))))</f>
        <v>0</v>
      </c>
      <c r="AB12" s="6">
        <f>(HLOOKUP('Yearly Pension'!AB$2,'Credited Service'!$G$1:$BC$80,$A12+1,FALSE)) * (IF($B12=500, (Assumptions!$B$7)*12, IF((HLOOKUP(AB$2,Earnings!$G$2:$BC$81,('Yearly Pension'!$A12)+1, FALSE)) &gt; AB$1, (Assumptions!$B$8)*(AB$1) + (Assumptions!$B$9)*MAX(0,  (HLOOKUP(AB$2,Earnings!$G$2:$BC$81,('Yearly Pension'!$A12)+1, FALSE)) - AB$1), ((Assumptions!$B$8)*'Yearly Pension'!AB$1))))</f>
        <v>0</v>
      </c>
      <c r="AC12" s="6">
        <f>(HLOOKUP('Yearly Pension'!AC$2,'Credited Service'!$G$1:$BC$80,$A12+1,FALSE)) * (IF($B12=500, (Assumptions!$B$7)*12, IF((HLOOKUP(AC$2,Earnings!$G$2:$BC$81,('Yearly Pension'!$A12)+1, FALSE)) &gt; AC$1, (Assumptions!$B$8)*(AC$1) + (Assumptions!$B$9)*MAX(0,  (HLOOKUP(AC$2,Earnings!$G$2:$BC$81,('Yearly Pension'!$A12)+1, FALSE)) - AC$1), ((Assumptions!$B$8)*'Yearly Pension'!AC$1))))</f>
        <v>0</v>
      </c>
      <c r="AD12" s="6">
        <f>(HLOOKUP('Yearly Pension'!AD$2,'Credited Service'!$G$1:$BC$80,$A12+1,FALSE)) * (IF($B12=500, (Assumptions!$B$7)*12, IF((HLOOKUP(AD$2,Earnings!$G$2:$BC$81,('Yearly Pension'!$A12)+1, FALSE)) &gt; AD$1, (Assumptions!$B$8)*(AD$1) + (Assumptions!$B$9)*MAX(0,  (HLOOKUP(AD$2,Earnings!$G$2:$BC$81,('Yearly Pension'!$A12)+1, FALSE)) - AD$1), ((Assumptions!$B$8)*'Yearly Pension'!AD$1))))</f>
        <v>0</v>
      </c>
      <c r="AE12" s="6">
        <f>(HLOOKUP('Yearly Pension'!AE$2,'Credited Service'!$G$1:$BC$80,$A12+1,FALSE)) * (IF($B12=500, (Assumptions!$B$7)*12, IF((HLOOKUP(AE$2,Earnings!$G$2:$BC$81,('Yearly Pension'!$A12)+1, FALSE)) &gt; AE$1, (Assumptions!$B$8)*(AE$1) + (Assumptions!$B$9)*MAX(0,  (HLOOKUP(AE$2,Earnings!$G$2:$BC$81,('Yearly Pension'!$A12)+1, FALSE)) - AE$1), ((Assumptions!$B$8)*'Yearly Pension'!AE$1))))</f>
        <v>0</v>
      </c>
      <c r="AF12" s="6">
        <f>(HLOOKUP('Yearly Pension'!AF$2,'Credited Service'!$G$1:$BC$80,$A12+1,FALSE)) * (IF($B12=500, (Assumptions!$B$7)*12, IF((HLOOKUP(AF$2,Earnings!$G$2:$BC$81,('Yearly Pension'!$A12)+1, FALSE)) &gt; AF$1, (Assumptions!$B$8)*(AF$1) + (Assumptions!$B$9)*MAX(0,  (HLOOKUP(AF$2,Earnings!$G$2:$BC$81,('Yearly Pension'!$A12)+1, FALSE)) - AF$1), ((Assumptions!$B$8)*'Yearly Pension'!AF$1))))</f>
        <v>0</v>
      </c>
      <c r="AG12" s="6">
        <f>(HLOOKUP('Yearly Pension'!AG$2,'Credited Service'!$G$1:$BC$80,$A12+1,FALSE)) * (IF($B12=500, (Assumptions!$B$7)*12, IF((HLOOKUP(AG$2,Earnings!$G$2:$BC$81,('Yearly Pension'!$A12)+1, FALSE)) &gt; AG$1, (Assumptions!$B$8)*(AG$1) + (Assumptions!$B$9)*MAX(0,  (HLOOKUP(AG$2,Earnings!$G$2:$BC$81,('Yearly Pension'!$A12)+1, FALSE)) - AG$1), ((Assumptions!$B$8)*'Yearly Pension'!AG$1))))</f>
        <v>0</v>
      </c>
      <c r="AH12" s="6">
        <f>(HLOOKUP('Yearly Pension'!AH$2,'Credited Service'!$G$1:$BC$80,$A12+1,FALSE)) * (IF($B12=500, (Assumptions!$B$7)*12, IF((HLOOKUP(AH$2,Earnings!$G$2:$BC$81,('Yearly Pension'!$A12)+1, FALSE)) &gt; AH$1, (Assumptions!$B$8)*(AH$1) + (Assumptions!$B$9)*MAX(0,  (HLOOKUP(AH$2,Earnings!$G$2:$BC$81,('Yearly Pension'!$A12)+1, FALSE)) - AH$1), ((Assumptions!$B$8)*'Yearly Pension'!AH$1))))</f>
        <v>0</v>
      </c>
      <c r="AI12" s="6">
        <f>(HLOOKUP('Yearly Pension'!AI$2,'Credited Service'!$G$1:$BC$80,$A12+1,FALSE)) * (IF($B12=500, (Assumptions!$B$7)*12, IF((HLOOKUP(AI$2,Earnings!$G$2:$BC$81,('Yearly Pension'!$A12)+1, FALSE)) &gt; AI$1, (Assumptions!$B$8)*(AI$1) + (Assumptions!$B$9)*MAX(0,  (HLOOKUP(AI$2,Earnings!$G$2:$BC$81,('Yearly Pension'!$A12)+1, FALSE)) - AI$1), ((Assumptions!$B$8)*'Yearly Pension'!AI$1))))</f>
        <v>480</v>
      </c>
      <c r="AJ12" s="6">
        <f>(HLOOKUP('Yearly Pension'!AJ$2,'Credited Service'!$G$1:$BC$80,$A12+1,FALSE)) * (IF($B12=500, (Assumptions!$B$7)*12, IF((HLOOKUP(AJ$2,Earnings!$G$2:$BC$81,('Yearly Pension'!$A12)+1, FALSE)) &gt; AJ$1, (Assumptions!$B$8)*(AJ$1) + (Assumptions!$B$9)*MAX(0,  (HLOOKUP(AJ$2,Earnings!$G$2:$BC$81,('Yearly Pension'!$A12)+1, FALSE)) - AJ$1), ((Assumptions!$B$8)*'Yearly Pension'!AJ$1))))</f>
        <v>720</v>
      </c>
      <c r="AK12" s="6">
        <f>(HLOOKUP('Yearly Pension'!AK$2,'Credited Service'!$G$1:$BC$80,$A12+1,FALSE)) * (IF($B12=500, (Assumptions!$B$7)*12, IF((HLOOKUP(AK$2,Earnings!$G$2:$BC$81,('Yearly Pension'!$A12)+1, FALSE)) &gt; AK$1, (Assumptions!$B$8)*(AK$1) + (Assumptions!$B$9)*MAX(0,  (HLOOKUP(AK$2,Earnings!$G$2:$BC$81,('Yearly Pension'!$A12)+1, FALSE)) - AK$1), ((Assumptions!$B$8)*'Yearly Pension'!AK$1))))</f>
        <v>720</v>
      </c>
      <c r="AL12" s="6">
        <f>(HLOOKUP('Yearly Pension'!AL$2,'Credited Service'!$G$1:$BC$80,$A12+1,FALSE)) * (IF($B12=500, (Assumptions!$B$7)*12, IF((HLOOKUP(AL$2,Earnings!$G$2:$BC$81,('Yearly Pension'!$A12)+1, FALSE)) &gt; AL$1, (Assumptions!$B$8)*(AL$1) + (Assumptions!$B$9)*MAX(0,  (HLOOKUP(AL$2,Earnings!$G$2:$BC$81,('Yearly Pension'!$A12)+1, FALSE)) - AL$1), ((Assumptions!$B$8)*'Yearly Pension'!AL$1))))</f>
        <v>720</v>
      </c>
      <c r="AM12" s="6">
        <f>(HLOOKUP('Yearly Pension'!AM$2,'Credited Service'!$G$1:$BC$80,$A12+1,FALSE)) * (IF($B12=500, (Assumptions!$B$7)*12, IF((HLOOKUP(AM$2,Earnings!$G$2:$BC$81,('Yearly Pension'!$A12)+1, FALSE)) &gt; AM$1, (Assumptions!$B$8)*(AM$1) + (Assumptions!$B$9)*MAX(0,  (HLOOKUP(AM$2,Earnings!$G$2:$BC$81,('Yearly Pension'!$A12)+1, FALSE)) - AM$1), ((Assumptions!$B$8)*'Yearly Pension'!AM$1))))</f>
        <v>720</v>
      </c>
      <c r="AN12" s="6">
        <f>(HLOOKUP('Yearly Pension'!AN$2,'Credited Service'!$G$1:$BC$80,$A12+1,FALSE)) * (IF($B12=500, (Assumptions!$B$7)*12, IF((HLOOKUP(AN$2,Earnings!$G$2:$BC$81,('Yearly Pension'!$A12)+1, FALSE)) &gt; AN$1, (Assumptions!$B$8)*(AN$1) + (Assumptions!$B$9)*MAX(0,  (HLOOKUP(AN$2,Earnings!$G$2:$BC$81,('Yearly Pension'!$A12)+1, FALSE)) - AN$1), ((Assumptions!$B$8)*'Yearly Pension'!AN$1))))</f>
        <v>720</v>
      </c>
      <c r="AO12" s="6">
        <f>(HLOOKUP('Yearly Pension'!AO$2,'Credited Service'!$G$1:$BC$80,$A12+1,FALSE)) * (IF($B12=500, (Assumptions!$B$7)*12, IF((HLOOKUP(AO$2,Earnings!$G$2:$BC$81,('Yearly Pension'!$A12)+1, FALSE)) &gt; AO$1, (Assumptions!$B$8)*(AO$1) + (Assumptions!$B$9)*MAX(0,  (HLOOKUP(AO$2,Earnings!$G$2:$BC$81,('Yearly Pension'!$A12)+1, FALSE)) - AO$1), ((Assumptions!$B$8)*'Yearly Pension'!AO$1))))</f>
        <v>720</v>
      </c>
      <c r="AP12" s="6">
        <f>(HLOOKUP('Yearly Pension'!AP$2,'Credited Service'!$G$1:$BC$80,$A12+1,FALSE)) * (IF($B12=500, (Assumptions!$B$7)*12, IF((HLOOKUP(AP$2,Earnings!$G$2:$BC$81,('Yearly Pension'!$A12)+1, FALSE)) &gt; AP$1, (Assumptions!$B$8)*(AP$1) + (Assumptions!$B$9)*MAX(0,  (HLOOKUP(AP$2,Earnings!$G$2:$BC$81,('Yearly Pension'!$A12)+1, FALSE)) - AP$1), ((Assumptions!$B$8)*'Yearly Pension'!AP$1))))</f>
        <v>720</v>
      </c>
      <c r="AQ12" s="6">
        <f>(HLOOKUP('Yearly Pension'!AQ$2,'Credited Service'!$G$1:$BC$80,$A12+1,FALSE)) * (IF($B12=500, (Assumptions!$B$7)*12, IF((HLOOKUP(AQ$2,Earnings!$G$2:$BC$81,('Yearly Pension'!$A12)+1, FALSE)) &gt; AQ$1, (Assumptions!$B$8)*(AQ$1) + (Assumptions!$B$9)*MAX(0,  (HLOOKUP(AQ$2,Earnings!$G$2:$BC$81,('Yearly Pension'!$A12)+1, FALSE)) - AQ$1), ((Assumptions!$B$8)*'Yearly Pension'!AQ$1))))</f>
        <v>720</v>
      </c>
      <c r="AR12" s="6">
        <f>(HLOOKUP('Yearly Pension'!AR$2,'Credited Service'!$G$1:$BC$80,$A12+1,FALSE)) * (IF($B12=500, (Assumptions!$B$7)*12, IF((HLOOKUP(AR$2,Earnings!$G$2:$BC$81,('Yearly Pension'!$A12)+1, FALSE)) &gt; AR$1, (Assumptions!$B$8)*(AR$1) + (Assumptions!$B$9)*MAX(0,  (HLOOKUP(AR$2,Earnings!$G$2:$BC$81,('Yearly Pension'!$A12)+1, FALSE)) - AR$1), ((Assumptions!$B$8)*'Yearly Pension'!AR$1))))</f>
        <v>720</v>
      </c>
      <c r="AS12" s="6">
        <f>(HLOOKUP('Yearly Pension'!AS$2,'Credited Service'!$G$1:$BC$80,$A12+1,FALSE)) * (IF($B12=500, (Assumptions!$B$7)*12, IF((HLOOKUP(AS$2,Earnings!$G$2:$BC$81,('Yearly Pension'!$A12)+1, FALSE)) &gt; AS$1, (Assumptions!$B$8)*(AS$1) + (Assumptions!$B$9)*MAX(0,  (HLOOKUP(AS$2,Earnings!$G$2:$BC$81,('Yearly Pension'!$A12)+1, FALSE)) - AS$1), ((Assumptions!$B$8)*'Yearly Pension'!AS$1))))</f>
        <v>720</v>
      </c>
      <c r="AT12" s="6">
        <f>(HLOOKUP('Yearly Pension'!AT$2,'Credited Service'!$G$1:$BC$80,$A12+1,FALSE)) * (IF($B12=500, (Assumptions!$B$7)*12, IF((HLOOKUP(AT$2,Earnings!$G$2:$BC$81,('Yearly Pension'!$A12)+1, FALSE)) &gt; AT$1, (Assumptions!$B$8)*(AT$1) + (Assumptions!$B$9)*MAX(0,  (HLOOKUP(AT$2,Earnings!$G$2:$BC$81,('Yearly Pension'!$A12)+1, FALSE)) - AT$1), ((Assumptions!$B$8)*'Yearly Pension'!AT$1))))</f>
        <v>720</v>
      </c>
      <c r="AU12" s="6">
        <f>(HLOOKUP('Yearly Pension'!AU$2,'Credited Service'!$G$1:$BC$80,$A12+1,FALSE)) * (IF($B12=500, (Assumptions!$B$7)*12, IF((HLOOKUP(AU$2,Earnings!$G$2:$BC$81,('Yearly Pension'!$A12)+1, FALSE)) &gt; AU$1, (Assumptions!$B$8)*(AU$1) + (Assumptions!$B$9)*MAX(0,  (HLOOKUP(AU$2,Earnings!$G$2:$BC$81,('Yearly Pension'!$A12)+1, FALSE)) - AU$1), ((Assumptions!$B$8)*'Yearly Pension'!AU$1))))</f>
        <v>720</v>
      </c>
      <c r="AV12" s="6">
        <f>(HLOOKUP('Yearly Pension'!AV$2,'Credited Service'!$G$1:$BC$80,$A12+1,FALSE)) * (IF($B12=500, (Assumptions!$B$7)*12, IF((HLOOKUP(AV$2,Earnings!$G$2:$BC$81,('Yearly Pension'!$A12)+1, FALSE)) &gt; AV$1, (Assumptions!$B$8)*(AV$1) + (Assumptions!$B$9)*MAX(0,  (HLOOKUP(AV$2,Earnings!$G$2:$BC$81,('Yearly Pension'!$A12)+1, FALSE)) - AV$1), ((Assumptions!$B$8)*'Yearly Pension'!AV$1))))</f>
        <v>720</v>
      </c>
      <c r="AW12" s="6">
        <f>(HLOOKUP('Yearly Pension'!AW$2,'Credited Service'!$G$1:$BC$80,$A12+1,FALSE)) * (IF($B12=500, (Assumptions!$B$7)*12, IF((HLOOKUP(AW$2,Earnings!$G$2:$BC$81,('Yearly Pension'!$A12)+1, FALSE)) &gt; AW$1, (Assumptions!$B$8)*(AW$1) + (Assumptions!$B$9)*MAX(0,  (HLOOKUP(AW$2,Earnings!$G$2:$BC$81,('Yearly Pension'!$A12)+1, FALSE)) - AW$1), ((Assumptions!$B$8)*'Yearly Pension'!AW$1))))</f>
        <v>720</v>
      </c>
      <c r="AX12" s="6">
        <f>(HLOOKUP('Yearly Pension'!AX$2,'Credited Service'!$G$1:$BC$80,$A12+1,FALSE)) * (IF($B12=500, (Assumptions!$B$7)*12, IF((HLOOKUP(AX$2,Earnings!$G$2:$BC$81,('Yearly Pension'!$A12)+1, FALSE)) &gt; AX$1, (Assumptions!$B$8)*(AX$1) + (Assumptions!$B$9)*MAX(0,  (HLOOKUP(AX$2,Earnings!$G$2:$BC$81,('Yearly Pension'!$A12)+1, FALSE)) - AX$1), ((Assumptions!$B$8)*'Yearly Pension'!AX$1))))</f>
        <v>720</v>
      </c>
      <c r="AY12" s="6">
        <f>(HLOOKUP('Yearly Pension'!AY$2,'Credited Service'!$G$1:$BC$80,$A12+1,FALSE)) * (IF($B12=500, (Assumptions!$B$7)*12, IF((HLOOKUP(AY$2,Earnings!$G$2:$BC$81,('Yearly Pension'!$A12)+1, FALSE)) &gt; AY$1, (Assumptions!$B$8)*(AY$1) + (Assumptions!$B$9)*MAX(0,  (HLOOKUP(AY$2,Earnings!$G$2:$BC$81,('Yearly Pension'!$A12)+1, FALSE)) - AY$1), ((Assumptions!$B$8)*'Yearly Pension'!AY$1))))</f>
        <v>720</v>
      </c>
      <c r="AZ12" s="6">
        <f>(HLOOKUP('Yearly Pension'!AZ$2,'Credited Service'!$G$1:$BC$80,$A12+1,FALSE)) * (IF($B12=500, (Assumptions!$B$7)*12, IF((HLOOKUP(AZ$2,Earnings!$G$2:$BC$81,('Yearly Pension'!$A12)+1, FALSE)) &gt; AZ$1, (Assumptions!$B$8)*(AZ$1) + (Assumptions!$B$9)*MAX(0,  (HLOOKUP(AZ$2,Earnings!$G$2:$BC$81,('Yearly Pension'!$A12)+1, FALSE)) - AZ$1), ((Assumptions!$B$8)*'Yearly Pension'!AZ$1))))</f>
        <v>720</v>
      </c>
      <c r="BA12" s="6">
        <f>(HLOOKUP('Yearly Pension'!BA$2,'Credited Service'!$G$1:$BC$80,$A12+1,FALSE)) * (IF($B12=500, (Assumptions!$B$7)*12, IF((HLOOKUP(BA$2,Earnings!$G$2:$BC$81,('Yearly Pension'!$A12)+1, FALSE)) &gt; BA$1, (Assumptions!$B$8)*(BA$1) + (Assumptions!$B$9)*MAX(0,  (HLOOKUP(BA$2,Earnings!$G$2:$BC$81,('Yearly Pension'!$A12)+1, FALSE)) - BA$1), ((Assumptions!$B$8)*'Yearly Pension'!BA$1))))</f>
        <v>720</v>
      </c>
      <c r="BB12" s="6">
        <f>(HLOOKUP('Yearly Pension'!BB$2,'Credited Service'!$G$1:$BC$80,$A12+1,FALSE)) * (IF($B12=500, (Assumptions!$B$7)*12, IF((HLOOKUP(BB$2,Earnings!$G$2:$BC$81,('Yearly Pension'!$A12)+1, FALSE)) &gt; BB$1, (Assumptions!$B$8)*(BB$1) + (Assumptions!$B$9)*MAX(0,  (HLOOKUP(BB$2,Earnings!$G$2:$BC$81,('Yearly Pension'!$A12)+1, FALSE)) - BB$1), ((Assumptions!$B$8)*'Yearly Pension'!BB$1))))</f>
        <v>720</v>
      </c>
      <c r="BC12" s="6">
        <f>(HLOOKUP('Yearly Pension'!BC$2,'Credited Service'!$G$1:$BC$80,$A12+1,FALSE)) * (IF($B12=500, (Assumptions!$B$7)*12, IF((HLOOKUP(BC$2,Earnings!$G$2:$BC$81,('Yearly Pension'!$A12)+1, FALSE)) &gt; BC$1, (Assumptions!$B$8)*(BC$1) + (Assumptions!$B$9)*MAX(0,  (HLOOKUP(BC$2,Earnings!$G$2:$BC$81,('Yearly Pension'!$A12)+1, FALSE)) - BC$1), ((Assumptions!$B$8)*'Yearly Pension'!BC$1))))</f>
        <v>720</v>
      </c>
    </row>
    <row r="13" spans="1:60" x14ac:dyDescent="0.25">
      <c r="A13" s="204">
        <v>11</v>
      </c>
      <c r="B13" s="1">
        <v>500</v>
      </c>
      <c r="C13" s="1">
        <v>779</v>
      </c>
      <c r="D13" s="3">
        <v>38397</v>
      </c>
      <c r="E13" s="3">
        <v>48519</v>
      </c>
      <c r="G13" s="6">
        <f>(HLOOKUP('Yearly Pension'!G$2,'Credited Service'!$G$1:$BC$80,$A13+1,FALSE)) * (IF($B13=500, (Assumptions!$B$7)*12, IF((HLOOKUP(G$2,Earnings!$G$2:$BC$81,('Yearly Pension'!$A13)+1, FALSE)) &gt; G$1, (Assumptions!$B$8)*(G$1) + (Assumptions!$B$9)*MAX(0,  (HLOOKUP(G$2,Earnings!$G$2:$BC$81,('Yearly Pension'!$A13)+1, FALSE)) - G$1), ((Assumptions!$B$8)*'Yearly Pension'!G$1))))</f>
        <v>0</v>
      </c>
      <c r="H13" s="6">
        <f>(HLOOKUP('Yearly Pension'!H$2,'Credited Service'!$G$1:$BC$80,$A13+1,FALSE)) * (IF($B13=500, (Assumptions!$B$7)*12, IF((HLOOKUP(H$2,Earnings!$G$2:$BC$81,('Yearly Pension'!$A13)+1, FALSE)) &gt; H$1, (Assumptions!$B$8)*(H$1) + (Assumptions!$B$9)*MAX(0,  (HLOOKUP(H$2,Earnings!$G$2:$BC$81,('Yearly Pension'!$A13)+1, FALSE)) - H$1), ((Assumptions!$B$8)*'Yearly Pension'!H$1))))</f>
        <v>0</v>
      </c>
      <c r="I13" s="6">
        <f>(HLOOKUP('Yearly Pension'!I$2,'Credited Service'!$G$1:$BC$80,$A13+1,FALSE)) * (IF($B13=500, (Assumptions!$B$7)*12, IF((HLOOKUP(I$2,Earnings!$G$2:$BC$81,('Yearly Pension'!$A13)+1, FALSE)) &gt; I$1, (Assumptions!$B$8)*(I$1) + (Assumptions!$B$9)*MAX(0,  (HLOOKUP(I$2,Earnings!$G$2:$BC$81,('Yearly Pension'!$A13)+1, FALSE)) - I$1), ((Assumptions!$B$8)*'Yearly Pension'!I$1))))</f>
        <v>0</v>
      </c>
      <c r="J13" s="6">
        <f>(HLOOKUP('Yearly Pension'!J$2,'Credited Service'!$G$1:$BC$80,$A13+1,FALSE)) * (IF($B13=500, (Assumptions!$B$7)*12, IF((HLOOKUP(J$2,Earnings!$G$2:$BC$81,('Yearly Pension'!$A13)+1, FALSE)) &gt; J$1, (Assumptions!$B$8)*(J$1) + (Assumptions!$B$9)*MAX(0,  (HLOOKUP(J$2,Earnings!$G$2:$BC$81,('Yearly Pension'!$A13)+1, FALSE)) - J$1), ((Assumptions!$B$8)*'Yearly Pension'!J$1))))</f>
        <v>0</v>
      </c>
      <c r="K13" s="6">
        <f>(HLOOKUP('Yearly Pension'!K$2,'Credited Service'!$G$1:$BC$80,$A13+1,FALSE)) * (IF($B13=500, (Assumptions!$B$7)*12, IF((HLOOKUP(K$2,Earnings!$G$2:$BC$81,('Yearly Pension'!$A13)+1, FALSE)) &gt; K$1, (Assumptions!$B$8)*(K$1) + (Assumptions!$B$9)*MAX(0,  (HLOOKUP(K$2,Earnings!$G$2:$BC$81,('Yearly Pension'!$A13)+1, FALSE)) - K$1), ((Assumptions!$B$8)*'Yearly Pension'!K$1))))</f>
        <v>0</v>
      </c>
      <c r="L13" s="6">
        <f>(HLOOKUP('Yearly Pension'!L$2,'Credited Service'!$G$1:$BC$80,$A13+1,FALSE)) * (IF($B13=500, (Assumptions!$B$7)*12, IF((HLOOKUP(L$2,Earnings!$G$2:$BC$81,('Yearly Pension'!$A13)+1, FALSE)) &gt; L$1, (Assumptions!$B$8)*(L$1) + (Assumptions!$B$9)*MAX(0,  (HLOOKUP(L$2,Earnings!$G$2:$BC$81,('Yearly Pension'!$A13)+1, FALSE)) - L$1), ((Assumptions!$B$8)*'Yearly Pension'!L$1))))</f>
        <v>0</v>
      </c>
      <c r="M13" s="6">
        <f>(HLOOKUP('Yearly Pension'!M$2,'Credited Service'!$G$1:$BC$80,$A13+1,FALSE)) * (IF($B13=500, (Assumptions!$B$7)*12, IF((HLOOKUP(M$2,Earnings!$G$2:$BC$81,('Yearly Pension'!$A13)+1, FALSE)) &gt; M$1, (Assumptions!$B$8)*(M$1) + (Assumptions!$B$9)*MAX(0,  (HLOOKUP(M$2,Earnings!$G$2:$BC$81,('Yearly Pension'!$A13)+1, FALSE)) - M$1), ((Assumptions!$B$8)*'Yearly Pension'!M$1))))</f>
        <v>0</v>
      </c>
      <c r="N13" s="6">
        <f>(HLOOKUP('Yearly Pension'!N$2,'Credited Service'!$G$1:$BC$80,$A13+1,FALSE)) * (IF($B13=500, (Assumptions!$B$7)*12, IF((HLOOKUP(N$2,Earnings!$G$2:$BC$81,('Yearly Pension'!$A13)+1, FALSE)) &gt; N$1, (Assumptions!$B$8)*(N$1) + (Assumptions!$B$9)*MAX(0,  (HLOOKUP(N$2,Earnings!$G$2:$BC$81,('Yearly Pension'!$A13)+1, FALSE)) - N$1), ((Assumptions!$B$8)*'Yearly Pension'!N$1))))</f>
        <v>0</v>
      </c>
      <c r="O13" s="6">
        <f>(HLOOKUP('Yearly Pension'!O$2,'Credited Service'!$G$1:$BC$80,$A13+1,FALSE)) * (IF($B13=500, (Assumptions!$B$7)*12, IF((HLOOKUP(O$2,Earnings!$G$2:$BC$81,('Yearly Pension'!$A13)+1, FALSE)) &gt; O$1, (Assumptions!$B$8)*(O$1) + (Assumptions!$B$9)*MAX(0,  (HLOOKUP(O$2,Earnings!$G$2:$BC$81,('Yearly Pension'!$A13)+1, FALSE)) - O$1), ((Assumptions!$B$8)*'Yearly Pension'!O$1))))</f>
        <v>0</v>
      </c>
      <c r="P13" s="6">
        <f>(HLOOKUP('Yearly Pension'!P$2,'Credited Service'!$G$1:$BC$80,$A13+1,FALSE)) * (IF($B13=500, (Assumptions!$B$7)*12, IF((HLOOKUP(P$2,Earnings!$G$2:$BC$81,('Yearly Pension'!$A13)+1, FALSE)) &gt; P$1, (Assumptions!$B$8)*(P$1) + (Assumptions!$B$9)*MAX(0,  (HLOOKUP(P$2,Earnings!$G$2:$BC$81,('Yearly Pension'!$A13)+1, FALSE)) - P$1), ((Assumptions!$B$8)*'Yearly Pension'!P$1))))</f>
        <v>0</v>
      </c>
      <c r="Q13" s="6">
        <f>(HLOOKUP('Yearly Pension'!Q$2,'Credited Service'!$G$1:$BC$80,$A13+1,FALSE)) * (IF($B13=500, (Assumptions!$B$7)*12, IF((HLOOKUP(Q$2,Earnings!$G$2:$BC$81,('Yearly Pension'!$A13)+1, FALSE)) &gt; Q$1, (Assumptions!$B$8)*(Q$1) + (Assumptions!$B$9)*MAX(0,  (HLOOKUP(Q$2,Earnings!$G$2:$BC$81,('Yearly Pension'!$A13)+1, FALSE)) - Q$1), ((Assumptions!$B$8)*'Yearly Pension'!Q$1))))</f>
        <v>0</v>
      </c>
      <c r="R13" s="6">
        <f>(HLOOKUP('Yearly Pension'!R$2,'Credited Service'!$G$1:$BC$80,$A13+1,FALSE)) * (IF($B13=500, (Assumptions!$B$7)*12, IF((HLOOKUP(R$2,Earnings!$G$2:$BC$81,('Yearly Pension'!$A13)+1, FALSE)) &gt; R$1, (Assumptions!$B$8)*(R$1) + (Assumptions!$B$9)*MAX(0,  (HLOOKUP(R$2,Earnings!$G$2:$BC$81,('Yearly Pension'!$A13)+1, FALSE)) - R$1), ((Assumptions!$B$8)*'Yearly Pension'!R$1))))</f>
        <v>0</v>
      </c>
      <c r="S13" s="6">
        <f>(HLOOKUP('Yearly Pension'!S$2,'Credited Service'!$G$1:$BC$80,$A13+1,FALSE)) * (IF($B13=500, (Assumptions!$B$7)*12, IF((HLOOKUP(S$2,Earnings!$G$2:$BC$81,('Yearly Pension'!$A13)+1, FALSE)) &gt; S$1, (Assumptions!$B$8)*(S$1) + (Assumptions!$B$9)*MAX(0,  (HLOOKUP(S$2,Earnings!$G$2:$BC$81,('Yearly Pension'!$A13)+1, FALSE)) - S$1), ((Assumptions!$B$8)*'Yearly Pension'!S$1))))</f>
        <v>0</v>
      </c>
      <c r="T13" s="6">
        <f>(HLOOKUP('Yearly Pension'!T$2,'Credited Service'!$G$1:$BC$80,$A13+1,FALSE)) * (IF($B13=500, (Assumptions!$B$7)*12, IF((HLOOKUP(T$2,Earnings!$G$2:$BC$81,('Yearly Pension'!$A13)+1, FALSE)) &gt; T$1, (Assumptions!$B$8)*(T$1) + (Assumptions!$B$9)*MAX(0,  (HLOOKUP(T$2,Earnings!$G$2:$BC$81,('Yearly Pension'!$A13)+1, FALSE)) - T$1), ((Assumptions!$B$8)*'Yearly Pension'!T$1))))</f>
        <v>0</v>
      </c>
      <c r="U13" s="6">
        <f>(HLOOKUP('Yearly Pension'!U$2,'Credited Service'!$G$1:$BC$80,$A13+1,FALSE)) * (IF($B13=500, (Assumptions!$B$7)*12, IF((HLOOKUP(U$2,Earnings!$G$2:$BC$81,('Yearly Pension'!$A13)+1, FALSE)) &gt; U$1, (Assumptions!$B$8)*(U$1) + (Assumptions!$B$9)*MAX(0,  (HLOOKUP(U$2,Earnings!$G$2:$BC$81,('Yearly Pension'!$A13)+1, FALSE)) - U$1), ((Assumptions!$B$8)*'Yearly Pension'!U$1))))</f>
        <v>0</v>
      </c>
      <c r="V13" s="6">
        <f>(HLOOKUP('Yearly Pension'!V$2,'Credited Service'!$G$1:$BC$80,$A13+1,FALSE)) * (IF($B13=500, (Assumptions!$B$7)*12, IF((HLOOKUP(V$2,Earnings!$G$2:$BC$81,('Yearly Pension'!$A13)+1, FALSE)) &gt; V$1, (Assumptions!$B$8)*(V$1) + (Assumptions!$B$9)*MAX(0,  (HLOOKUP(V$2,Earnings!$G$2:$BC$81,('Yearly Pension'!$A13)+1, FALSE)) - V$1), ((Assumptions!$B$8)*'Yearly Pension'!V$1))))</f>
        <v>0</v>
      </c>
      <c r="W13" s="6">
        <f>(HLOOKUP('Yearly Pension'!W$2,'Credited Service'!$G$1:$BC$80,$A13+1,FALSE)) * (IF($B13=500, (Assumptions!$B$7)*12, IF((HLOOKUP(W$2,Earnings!$G$2:$BC$81,('Yearly Pension'!$A13)+1, FALSE)) &gt; W$1, (Assumptions!$B$8)*(W$1) + (Assumptions!$B$9)*MAX(0,  (HLOOKUP(W$2,Earnings!$G$2:$BC$81,('Yearly Pension'!$A13)+1, FALSE)) - W$1), ((Assumptions!$B$8)*'Yearly Pension'!W$1))))</f>
        <v>0</v>
      </c>
      <c r="X13" s="6">
        <f>(HLOOKUP('Yearly Pension'!X$2,'Credited Service'!$G$1:$BC$80,$A13+1,FALSE)) * (IF($B13=500, (Assumptions!$B$7)*12, IF((HLOOKUP(X$2,Earnings!$G$2:$BC$81,('Yearly Pension'!$A13)+1, FALSE)) &gt; X$1, (Assumptions!$B$8)*(X$1) + (Assumptions!$B$9)*MAX(0,  (HLOOKUP(X$2,Earnings!$G$2:$BC$81,('Yearly Pension'!$A13)+1, FALSE)) - X$1), ((Assumptions!$B$8)*'Yearly Pension'!X$1))))</f>
        <v>0</v>
      </c>
      <c r="Y13" s="6">
        <f>(HLOOKUP('Yearly Pension'!Y$2,'Credited Service'!$G$1:$BC$80,$A13+1,FALSE)) * (IF($B13=500, (Assumptions!$B$7)*12, IF((HLOOKUP(Y$2,Earnings!$G$2:$BC$81,('Yearly Pension'!$A13)+1, FALSE)) &gt; Y$1, (Assumptions!$B$8)*(Y$1) + (Assumptions!$B$9)*MAX(0,  (HLOOKUP(Y$2,Earnings!$G$2:$BC$81,('Yearly Pension'!$A13)+1, FALSE)) - Y$1), ((Assumptions!$B$8)*'Yearly Pension'!Y$1))))</f>
        <v>0</v>
      </c>
      <c r="Z13" s="6">
        <f>(HLOOKUP('Yearly Pension'!Z$2,'Credited Service'!$G$1:$BC$80,$A13+1,FALSE)) * (IF($B13=500, (Assumptions!$B$7)*12, IF((HLOOKUP(Z$2,Earnings!$G$2:$BC$81,('Yearly Pension'!$A13)+1, FALSE)) &gt; Z$1, (Assumptions!$B$8)*(Z$1) + (Assumptions!$B$9)*MAX(0,  (HLOOKUP(Z$2,Earnings!$G$2:$BC$81,('Yearly Pension'!$A13)+1, FALSE)) - Z$1), ((Assumptions!$B$8)*'Yearly Pension'!Z$1))))</f>
        <v>0</v>
      </c>
      <c r="AA13" s="6">
        <f>(HLOOKUP('Yearly Pension'!AA$2,'Credited Service'!$G$1:$BC$80,$A13+1,FALSE)) * (IF($B13=500, (Assumptions!$B$7)*12, IF((HLOOKUP(AA$2,Earnings!$G$2:$BC$81,('Yearly Pension'!$A13)+1, FALSE)) &gt; AA$1, (Assumptions!$B$8)*(AA$1) + (Assumptions!$B$9)*MAX(0,  (HLOOKUP(AA$2,Earnings!$G$2:$BC$81,('Yearly Pension'!$A13)+1, FALSE)) - AA$1), ((Assumptions!$B$8)*'Yearly Pension'!AA$1))))</f>
        <v>0</v>
      </c>
      <c r="AB13" s="6">
        <f>(HLOOKUP('Yearly Pension'!AB$2,'Credited Service'!$G$1:$BC$80,$A13+1,FALSE)) * (IF($B13=500, (Assumptions!$B$7)*12, IF((HLOOKUP(AB$2,Earnings!$G$2:$BC$81,('Yearly Pension'!$A13)+1, FALSE)) &gt; AB$1, (Assumptions!$B$8)*(AB$1) + (Assumptions!$B$9)*MAX(0,  (HLOOKUP(AB$2,Earnings!$G$2:$BC$81,('Yearly Pension'!$A13)+1, FALSE)) - AB$1), ((Assumptions!$B$8)*'Yearly Pension'!AB$1))))</f>
        <v>0</v>
      </c>
      <c r="AC13" s="6">
        <f>(HLOOKUP('Yearly Pension'!AC$2,'Credited Service'!$G$1:$BC$80,$A13+1,FALSE)) * (IF($B13=500, (Assumptions!$B$7)*12, IF((HLOOKUP(AC$2,Earnings!$G$2:$BC$81,('Yearly Pension'!$A13)+1, FALSE)) &gt; AC$1, (Assumptions!$B$8)*(AC$1) + (Assumptions!$B$9)*MAX(0,  (HLOOKUP(AC$2,Earnings!$G$2:$BC$81,('Yearly Pension'!$A13)+1, FALSE)) - AC$1), ((Assumptions!$B$8)*'Yearly Pension'!AC$1))))</f>
        <v>0</v>
      </c>
      <c r="AD13" s="6">
        <f>(HLOOKUP('Yearly Pension'!AD$2,'Credited Service'!$G$1:$BC$80,$A13+1,FALSE)) * (IF($B13=500, (Assumptions!$B$7)*12, IF((HLOOKUP(AD$2,Earnings!$G$2:$BC$81,('Yearly Pension'!$A13)+1, FALSE)) &gt; AD$1, (Assumptions!$B$8)*(AD$1) + (Assumptions!$B$9)*MAX(0,  (HLOOKUP(AD$2,Earnings!$G$2:$BC$81,('Yearly Pension'!$A13)+1, FALSE)) - AD$1), ((Assumptions!$B$8)*'Yearly Pension'!AD$1))))</f>
        <v>0</v>
      </c>
      <c r="AE13" s="6">
        <f>(HLOOKUP('Yearly Pension'!AE$2,'Credited Service'!$G$1:$BC$80,$A13+1,FALSE)) * (IF($B13=500, (Assumptions!$B$7)*12, IF((HLOOKUP(AE$2,Earnings!$G$2:$BC$81,('Yearly Pension'!$A13)+1, FALSE)) &gt; AE$1, (Assumptions!$B$8)*(AE$1) + (Assumptions!$B$9)*MAX(0,  (HLOOKUP(AE$2,Earnings!$G$2:$BC$81,('Yearly Pension'!$A13)+1, FALSE)) - AE$1), ((Assumptions!$B$8)*'Yearly Pension'!AE$1))))</f>
        <v>0</v>
      </c>
      <c r="AF13" s="6">
        <f>(HLOOKUP('Yearly Pension'!AF$2,'Credited Service'!$G$1:$BC$80,$A13+1,FALSE)) * (IF($B13=500, (Assumptions!$B$7)*12, IF((HLOOKUP(AF$2,Earnings!$G$2:$BC$81,('Yearly Pension'!$A13)+1, FALSE)) &gt; AF$1, (Assumptions!$B$8)*(AF$1) + (Assumptions!$B$9)*MAX(0,  (HLOOKUP(AF$2,Earnings!$G$2:$BC$81,('Yearly Pension'!$A13)+1, FALSE)) - AF$1), ((Assumptions!$B$8)*'Yearly Pension'!AF$1))))</f>
        <v>0</v>
      </c>
      <c r="AG13" s="6">
        <f>(HLOOKUP('Yearly Pension'!AG$2,'Credited Service'!$G$1:$BC$80,$A13+1,FALSE)) * (IF($B13=500, (Assumptions!$B$7)*12, IF((HLOOKUP(AG$2,Earnings!$G$2:$BC$81,('Yearly Pension'!$A13)+1, FALSE)) &gt; AG$1, (Assumptions!$B$8)*(AG$1) + (Assumptions!$B$9)*MAX(0,  (HLOOKUP(AG$2,Earnings!$G$2:$BC$81,('Yearly Pension'!$A13)+1, FALSE)) - AG$1), ((Assumptions!$B$8)*'Yearly Pension'!AG$1))))</f>
        <v>0</v>
      </c>
      <c r="AH13" s="6">
        <f>(HLOOKUP('Yearly Pension'!AH$2,'Credited Service'!$G$1:$BC$80,$A13+1,FALSE)) * (IF($B13=500, (Assumptions!$B$7)*12, IF((HLOOKUP(AH$2,Earnings!$G$2:$BC$81,('Yearly Pension'!$A13)+1, FALSE)) &gt; AH$1, (Assumptions!$B$8)*(AH$1) + (Assumptions!$B$9)*MAX(0,  (HLOOKUP(AH$2,Earnings!$G$2:$BC$81,('Yearly Pension'!$A13)+1, FALSE)) - AH$1), ((Assumptions!$B$8)*'Yearly Pension'!AH$1))))</f>
        <v>0</v>
      </c>
      <c r="AI13" s="6">
        <f>(HLOOKUP('Yearly Pension'!AI$2,'Credited Service'!$G$1:$BC$80,$A13+1,FALSE)) * (IF($B13=500, (Assumptions!$B$7)*12, IF((HLOOKUP(AI$2,Earnings!$G$2:$BC$81,('Yearly Pension'!$A13)+1, FALSE)) &gt; AI$1, (Assumptions!$B$8)*(AI$1) + (Assumptions!$B$9)*MAX(0,  (HLOOKUP(AI$2,Earnings!$G$2:$BC$81,('Yearly Pension'!$A13)+1, FALSE)) - AI$1), ((Assumptions!$B$8)*'Yearly Pension'!AI$1))))</f>
        <v>600</v>
      </c>
      <c r="AJ13" s="6">
        <f>(HLOOKUP('Yearly Pension'!AJ$2,'Credited Service'!$G$1:$BC$80,$A13+1,FALSE)) * (IF($B13=500, (Assumptions!$B$7)*12, IF((HLOOKUP(AJ$2,Earnings!$G$2:$BC$81,('Yearly Pension'!$A13)+1, FALSE)) &gt; AJ$1, (Assumptions!$B$8)*(AJ$1) + (Assumptions!$B$9)*MAX(0,  (HLOOKUP(AJ$2,Earnings!$G$2:$BC$81,('Yearly Pension'!$A13)+1, FALSE)) - AJ$1), ((Assumptions!$B$8)*'Yearly Pension'!AJ$1))))</f>
        <v>720</v>
      </c>
      <c r="AK13" s="6">
        <f>(HLOOKUP('Yearly Pension'!AK$2,'Credited Service'!$G$1:$BC$80,$A13+1,FALSE)) * (IF($B13=500, (Assumptions!$B$7)*12, IF((HLOOKUP(AK$2,Earnings!$G$2:$BC$81,('Yearly Pension'!$A13)+1, FALSE)) &gt; AK$1, (Assumptions!$B$8)*(AK$1) + (Assumptions!$B$9)*MAX(0,  (HLOOKUP(AK$2,Earnings!$G$2:$BC$81,('Yearly Pension'!$A13)+1, FALSE)) - AK$1), ((Assumptions!$B$8)*'Yearly Pension'!AK$1))))</f>
        <v>720</v>
      </c>
      <c r="AL13" s="6">
        <f>(HLOOKUP('Yearly Pension'!AL$2,'Credited Service'!$G$1:$BC$80,$A13+1,FALSE)) * (IF($B13=500, (Assumptions!$B$7)*12, IF((HLOOKUP(AL$2,Earnings!$G$2:$BC$81,('Yearly Pension'!$A13)+1, FALSE)) &gt; AL$1, (Assumptions!$B$8)*(AL$1) + (Assumptions!$B$9)*MAX(0,  (HLOOKUP(AL$2,Earnings!$G$2:$BC$81,('Yearly Pension'!$A13)+1, FALSE)) - AL$1), ((Assumptions!$B$8)*'Yearly Pension'!AL$1))))</f>
        <v>720</v>
      </c>
      <c r="AM13" s="6">
        <f>(HLOOKUP('Yearly Pension'!AM$2,'Credited Service'!$G$1:$BC$80,$A13+1,FALSE)) * (IF($B13=500, (Assumptions!$B$7)*12, IF((HLOOKUP(AM$2,Earnings!$G$2:$BC$81,('Yearly Pension'!$A13)+1, FALSE)) &gt; AM$1, (Assumptions!$B$8)*(AM$1) + (Assumptions!$B$9)*MAX(0,  (HLOOKUP(AM$2,Earnings!$G$2:$BC$81,('Yearly Pension'!$A13)+1, FALSE)) - AM$1), ((Assumptions!$B$8)*'Yearly Pension'!AM$1))))</f>
        <v>720</v>
      </c>
      <c r="AN13" s="6">
        <f>(HLOOKUP('Yearly Pension'!AN$2,'Credited Service'!$G$1:$BC$80,$A13+1,FALSE)) * (IF($B13=500, (Assumptions!$B$7)*12, IF((HLOOKUP(AN$2,Earnings!$G$2:$BC$81,('Yearly Pension'!$A13)+1, FALSE)) &gt; AN$1, (Assumptions!$B$8)*(AN$1) + (Assumptions!$B$9)*MAX(0,  (HLOOKUP(AN$2,Earnings!$G$2:$BC$81,('Yearly Pension'!$A13)+1, FALSE)) - AN$1), ((Assumptions!$B$8)*'Yearly Pension'!AN$1))))</f>
        <v>720</v>
      </c>
      <c r="AO13" s="6">
        <f>(HLOOKUP('Yearly Pension'!AO$2,'Credited Service'!$G$1:$BC$80,$A13+1,FALSE)) * (IF($B13=500, (Assumptions!$B$7)*12, IF((HLOOKUP(AO$2,Earnings!$G$2:$BC$81,('Yearly Pension'!$A13)+1, FALSE)) &gt; AO$1, (Assumptions!$B$8)*(AO$1) + (Assumptions!$B$9)*MAX(0,  (HLOOKUP(AO$2,Earnings!$G$2:$BC$81,('Yearly Pension'!$A13)+1, FALSE)) - AO$1), ((Assumptions!$B$8)*'Yearly Pension'!AO$1))))</f>
        <v>720</v>
      </c>
      <c r="AP13" s="6">
        <f>(HLOOKUP('Yearly Pension'!AP$2,'Credited Service'!$G$1:$BC$80,$A13+1,FALSE)) * (IF($B13=500, (Assumptions!$B$7)*12, IF((HLOOKUP(AP$2,Earnings!$G$2:$BC$81,('Yearly Pension'!$A13)+1, FALSE)) &gt; AP$1, (Assumptions!$B$8)*(AP$1) + (Assumptions!$B$9)*MAX(0,  (HLOOKUP(AP$2,Earnings!$G$2:$BC$81,('Yearly Pension'!$A13)+1, FALSE)) - AP$1), ((Assumptions!$B$8)*'Yearly Pension'!AP$1))))</f>
        <v>720</v>
      </c>
      <c r="AQ13" s="6">
        <f>(HLOOKUP('Yearly Pension'!AQ$2,'Credited Service'!$G$1:$BC$80,$A13+1,FALSE)) * (IF($B13=500, (Assumptions!$B$7)*12, IF((HLOOKUP(AQ$2,Earnings!$G$2:$BC$81,('Yearly Pension'!$A13)+1, FALSE)) &gt; AQ$1, (Assumptions!$B$8)*(AQ$1) + (Assumptions!$B$9)*MAX(0,  (HLOOKUP(AQ$2,Earnings!$G$2:$BC$81,('Yearly Pension'!$A13)+1, FALSE)) - AQ$1), ((Assumptions!$B$8)*'Yearly Pension'!AQ$1))))</f>
        <v>720</v>
      </c>
      <c r="AR13" s="6">
        <f>(HLOOKUP('Yearly Pension'!AR$2,'Credited Service'!$G$1:$BC$80,$A13+1,FALSE)) * (IF($B13=500, (Assumptions!$B$7)*12, IF((HLOOKUP(AR$2,Earnings!$G$2:$BC$81,('Yearly Pension'!$A13)+1, FALSE)) &gt; AR$1, (Assumptions!$B$8)*(AR$1) + (Assumptions!$B$9)*MAX(0,  (HLOOKUP(AR$2,Earnings!$G$2:$BC$81,('Yearly Pension'!$A13)+1, FALSE)) - AR$1), ((Assumptions!$B$8)*'Yearly Pension'!AR$1))))</f>
        <v>720</v>
      </c>
      <c r="AS13" s="6">
        <f>(HLOOKUP('Yearly Pension'!AS$2,'Credited Service'!$G$1:$BC$80,$A13+1,FALSE)) * (IF($B13=500, (Assumptions!$B$7)*12, IF((HLOOKUP(AS$2,Earnings!$G$2:$BC$81,('Yearly Pension'!$A13)+1, FALSE)) &gt; AS$1, (Assumptions!$B$8)*(AS$1) + (Assumptions!$B$9)*MAX(0,  (HLOOKUP(AS$2,Earnings!$G$2:$BC$81,('Yearly Pension'!$A13)+1, FALSE)) - AS$1), ((Assumptions!$B$8)*'Yearly Pension'!AS$1))))</f>
        <v>720</v>
      </c>
      <c r="AT13" s="6">
        <f>(HLOOKUP('Yearly Pension'!AT$2,'Credited Service'!$G$1:$BC$80,$A13+1,FALSE)) * (IF($B13=500, (Assumptions!$B$7)*12, IF((HLOOKUP(AT$2,Earnings!$G$2:$BC$81,('Yearly Pension'!$A13)+1, FALSE)) &gt; AT$1, (Assumptions!$B$8)*(AT$1) + (Assumptions!$B$9)*MAX(0,  (HLOOKUP(AT$2,Earnings!$G$2:$BC$81,('Yearly Pension'!$A13)+1, FALSE)) - AT$1), ((Assumptions!$B$8)*'Yearly Pension'!AT$1))))</f>
        <v>720</v>
      </c>
      <c r="AU13" s="6">
        <f>(HLOOKUP('Yearly Pension'!AU$2,'Credited Service'!$G$1:$BC$80,$A13+1,FALSE)) * (IF($B13=500, (Assumptions!$B$7)*12, IF((HLOOKUP(AU$2,Earnings!$G$2:$BC$81,('Yearly Pension'!$A13)+1, FALSE)) &gt; AU$1, (Assumptions!$B$8)*(AU$1) + (Assumptions!$B$9)*MAX(0,  (HLOOKUP(AU$2,Earnings!$G$2:$BC$81,('Yearly Pension'!$A13)+1, FALSE)) - AU$1), ((Assumptions!$B$8)*'Yearly Pension'!AU$1))))</f>
        <v>720</v>
      </c>
      <c r="AV13" s="6">
        <f>(HLOOKUP('Yearly Pension'!AV$2,'Credited Service'!$G$1:$BC$80,$A13+1,FALSE)) * (IF($B13=500, (Assumptions!$B$7)*12, IF((HLOOKUP(AV$2,Earnings!$G$2:$BC$81,('Yearly Pension'!$A13)+1, FALSE)) &gt; AV$1, (Assumptions!$B$8)*(AV$1) + (Assumptions!$B$9)*MAX(0,  (HLOOKUP(AV$2,Earnings!$G$2:$BC$81,('Yearly Pension'!$A13)+1, FALSE)) - AV$1), ((Assumptions!$B$8)*'Yearly Pension'!AV$1))))</f>
        <v>720</v>
      </c>
      <c r="AW13" s="6">
        <f>(HLOOKUP('Yearly Pension'!AW$2,'Credited Service'!$G$1:$BC$80,$A13+1,FALSE)) * (IF($B13=500, (Assumptions!$B$7)*12, IF((HLOOKUP(AW$2,Earnings!$G$2:$BC$81,('Yearly Pension'!$A13)+1, FALSE)) &gt; AW$1, (Assumptions!$B$8)*(AW$1) + (Assumptions!$B$9)*MAX(0,  (HLOOKUP(AW$2,Earnings!$G$2:$BC$81,('Yearly Pension'!$A13)+1, FALSE)) - AW$1), ((Assumptions!$B$8)*'Yearly Pension'!AW$1))))</f>
        <v>720</v>
      </c>
      <c r="AX13" s="6">
        <f>(HLOOKUP('Yearly Pension'!AX$2,'Credited Service'!$G$1:$BC$80,$A13+1,FALSE)) * (IF($B13=500, (Assumptions!$B$7)*12, IF((HLOOKUP(AX$2,Earnings!$G$2:$BC$81,('Yearly Pension'!$A13)+1, FALSE)) &gt; AX$1, (Assumptions!$B$8)*(AX$1) + (Assumptions!$B$9)*MAX(0,  (HLOOKUP(AX$2,Earnings!$G$2:$BC$81,('Yearly Pension'!$A13)+1, FALSE)) - AX$1), ((Assumptions!$B$8)*'Yearly Pension'!AX$1))))</f>
        <v>720</v>
      </c>
      <c r="AY13" s="6">
        <f>(HLOOKUP('Yearly Pension'!AY$2,'Credited Service'!$G$1:$BC$80,$A13+1,FALSE)) * (IF($B13=500, (Assumptions!$B$7)*12, IF((HLOOKUP(AY$2,Earnings!$G$2:$BC$81,('Yearly Pension'!$A13)+1, FALSE)) &gt; AY$1, (Assumptions!$B$8)*(AY$1) + (Assumptions!$B$9)*MAX(0,  (HLOOKUP(AY$2,Earnings!$G$2:$BC$81,('Yearly Pension'!$A13)+1, FALSE)) - AY$1), ((Assumptions!$B$8)*'Yearly Pension'!AY$1))))</f>
        <v>720</v>
      </c>
      <c r="AZ13" s="6">
        <f>(HLOOKUP('Yearly Pension'!AZ$2,'Credited Service'!$G$1:$BC$80,$A13+1,FALSE)) * (IF($B13=500, (Assumptions!$B$7)*12, IF((HLOOKUP(AZ$2,Earnings!$G$2:$BC$81,('Yearly Pension'!$A13)+1, FALSE)) &gt; AZ$1, (Assumptions!$B$8)*(AZ$1) + (Assumptions!$B$9)*MAX(0,  (HLOOKUP(AZ$2,Earnings!$G$2:$BC$81,('Yearly Pension'!$A13)+1, FALSE)) - AZ$1), ((Assumptions!$B$8)*'Yearly Pension'!AZ$1))))</f>
        <v>720</v>
      </c>
      <c r="BA13" s="6">
        <f>(HLOOKUP('Yearly Pension'!BA$2,'Credited Service'!$G$1:$BC$80,$A13+1,FALSE)) * (IF($B13=500, (Assumptions!$B$7)*12, IF((HLOOKUP(BA$2,Earnings!$G$2:$BC$81,('Yearly Pension'!$A13)+1, FALSE)) &gt; BA$1, (Assumptions!$B$8)*(BA$1) + (Assumptions!$B$9)*MAX(0,  (HLOOKUP(BA$2,Earnings!$G$2:$BC$81,('Yearly Pension'!$A13)+1, FALSE)) - BA$1), ((Assumptions!$B$8)*'Yearly Pension'!BA$1))))</f>
        <v>720</v>
      </c>
      <c r="BB13" s="6">
        <f>(HLOOKUP('Yearly Pension'!BB$2,'Credited Service'!$G$1:$BC$80,$A13+1,FALSE)) * (IF($B13=500, (Assumptions!$B$7)*12, IF((HLOOKUP(BB$2,Earnings!$G$2:$BC$81,('Yearly Pension'!$A13)+1, FALSE)) &gt; BB$1, (Assumptions!$B$8)*(BB$1) + (Assumptions!$B$9)*MAX(0,  (HLOOKUP(BB$2,Earnings!$G$2:$BC$81,('Yearly Pension'!$A13)+1, FALSE)) - BB$1), ((Assumptions!$B$8)*'Yearly Pension'!BB$1))))</f>
        <v>720</v>
      </c>
      <c r="BC13" s="6">
        <f>(HLOOKUP('Yearly Pension'!BC$2,'Credited Service'!$G$1:$BC$80,$A13+1,FALSE)) * (IF($B13=500, (Assumptions!$B$7)*12, IF((HLOOKUP(BC$2,Earnings!$G$2:$BC$81,('Yearly Pension'!$A13)+1, FALSE)) &gt; BC$1, (Assumptions!$B$8)*(BC$1) + (Assumptions!$B$9)*MAX(0,  (HLOOKUP(BC$2,Earnings!$G$2:$BC$81,('Yearly Pension'!$A13)+1, FALSE)) - BC$1), ((Assumptions!$B$8)*'Yearly Pension'!BC$1))))</f>
        <v>720</v>
      </c>
    </row>
    <row r="14" spans="1:60" x14ac:dyDescent="0.25">
      <c r="A14" s="204">
        <v>12</v>
      </c>
      <c r="B14" s="1">
        <v>500</v>
      </c>
      <c r="C14" s="1">
        <v>778</v>
      </c>
      <c r="D14" s="3">
        <v>39142</v>
      </c>
      <c r="E14" s="3">
        <v>48061</v>
      </c>
      <c r="G14" s="6">
        <f>(HLOOKUP('Yearly Pension'!G$2,'Credited Service'!$G$1:$BC$80,$A14+1,FALSE)) * (IF($B14=500, (Assumptions!$B$7)*12, IF((HLOOKUP(G$2,Earnings!$G$2:$BC$81,('Yearly Pension'!$A14)+1, FALSE)) &gt; G$1, (Assumptions!$B$8)*(G$1) + (Assumptions!$B$9)*MAX(0,  (HLOOKUP(G$2,Earnings!$G$2:$BC$81,('Yearly Pension'!$A14)+1, FALSE)) - G$1), ((Assumptions!$B$8)*'Yearly Pension'!G$1))))</f>
        <v>0</v>
      </c>
      <c r="H14" s="6">
        <f>(HLOOKUP('Yearly Pension'!H$2,'Credited Service'!$G$1:$BC$80,$A14+1,FALSE)) * (IF($B14=500, (Assumptions!$B$7)*12, IF((HLOOKUP(H$2,Earnings!$G$2:$BC$81,('Yearly Pension'!$A14)+1, FALSE)) &gt; H$1, (Assumptions!$B$8)*(H$1) + (Assumptions!$B$9)*MAX(0,  (HLOOKUP(H$2,Earnings!$G$2:$BC$81,('Yearly Pension'!$A14)+1, FALSE)) - H$1), ((Assumptions!$B$8)*'Yearly Pension'!H$1))))</f>
        <v>0</v>
      </c>
      <c r="I14" s="6">
        <f>(HLOOKUP('Yearly Pension'!I$2,'Credited Service'!$G$1:$BC$80,$A14+1,FALSE)) * (IF($B14=500, (Assumptions!$B$7)*12, IF((HLOOKUP(I$2,Earnings!$G$2:$BC$81,('Yearly Pension'!$A14)+1, FALSE)) &gt; I$1, (Assumptions!$B$8)*(I$1) + (Assumptions!$B$9)*MAX(0,  (HLOOKUP(I$2,Earnings!$G$2:$BC$81,('Yearly Pension'!$A14)+1, FALSE)) - I$1), ((Assumptions!$B$8)*'Yearly Pension'!I$1))))</f>
        <v>0</v>
      </c>
      <c r="J14" s="6">
        <f>(HLOOKUP('Yearly Pension'!J$2,'Credited Service'!$G$1:$BC$80,$A14+1,FALSE)) * (IF($B14=500, (Assumptions!$B$7)*12, IF((HLOOKUP(J$2,Earnings!$G$2:$BC$81,('Yearly Pension'!$A14)+1, FALSE)) &gt; J$1, (Assumptions!$B$8)*(J$1) + (Assumptions!$B$9)*MAX(0,  (HLOOKUP(J$2,Earnings!$G$2:$BC$81,('Yearly Pension'!$A14)+1, FALSE)) - J$1), ((Assumptions!$B$8)*'Yearly Pension'!J$1))))</f>
        <v>0</v>
      </c>
      <c r="K14" s="6">
        <f>(HLOOKUP('Yearly Pension'!K$2,'Credited Service'!$G$1:$BC$80,$A14+1,FALSE)) * (IF($B14=500, (Assumptions!$B$7)*12, IF((HLOOKUP(K$2,Earnings!$G$2:$BC$81,('Yearly Pension'!$A14)+1, FALSE)) &gt; K$1, (Assumptions!$B$8)*(K$1) + (Assumptions!$B$9)*MAX(0,  (HLOOKUP(K$2,Earnings!$G$2:$BC$81,('Yearly Pension'!$A14)+1, FALSE)) - K$1), ((Assumptions!$B$8)*'Yearly Pension'!K$1))))</f>
        <v>0</v>
      </c>
      <c r="L14" s="6">
        <f>(HLOOKUP('Yearly Pension'!L$2,'Credited Service'!$G$1:$BC$80,$A14+1,FALSE)) * (IF($B14=500, (Assumptions!$B$7)*12, IF((HLOOKUP(L$2,Earnings!$G$2:$BC$81,('Yearly Pension'!$A14)+1, FALSE)) &gt; L$1, (Assumptions!$B$8)*(L$1) + (Assumptions!$B$9)*MAX(0,  (HLOOKUP(L$2,Earnings!$G$2:$BC$81,('Yearly Pension'!$A14)+1, FALSE)) - L$1), ((Assumptions!$B$8)*'Yearly Pension'!L$1))))</f>
        <v>0</v>
      </c>
      <c r="M14" s="6">
        <f>(HLOOKUP('Yearly Pension'!M$2,'Credited Service'!$G$1:$BC$80,$A14+1,FALSE)) * (IF($B14=500, (Assumptions!$B$7)*12, IF((HLOOKUP(M$2,Earnings!$G$2:$BC$81,('Yearly Pension'!$A14)+1, FALSE)) &gt; M$1, (Assumptions!$B$8)*(M$1) + (Assumptions!$B$9)*MAX(0,  (HLOOKUP(M$2,Earnings!$G$2:$BC$81,('Yearly Pension'!$A14)+1, FALSE)) - M$1), ((Assumptions!$B$8)*'Yearly Pension'!M$1))))</f>
        <v>0</v>
      </c>
      <c r="N14" s="6">
        <f>(HLOOKUP('Yearly Pension'!N$2,'Credited Service'!$G$1:$BC$80,$A14+1,FALSE)) * (IF($B14=500, (Assumptions!$B$7)*12, IF((HLOOKUP(N$2,Earnings!$G$2:$BC$81,('Yearly Pension'!$A14)+1, FALSE)) &gt; N$1, (Assumptions!$B$8)*(N$1) + (Assumptions!$B$9)*MAX(0,  (HLOOKUP(N$2,Earnings!$G$2:$BC$81,('Yearly Pension'!$A14)+1, FALSE)) - N$1), ((Assumptions!$B$8)*'Yearly Pension'!N$1))))</f>
        <v>0</v>
      </c>
      <c r="O14" s="6">
        <f>(HLOOKUP('Yearly Pension'!O$2,'Credited Service'!$G$1:$BC$80,$A14+1,FALSE)) * (IF($B14=500, (Assumptions!$B$7)*12, IF((HLOOKUP(O$2,Earnings!$G$2:$BC$81,('Yearly Pension'!$A14)+1, FALSE)) &gt; O$1, (Assumptions!$B$8)*(O$1) + (Assumptions!$B$9)*MAX(0,  (HLOOKUP(O$2,Earnings!$G$2:$BC$81,('Yearly Pension'!$A14)+1, FALSE)) - O$1), ((Assumptions!$B$8)*'Yearly Pension'!O$1))))</f>
        <v>0</v>
      </c>
      <c r="P14" s="6">
        <f>(HLOOKUP('Yearly Pension'!P$2,'Credited Service'!$G$1:$BC$80,$A14+1,FALSE)) * (IF($B14=500, (Assumptions!$B$7)*12, IF((HLOOKUP(P$2,Earnings!$G$2:$BC$81,('Yearly Pension'!$A14)+1, FALSE)) &gt; P$1, (Assumptions!$B$8)*(P$1) + (Assumptions!$B$9)*MAX(0,  (HLOOKUP(P$2,Earnings!$G$2:$BC$81,('Yearly Pension'!$A14)+1, FALSE)) - P$1), ((Assumptions!$B$8)*'Yearly Pension'!P$1))))</f>
        <v>0</v>
      </c>
      <c r="Q14" s="6">
        <f>(HLOOKUP('Yearly Pension'!Q$2,'Credited Service'!$G$1:$BC$80,$A14+1,FALSE)) * (IF($B14=500, (Assumptions!$B$7)*12, IF((HLOOKUP(Q$2,Earnings!$G$2:$BC$81,('Yearly Pension'!$A14)+1, FALSE)) &gt; Q$1, (Assumptions!$B$8)*(Q$1) + (Assumptions!$B$9)*MAX(0,  (HLOOKUP(Q$2,Earnings!$G$2:$BC$81,('Yearly Pension'!$A14)+1, FALSE)) - Q$1), ((Assumptions!$B$8)*'Yearly Pension'!Q$1))))</f>
        <v>0</v>
      </c>
      <c r="R14" s="6">
        <f>(HLOOKUP('Yearly Pension'!R$2,'Credited Service'!$G$1:$BC$80,$A14+1,FALSE)) * (IF($B14=500, (Assumptions!$B$7)*12, IF((HLOOKUP(R$2,Earnings!$G$2:$BC$81,('Yearly Pension'!$A14)+1, FALSE)) &gt; R$1, (Assumptions!$B$8)*(R$1) + (Assumptions!$B$9)*MAX(0,  (HLOOKUP(R$2,Earnings!$G$2:$BC$81,('Yearly Pension'!$A14)+1, FALSE)) - R$1), ((Assumptions!$B$8)*'Yearly Pension'!R$1))))</f>
        <v>0</v>
      </c>
      <c r="S14" s="6">
        <f>(HLOOKUP('Yearly Pension'!S$2,'Credited Service'!$G$1:$BC$80,$A14+1,FALSE)) * (IF($B14=500, (Assumptions!$B$7)*12, IF((HLOOKUP(S$2,Earnings!$G$2:$BC$81,('Yearly Pension'!$A14)+1, FALSE)) &gt; S$1, (Assumptions!$B$8)*(S$1) + (Assumptions!$B$9)*MAX(0,  (HLOOKUP(S$2,Earnings!$G$2:$BC$81,('Yearly Pension'!$A14)+1, FALSE)) - S$1), ((Assumptions!$B$8)*'Yearly Pension'!S$1))))</f>
        <v>0</v>
      </c>
      <c r="T14" s="6">
        <f>(HLOOKUP('Yearly Pension'!T$2,'Credited Service'!$G$1:$BC$80,$A14+1,FALSE)) * (IF($B14=500, (Assumptions!$B$7)*12, IF((HLOOKUP(T$2,Earnings!$G$2:$BC$81,('Yearly Pension'!$A14)+1, FALSE)) &gt; T$1, (Assumptions!$B$8)*(T$1) + (Assumptions!$B$9)*MAX(0,  (HLOOKUP(T$2,Earnings!$G$2:$BC$81,('Yearly Pension'!$A14)+1, FALSE)) - T$1), ((Assumptions!$B$8)*'Yearly Pension'!T$1))))</f>
        <v>0</v>
      </c>
      <c r="U14" s="6">
        <f>(HLOOKUP('Yearly Pension'!U$2,'Credited Service'!$G$1:$BC$80,$A14+1,FALSE)) * (IF($B14=500, (Assumptions!$B$7)*12, IF((HLOOKUP(U$2,Earnings!$G$2:$BC$81,('Yearly Pension'!$A14)+1, FALSE)) &gt; U$1, (Assumptions!$B$8)*(U$1) + (Assumptions!$B$9)*MAX(0,  (HLOOKUP(U$2,Earnings!$G$2:$BC$81,('Yearly Pension'!$A14)+1, FALSE)) - U$1), ((Assumptions!$B$8)*'Yearly Pension'!U$1))))</f>
        <v>0</v>
      </c>
      <c r="V14" s="6">
        <f>(HLOOKUP('Yearly Pension'!V$2,'Credited Service'!$G$1:$BC$80,$A14+1,FALSE)) * (IF($B14=500, (Assumptions!$B$7)*12, IF((HLOOKUP(V$2,Earnings!$G$2:$BC$81,('Yearly Pension'!$A14)+1, FALSE)) &gt; V$1, (Assumptions!$B$8)*(V$1) + (Assumptions!$B$9)*MAX(0,  (HLOOKUP(V$2,Earnings!$G$2:$BC$81,('Yearly Pension'!$A14)+1, FALSE)) - V$1), ((Assumptions!$B$8)*'Yearly Pension'!V$1))))</f>
        <v>0</v>
      </c>
      <c r="W14" s="6">
        <f>(HLOOKUP('Yearly Pension'!W$2,'Credited Service'!$G$1:$BC$80,$A14+1,FALSE)) * (IF($B14=500, (Assumptions!$B$7)*12, IF((HLOOKUP(W$2,Earnings!$G$2:$BC$81,('Yearly Pension'!$A14)+1, FALSE)) &gt; W$1, (Assumptions!$B$8)*(W$1) + (Assumptions!$B$9)*MAX(0,  (HLOOKUP(W$2,Earnings!$G$2:$BC$81,('Yearly Pension'!$A14)+1, FALSE)) - W$1), ((Assumptions!$B$8)*'Yearly Pension'!W$1))))</f>
        <v>0</v>
      </c>
      <c r="X14" s="6">
        <f>(HLOOKUP('Yearly Pension'!X$2,'Credited Service'!$G$1:$BC$80,$A14+1,FALSE)) * (IF($B14=500, (Assumptions!$B$7)*12, IF((HLOOKUP(X$2,Earnings!$G$2:$BC$81,('Yearly Pension'!$A14)+1, FALSE)) &gt; X$1, (Assumptions!$B$8)*(X$1) + (Assumptions!$B$9)*MAX(0,  (HLOOKUP(X$2,Earnings!$G$2:$BC$81,('Yearly Pension'!$A14)+1, FALSE)) - X$1), ((Assumptions!$B$8)*'Yearly Pension'!X$1))))</f>
        <v>0</v>
      </c>
      <c r="Y14" s="6">
        <f>(HLOOKUP('Yearly Pension'!Y$2,'Credited Service'!$G$1:$BC$80,$A14+1,FALSE)) * (IF($B14=500, (Assumptions!$B$7)*12, IF((HLOOKUP(Y$2,Earnings!$G$2:$BC$81,('Yearly Pension'!$A14)+1, FALSE)) &gt; Y$1, (Assumptions!$B$8)*(Y$1) + (Assumptions!$B$9)*MAX(0,  (HLOOKUP(Y$2,Earnings!$G$2:$BC$81,('Yearly Pension'!$A14)+1, FALSE)) - Y$1), ((Assumptions!$B$8)*'Yearly Pension'!Y$1))))</f>
        <v>0</v>
      </c>
      <c r="Z14" s="6">
        <f>(HLOOKUP('Yearly Pension'!Z$2,'Credited Service'!$G$1:$BC$80,$A14+1,FALSE)) * (IF($B14=500, (Assumptions!$B$7)*12, IF((HLOOKUP(Z$2,Earnings!$G$2:$BC$81,('Yearly Pension'!$A14)+1, FALSE)) &gt; Z$1, (Assumptions!$B$8)*(Z$1) + (Assumptions!$B$9)*MAX(0,  (HLOOKUP(Z$2,Earnings!$G$2:$BC$81,('Yearly Pension'!$A14)+1, FALSE)) - Z$1), ((Assumptions!$B$8)*'Yearly Pension'!Z$1))))</f>
        <v>0</v>
      </c>
      <c r="AA14" s="6">
        <f>(HLOOKUP('Yearly Pension'!AA$2,'Credited Service'!$G$1:$BC$80,$A14+1,FALSE)) * (IF($B14=500, (Assumptions!$B$7)*12, IF((HLOOKUP(AA$2,Earnings!$G$2:$BC$81,('Yearly Pension'!$A14)+1, FALSE)) &gt; AA$1, (Assumptions!$B$8)*(AA$1) + (Assumptions!$B$9)*MAX(0,  (HLOOKUP(AA$2,Earnings!$G$2:$BC$81,('Yearly Pension'!$A14)+1, FALSE)) - AA$1), ((Assumptions!$B$8)*'Yearly Pension'!AA$1))))</f>
        <v>0</v>
      </c>
      <c r="AB14" s="6">
        <f>(HLOOKUP('Yearly Pension'!AB$2,'Credited Service'!$G$1:$BC$80,$A14+1,FALSE)) * (IF($B14=500, (Assumptions!$B$7)*12, IF((HLOOKUP(AB$2,Earnings!$G$2:$BC$81,('Yearly Pension'!$A14)+1, FALSE)) &gt; AB$1, (Assumptions!$B$8)*(AB$1) + (Assumptions!$B$9)*MAX(0,  (HLOOKUP(AB$2,Earnings!$G$2:$BC$81,('Yearly Pension'!$A14)+1, FALSE)) - AB$1), ((Assumptions!$B$8)*'Yearly Pension'!AB$1))))</f>
        <v>0</v>
      </c>
      <c r="AC14" s="6">
        <f>(HLOOKUP('Yearly Pension'!AC$2,'Credited Service'!$G$1:$BC$80,$A14+1,FALSE)) * (IF($B14=500, (Assumptions!$B$7)*12, IF((HLOOKUP(AC$2,Earnings!$G$2:$BC$81,('Yearly Pension'!$A14)+1, FALSE)) &gt; AC$1, (Assumptions!$B$8)*(AC$1) + (Assumptions!$B$9)*MAX(0,  (HLOOKUP(AC$2,Earnings!$G$2:$BC$81,('Yearly Pension'!$A14)+1, FALSE)) - AC$1), ((Assumptions!$B$8)*'Yearly Pension'!AC$1))))</f>
        <v>0</v>
      </c>
      <c r="AD14" s="6">
        <f>(HLOOKUP('Yearly Pension'!AD$2,'Credited Service'!$G$1:$BC$80,$A14+1,FALSE)) * (IF($B14=500, (Assumptions!$B$7)*12, IF((HLOOKUP(AD$2,Earnings!$G$2:$BC$81,('Yearly Pension'!$A14)+1, FALSE)) &gt; AD$1, (Assumptions!$B$8)*(AD$1) + (Assumptions!$B$9)*MAX(0,  (HLOOKUP(AD$2,Earnings!$G$2:$BC$81,('Yearly Pension'!$A14)+1, FALSE)) - AD$1), ((Assumptions!$B$8)*'Yearly Pension'!AD$1))))</f>
        <v>0</v>
      </c>
      <c r="AE14" s="6">
        <f>(HLOOKUP('Yearly Pension'!AE$2,'Credited Service'!$G$1:$BC$80,$A14+1,FALSE)) * (IF($B14=500, (Assumptions!$B$7)*12, IF((HLOOKUP(AE$2,Earnings!$G$2:$BC$81,('Yearly Pension'!$A14)+1, FALSE)) &gt; AE$1, (Assumptions!$B$8)*(AE$1) + (Assumptions!$B$9)*MAX(0,  (HLOOKUP(AE$2,Earnings!$G$2:$BC$81,('Yearly Pension'!$A14)+1, FALSE)) - AE$1), ((Assumptions!$B$8)*'Yearly Pension'!AE$1))))</f>
        <v>0</v>
      </c>
      <c r="AF14" s="6">
        <f>(HLOOKUP('Yearly Pension'!AF$2,'Credited Service'!$G$1:$BC$80,$A14+1,FALSE)) * (IF($B14=500, (Assumptions!$B$7)*12, IF((HLOOKUP(AF$2,Earnings!$G$2:$BC$81,('Yearly Pension'!$A14)+1, FALSE)) &gt; AF$1, (Assumptions!$B$8)*(AF$1) + (Assumptions!$B$9)*MAX(0,  (HLOOKUP(AF$2,Earnings!$G$2:$BC$81,('Yearly Pension'!$A14)+1, FALSE)) - AF$1), ((Assumptions!$B$8)*'Yearly Pension'!AF$1))))</f>
        <v>0</v>
      </c>
      <c r="AG14" s="6">
        <f>(HLOOKUP('Yearly Pension'!AG$2,'Credited Service'!$G$1:$BC$80,$A14+1,FALSE)) * (IF($B14=500, (Assumptions!$B$7)*12, IF((HLOOKUP(AG$2,Earnings!$G$2:$BC$81,('Yearly Pension'!$A14)+1, FALSE)) &gt; AG$1, (Assumptions!$B$8)*(AG$1) + (Assumptions!$B$9)*MAX(0,  (HLOOKUP(AG$2,Earnings!$G$2:$BC$81,('Yearly Pension'!$A14)+1, FALSE)) - AG$1), ((Assumptions!$B$8)*'Yearly Pension'!AG$1))))</f>
        <v>0</v>
      </c>
      <c r="AH14" s="6">
        <f>(HLOOKUP('Yearly Pension'!AH$2,'Credited Service'!$G$1:$BC$80,$A14+1,FALSE)) * (IF($B14=500, (Assumptions!$B$7)*12, IF((HLOOKUP(AH$2,Earnings!$G$2:$BC$81,('Yearly Pension'!$A14)+1, FALSE)) &gt; AH$1, (Assumptions!$B$8)*(AH$1) + (Assumptions!$B$9)*MAX(0,  (HLOOKUP(AH$2,Earnings!$G$2:$BC$81,('Yearly Pension'!$A14)+1, FALSE)) - AH$1), ((Assumptions!$B$8)*'Yearly Pension'!AH$1))))</f>
        <v>0</v>
      </c>
      <c r="AI14" s="6">
        <f>(HLOOKUP('Yearly Pension'!AI$2,'Credited Service'!$G$1:$BC$80,$A14+1,FALSE)) * (IF($B14=500, (Assumptions!$B$7)*12, IF((HLOOKUP(AI$2,Earnings!$G$2:$BC$81,('Yearly Pension'!$A14)+1, FALSE)) &gt; AI$1, (Assumptions!$B$8)*(AI$1) + (Assumptions!$B$9)*MAX(0,  (HLOOKUP(AI$2,Earnings!$G$2:$BC$81,('Yearly Pension'!$A14)+1, FALSE)) - AI$1), ((Assumptions!$B$8)*'Yearly Pension'!AI$1))))</f>
        <v>0</v>
      </c>
      <c r="AJ14" s="6">
        <f>(HLOOKUP('Yearly Pension'!AJ$2,'Credited Service'!$G$1:$BC$80,$A14+1,FALSE)) * (IF($B14=500, (Assumptions!$B$7)*12, IF((HLOOKUP(AJ$2,Earnings!$G$2:$BC$81,('Yearly Pension'!$A14)+1, FALSE)) &gt; AJ$1, (Assumptions!$B$8)*(AJ$1) + (Assumptions!$B$9)*MAX(0,  (HLOOKUP(AJ$2,Earnings!$G$2:$BC$81,('Yearly Pension'!$A14)+1, FALSE)) - AJ$1), ((Assumptions!$B$8)*'Yearly Pension'!AJ$1))))</f>
        <v>0</v>
      </c>
      <c r="AK14" s="6">
        <f>(HLOOKUP('Yearly Pension'!AK$2,'Credited Service'!$G$1:$BC$80,$A14+1,FALSE)) * (IF($B14=500, (Assumptions!$B$7)*12, IF((HLOOKUP(AK$2,Earnings!$G$2:$BC$81,('Yearly Pension'!$A14)+1, FALSE)) &gt; AK$1, (Assumptions!$B$8)*(AK$1) + (Assumptions!$B$9)*MAX(0,  (HLOOKUP(AK$2,Earnings!$G$2:$BC$81,('Yearly Pension'!$A14)+1, FALSE)) - AK$1), ((Assumptions!$B$8)*'Yearly Pension'!AK$1))))</f>
        <v>600</v>
      </c>
      <c r="AL14" s="6">
        <f>(HLOOKUP('Yearly Pension'!AL$2,'Credited Service'!$G$1:$BC$80,$A14+1,FALSE)) * (IF($B14=500, (Assumptions!$B$7)*12, IF((HLOOKUP(AL$2,Earnings!$G$2:$BC$81,('Yearly Pension'!$A14)+1, FALSE)) &gt; AL$1, (Assumptions!$B$8)*(AL$1) + (Assumptions!$B$9)*MAX(0,  (HLOOKUP(AL$2,Earnings!$G$2:$BC$81,('Yearly Pension'!$A14)+1, FALSE)) - AL$1), ((Assumptions!$B$8)*'Yearly Pension'!AL$1))))</f>
        <v>720</v>
      </c>
      <c r="AM14" s="6">
        <f>(HLOOKUP('Yearly Pension'!AM$2,'Credited Service'!$G$1:$BC$80,$A14+1,FALSE)) * (IF($B14=500, (Assumptions!$B$7)*12, IF((HLOOKUP(AM$2,Earnings!$G$2:$BC$81,('Yearly Pension'!$A14)+1, FALSE)) &gt; AM$1, (Assumptions!$B$8)*(AM$1) + (Assumptions!$B$9)*MAX(0,  (HLOOKUP(AM$2,Earnings!$G$2:$BC$81,('Yearly Pension'!$A14)+1, FALSE)) - AM$1), ((Assumptions!$B$8)*'Yearly Pension'!AM$1))))</f>
        <v>720</v>
      </c>
      <c r="AN14" s="6">
        <f>(HLOOKUP('Yearly Pension'!AN$2,'Credited Service'!$G$1:$BC$80,$A14+1,FALSE)) * (IF($B14=500, (Assumptions!$B$7)*12, IF((HLOOKUP(AN$2,Earnings!$G$2:$BC$81,('Yearly Pension'!$A14)+1, FALSE)) &gt; AN$1, (Assumptions!$B$8)*(AN$1) + (Assumptions!$B$9)*MAX(0,  (HLOOKUP(AN$2,Earnings!$G$2:$BC$81,('Yearly Pension'!$A14)+1, FALSE)) - AN$1), ((Assumptions!$B$8)*'Yearly Pension'!AN$1))))</f>
        <v>720</v>
      </c>
      <c r="AO14" s="6">
        <f>(HLOOKUP('Yearly Pension'!AO$2,'Credited Service'!$G$1:$BC$80,$A14+1,FALSE)) * (IF($B14=500, (Assumptions!$B$7)*12, IF((HLOOKUP(AO$2,Earnings!$G$2:$BC$81,('Yearly Pension'!$A14)+1, FALSE)) &gt; AO$1, (Assumptions!$B$8)*(AO$1) + (Assumptions!$B$9)*MAX(0,  (HLOOKUP(AO$2,Earnings!$G$2:$BC$81,('Yearly Pension'!$A14)+1, FALSE)) - AO$1), ((Assumptions!$B$8)*'Yearly Pension'!AO$1))))</f>
        <v>720</v>
      </c>
      <c r="AP14" s="6">
        <f>(HLOOKUP('Yearly Pension'!AP$2,'Credited Service'!$G$1:$BC$80,$A14+1,FALSE)) * (IF($B14=500, (Assumptions!$B$7)*12, IF((HLOOKUP(AP$2,Earnings!$G$2:$BC$81,('Yearly Pension'!$A14)+1, FALSE)) &gt; AP$1, (Assumptions!$B$8)*(AP$1) + (Assumptions!$B$9)*MAX(0,  (HLOOKUP(AP$2,Earnings!$G$2:$BC$81,('Yearly Pension'!$A14)+1, FALSE)) - AP$1), ((Assumptions!$B$8)*'Yearly Pension'!AP$1))))</f>
        <v>720</v>
      </c>
      <c r="AQ14" s="6">
        <f>(HLOOKUP('Yearly Pension'!AQ$2,'Credited Service'!$G$1:$BC$80,$A14+1,FALSE)) * (IF($B14=500, (Assumptions!$B$7)*12, IF((HLOOKUP(AQ$2,Earnings!$G$2:$BC$81,('Yearly Pension'!$A14)+1, FALSE)) &gt; AQ$1, (Assumptions!$B$8)*(AQ$1) + (Assumptions!$B$9)*MAX(0,  (HLOOKUP(AQ$2,Earnings!$G$2:$BC$81,('Yearly Pension'!$A14)+1, FALSE)) - AQ$1), ((Assumptions!$B$8)*'Yearly Pension'!AQ$1))))</f>
        <v>720</v>
      </c>
      <c r="AR14" s="6">
        <f>(HLOOKUP('Yearly Pension'!AR$2,'Credited Service'!$G$1:$BC$80,$A14+1,FALSE)) * (IF($B14=500, (Assumptions!$B$7)*12, IF((HLOOKUP(AR$2,Earnings!$G$2:$BC$81,('Yearly Pension'!$A14)+1, FALSE)) &gt; AR$1, (Assumptions!$B$8)*(AR$1) + (Assumptions!$B$9)*MAX(0,  (HLOOKUP(AR$2,Earnings!$G$2:$BC$81,('Yearly Pension'!$A14)+1, FALSE)) - AR$1), ((Assumptions!$B$8)*'Yearly Pension'!AR$1))))</f>
        <v>720</v>
      </c>
      <c r="AS14" s="6">
        <f>(HLOOKUP('Yearly Pension'!AS$2,'Credited Service'!$G$1:$BC$80,$A14+1,FALSE)) * (IF($B14=500, (Assumptions!$B$7)*12, IF((HLOOKUP(AS$2,Earnings!$G$2:$BC$81,('Yearly Pension'!$A14)+1, FALSE)) &gt; AS$1, (Assumptions!$B$8)*(AS$1) + (Assumptions!$B$9)*MAX(0,  (HLOOKUP(AS$2,Earnings!$G$2:$BC$81,('Yearly Pension'!$A14)+1, FALSE)) - AS$1), ((Assumptions!$B$8)*'Yearly Pension'!AS$1))))</f>
        <v>720</v>
      </c>
      <c r="AT14" s="6">
        <f>(HLOOKUP('Yearly Pension'!AT$2,'Credited Service'!$G$1:$BC$80,$A14+1,FALSE)) * (IF($B14=500, (Assumptions!$B$7)*12, IF((HLOOKUP(AT$2,Earnings!$G$2:$BC$81,('Yearly Pension'!$A14)+1, FALSE)) &gt; AT$1, (Assumptions!$B$8)*(AT$1) + (Assumptions!$B$9)*MAX(0,  (HLOOKUP(AT$2,Earnings!$G$2:$BC$81,('Yearly Pension'!$A14)+1, FALSE)) - AT$1), ((Assumptions!$B$8)*'Yearly Pension'!AT$1))))</f>
        <v>720</v>
      </c>
      <c r="AU14" s="6">
        <f>(HLOOKUP('Yearly Pension'!AU$2,'Credited Service'!$G$1:$BC$80,$A14+1,FALSE)) * (IF($B14=500, (Assumptions!$B$7)*12, IF((HLOOKUP(AU$2,Earnings!$G$2:$BC$81,('Yearly Pension'!$A14)+1, FALSE)) &gt; AU$1, (Assumptions!$B$8)*(AU$1) + (Assumptions!$B$9)*MAX(0,  (HLOOKUP(AU$2,Earnings!$G$2:$BC$81,('Yearly Pension'!$A14)+1, FALSE)) - AU$1), ((Assumptions!$B$8)*'Yearly Pension'!AU$1))))</f>
        <v>720</v>
      </c>
      <c r="AV14" s="6">
        <f>(HLOOKUP('Yearly Pension'!AV$2,'Credited Service'!$G$1:$BC$80,$A14+1,FALSE)) * (IF($B14=500, (Assumptions!$B$7)*12, IF((HLOOKUP(AV$2,Earnings!$G$2:$BC$81,('Yearly Pension'!$A14)+1, FALSE)) &gt; AV$1, (Assumptions!$B$8)*(AV$1) + (Assumptions!$B$9)*MAX(0,  (HLOOKUP(AV$2,Earnings!$G$2:$BC$81,('Yearly Pension'!$A14)+1, FALSE)) - AV$1), ((Assumptions!$B$8)*'Yearly Pension'!AV$1))))</f>
        <v>720</v>
      </c>
      <c r="AW14" s="6">
        <f>(HLOOKUP('Yearly Pension'!AW$2,'Credited Service'!$G$1:$BC$80,$A14+1,FALSE)) * (IF($B14=500, (Assumptions!$B$7)*12, IF((HLOOKUP(AW$2,Earnings!$G$2:$BC$81,('Yearly Pension'!$A14)+1, FALSE)) &gt; AW$1, (Assumptions!$B$8)*(AW$1) + (Assumptions!$B$9)*MAX(0,  (HLOOKUP(AW$2,Earnings!$G$2:$BC$81,('Yearly Pension'!$A14)+1, FALSE)) - AW$1), ((Assumptions!$B$8)*'Yearly Pension'!AW$1))))</f>
        <v>720</v>
      </c>
      <c r="AX14" s="6">
        <f>(HLOOKUP('Yearly Pension'!AX$2,'Credited Service'!$G$1:$BC$80,$A14+1,FALSE)) * (IF($B14=500, (Assumptions!$B$7)*12, IF((HLOOKUP(AX$2,Earnings!$G$2:$BC$81,('Yearly Pension'!$A14)+1, FALSE)) &gt; AX$1, (Assumptions!$B$8)*(AX$1) + (Assumptions!$B$9)*MAX(0,  (HLOOKUP(AX$2,Earnings!$G$2:$BC$81,('Yearly Pension'!$A14)+1, FALSE)) - AX$1), ((Assumptions!$B$8)*'Yearly Pension'!AX$1))))</f>
        <v>720</v>
      </c>
      <c r="AY14" s="6">
        <f>(HLOOKUP('Yearly Pension'!AY$2,'Credited Service'!$G$1:$BC$80,$A14+1,FALSE)) * (IF($B14=500, (Assumptions!$B$7)*12, IF((HLOOKUP(AY$2,Earnings!$G$2:$BC$81,('Yearly Pension'!$A14)+1, FALSE)) &gt; AY$1, (Assumptions!$B$8)*(AY$1) + (Assumptions!$B$9)*MAX(0,  (HLOOKUP(AY$2,Earnings!$G$2:$BC$81,('Yearly Pension'!$A14)+1, FALSE)) - AY$1), ((Assumptions!$B$8)*'Yearly Pension'!AY$1))))</f>
        <v>720</v>
      </c>
      <c r="AZ14" s="6">
        <f>(HLOOKUP('Yearly Pension'!AZ$2,'Credited Service'!$G$1:$BC$80,$A14+1,FALSE)) * (IF($B14=500, (Assumptions!$B$7)*12, IF((HLOOKUP(AZ$2,Earnings!$G$2:$BC$81,('Yearly Pension'!$A14)+1, FALSE)) &gt; AZ$1, (Assumptions!$B$8)*(AZ$1) + (Assumptions!$B$9)*MAX(0,  (HLOOKUP(AZ$2,Earnings!$G$2:$BC$81,('Yearly Pension'!$A14)+1, FALSE)) - AZ$1), ((Assumptions!$B$8)*'Yearly Pension'!AZ$1))))</f>
        <v>720</v>
      </c>
      <c r="BA14" s="6">
        <f>(HLOOKUP('Yearly Pension'!BA$2,'Credited Service'!$G$1:$BC$80,$A14+1,FALSE)) * (IF($B14=500, (Assumptions!$B$7)*12, IF((HLOOKUP(BA$2,Earnings!$G$2:$BC$81,('Yearly Pension'!$A14)+1, FALSE)) &gt; BA$1, (Assumptions!$B$8)*(BA$1) + (Assumptions!$B$9)*MAX(0,  (HLOOKUP(BA$2,Earnings!$G$2:$BC$81,('Yearly Pension'!$A14)+1, FALSE)) - BA$1), ((Assumptions!$B$8)*'Yearly Pension'!BA$1))))</f>
        <v>720</v>
      </c>
      <c r="BB14" s="6">
        <f>(HLOOKUP('Yearly Pension'!BB$2,'Credited Service'!$G$1:$BC$80,$A14+1,FALSE)) * (IF($B14=500, (Assumptions!$B$7)*12, IF((HLOOKUP(BB$2,Earnings!$G$2:$BC$81,('Yearly Pension'!$A14)+1, FALSE)) &gt; BB$1, (Assumptions!$B$8)*(BB$1) + (Assumptions!$B$9)*MAX(0,  (HLOOKUP(BB$2,Earnings!$G$2:$BC$81,('Yearly Pension'!$A14)+1, FALSE)) - BB$1), ((Assumptions!$B$8)*'Yearly Pension'!BB$1))))</f>
        <v>720</v>
      </c>
      <c r="BC14" s="6">
        <f>(HLOOKUP('Yearly Pension'!BC$2,'Credited Service'!$G$1:$BC$80,$A14+1,FALSE)) * (IF($B14=500, (Assumptions!$B$7)*12, IF((HLOOKUP(BC$2,Earnings!$G$2:$BC$81,('Yearly Pension'!$A14)+1, FALSE)) &gt; BC$1, (Assumptions!$B$8)*(BC$1) + (Assumptions!$B$9)*MAX(0,  (HLOOKUP(BC$2,Earnings!$G$2:$BC$81,('Yearly Pension'!$A14)+1, FALSE)) - BC$1), ((Assumptions!$B$8)*'Yearly Pension'!BC$1))))</f>
        <v>720</v>
      </c>
    </row>
    <row r="15" spans="1:60" x14ac:dyDescent="0.25">
      <c r="A15" s="204">
        <v>13</v>
      </c>
      <c r="B15" s="1">
        <v>500</v>
      </c>
      <c r="C15" s="1">
        <v>777</v>
      </c>
      <c r="D15" s="3">
        <v>38411</v>
      </c>
      <c r="E15" s="3">
        <v>50345</v>
      </c>
      <c r="G15" s="6">
        <f>(HLOOKUP('Yearly Pension'!G$2,'Credited Service'!$G$1:$BC$80,$A15+1,FALSE)) * (IF($B15=500, (Assumptions!$B$7)*12, IF((HLOOKUP(G$2,Earnings!$G$2:$BC$81,('Yearly Pension'!$A15)+1, FALSE)) &gt; G$1, (Assumptions!$B$8)*(G$1) + (Assumptions!$B$9)*MAX(0,  (HLOOKUP(G$2,Earnings!$G$2:$BC$81,('Yearly Pension'!$A15)+1, FALSE)) - G$1), ((Assumptions!$B$8)*'Yearly Pension'!G$1))))</f>
        <v>0</v>
      </c>
      <c r="H15" s="6">
        <f>(HLOOKUP('Yearly Pension'!H$2,'Credited Service'!$G$1:$BC$80,$A15+1,FALSE)) * (IF($B15=500, (Assumptions!$B$7)*12, IF((HLOOKUP(H$2,Earnings!$G$2:$BC$81,('Yearly Pension'!$A15)+1, FALSE)) &gt; H$1, (Assumptions!$B$8)*(H$1) + (Assumptions!$B$9)*MAX(0,  (HLOOKUP(H$2,Earnings!$G$2:$BC$81,('Yearly Pension'!$A15)+1, FALSE)) - H$1), ((Assumptions!$B$8)*'Yearly Pension'!H$1))))</f>
        <v>0</v>
      </c>
      <c r="I15" s="6">
        <f>(HLOOKUP('Yearly Pension'!I$2,'Credited Service'!$G$1:$BC$80,$A15+1,FALSE)) * (IF($B15=500, (Assumptions!$B$7)*12, IF((HLOOKUP(I$2,Earnings!$G$2:$BC$81,('Yearly Pension'!$A15)+1, FALSE)) &gt; I$1, (Assumptions!$B$8)*(I$1) + (Assumptions!$B$9)*MAX(0,  (HLOOKUP(I$2,Earnings!$G$2:$BC$81,('Yearly Pension'!$A15)+1, FALSE)) - I$1), ((Assumptions!$B$8)*'Yearly Pension'!I$1))))</f>
        <v>0</v>
      </c>
      <c r="J15" s="6">
        <f>(HLOOKUP('Yearly Pension'!J$2,'Credited Service'!$G$1:$BC$80,$A15+1,FALSE)) * (IF($B15=500, (Assumptions!$B$7)*12, IF((HLOOKUP(J$2,Earnings!$G$2:$BC$81,('Yearly Pension'!$A15)+1, FALSE)) &gt; J$1, (Assumptions!$B$8)*(J$1) + (Assumptions!$B$9)*MAX(0,  (HLOOKUP(J$2,Earnings!$G$2:$BC$81,('Yearly Pension'!$A15)+1, FALSE)) - J$1), ((Assumptions!$B$8)*'Yearly Pension'!J$1))))</f>
        <v>0</v>
      </c>
      <c r="K15" s="6">
        <f>(HLOOKUP('Yearly Pension'!K$2,'Credited Service'!$G$1:$BC$80,$A15+1,FALSE)) * (IF($B15=500, (Assumptions!$B$7)*12, IF((HLOOKUP(K$2,Earnings!$G$2:$BC$81,('Yearly Pension'!$A15)+1, FALSE)) &gt; K$1, (Assumptions!$B$8)*(K$1) + (Assumptions!$B$9)*MAX(0,  (HLOOKUP(K$2,Earnings!$G$2:$BC$81,('Yearly Pension'!$A15)+1, FALSE)) - K$1), ((Assumptions!$B$8)*'Yearly Pension'!K$1))))</f>
        <v>0</v>
      </c>
      <c r="L15" s="6">
        <f>(HLOOKUP('Yearly Pension'!L$2,'Credited Service'!$G$1:$BC$80,$A15+1,FALSE)) * (IF($B15=500, (Assumptions!$B$7)*12, IF((HLOOKUP(L$2,Earnings!$G$2:$BC$81,('Yearly Pension'!$A15)+1, FALSE)) &gt; L$1, (Assumptions!$B$8)*(L$1) + (Assumptions!$B$9)*MAX(0,  (HLOOKUP(L$2,Earnings!$G$2:$BC$81,('Yearly Pension'!$A15)+1, FALSE)) - L$1), ((Assumptions!$B$8)*'Yearly Pension'!L$1))))</f>
        <v>0</v>
      </c>
      <c r="M15" s="6">
        <f>(HLOOKUP('Yearly Pension'!M$2,'Credited Service'!$G$1:$BC$80,$A15+1,FALSE)) * (IF($B15=500, (Assumptions!$B$7)*12, IF((HLOOKUP(M$2,Earnings!$G$2:$BC$81,('Yearly Pension'!$A15)+1, FALSE)) &gt; M$1, (Assumptions!$B$8)*(M$1) + (Assumptions!$B$9)*MAX(0,  (HLOOKUP(M$2,Earnings!$G$2:$BC$81,('Yearly Pension'!$A15)+1, FALSE)) - M$1), ((Assumptions!$B$8)*'Yearly Pension'!M$1))))</f>
        <v>0</v>
      </c>
      <c r="N15" s="6">
        <f>(HLOOKUP('Yearly Pension'!N$2,'Credited Service'!$G$1:$BC$80,$A15+1,FALSE)) * (IF($B15=500, (Assumptions!$B$7)*12, IF((HLOOKUP(N$2,Earnings!$G$2:$BC$81,('Yearly Pension'!$A15)+1, FALSE)) &gt; N$1, (Assumptions!$B$8)*(N$1) + (Assumptions!$B$9)*MAX(0,  (HLOOKUP(N$2,Earnings!$G$2:$BC$81,('Yearly Pension'!$A15)+1, FALSE)) - N$1), ((Assumptions!$B$8)*'Yearly Pension'!N$1))))</f>
        <v>0</v>
      </c>
      <c r="O15" s="6">
        <f>(HLOOKUP('Yearly Pension'!O$2,'Credited Service'!$G$1:$BC$80,$A15+1,FALSE)) * (IF($B15=500, (Assumptions!$B$7)*12, IF((HLOOKUP(O$2,Earnings!$G$2:$BC$81,('Yearly Pension'!$A15)+1, FALSE)) &gt; O$1, (Assumptions!$B$8)*(O$1) + (Assumptions!$B$9)*MAX(0,  (HLOOKUP(O$2,Earnings!$G$2:$BC$81,('Yearly Pension'!$A15)+1, FALSE)) - O$1), ((Assumptions!$B$8)*'Yearly Pension'!O$1))))</f>
        <v>0</v>
      </c>
      <c r="P15" s="6">
        <f>(HLOOKUP('Yearly Pension'!P$2,'Credited Service'!$G$1:$BC$80,$A15+1,FALSE)) * (IF($B15=500, (Assumptions!$B$7)*12, IF((HLOOKUP(P$2,Earnings!$G$2:$BC$81,('Yearly Pension'!$A15)+1, FALSE)) &gt; P$1, (Assumptions!$B$8)*(P$1) + (Assumptions!$B$9)*MAX(0,  (HLOOKUP(P$2,Earnings!$G$2:$BC$81,('Yearly Pension'!$A15)+1, FALSE)) - P$1), ((Assumptions!$B$8)*'Yearly Pension'!P$1))))</f>
        <v>0</v>
      </c>
      <c r="Q15" s="6">
        <f>(HLOOKUP('Yearly Pension'!Q$2,'Credited Service'!$G$1:$BC$80,$A15+1,FALSE)) * (IF($B15=500, (Assumptions!$B$7)*12, IF((HLOOKUP(Q$2,Earnings!$G$2:$BC$81,('Yearly Pension'!$A15)+1, FALSE)) &gt; Q$1, (Assumptions!$B$8)*(Q$1) + (Assumptions!$B$9)*MAX(0,  (HLOOKUP(Q$2,Earnings!$G$2:$BC$81,('Yearly Pension'!$A15)+1, FALSE)) - Q$1), ((Assumptions!$B$8)*'Yearly Pension'!Q$1))))</f>
        <v>0</v>
      </c>
      <c r="R15" s="6">
        <f>(HLOOKUP('Yearly Pension'!R$2,'Credited Service'!$G$1:$BC$80,$A15+1,FALSE)) * (IF($B15=500, (Assumptions!$B$7)*12, IF((HLOOKUP(R$2,Earnings!$G$2:$BC$81,('Yearly Pension'!$A15)+1, FALSE)) &gt; R$1, (Assumptions!$B$8)*(R$1) + (Assumptions!$B$9)*MAX(0,  (HLOOKUP(R$2,Earnings!$G$2:$BC$81,('Yearly Pension'!$A15)+1, FALSE)) - R$1), ((Assumptions!$B$8)*'Yearly Pension'!R$1))))</f>
        <v>0</v>
      </c>
      <c r="S15" s="6">
        <f>(HLOOKUP('Yearly Pension'!S$2,'Credited Service'!$G$1:$BC$80,$A15+1,FALSE)) * (IF($B15=500, (Assumptions!$B$7)*12, IF((HLOOKUP(S$2,Earnings!$G$2:$BC$81,('Yearly Pension'!$A15)+1, FALSE)) &gt; S$1, (Assumptions!$B$8)*(S$1) + (Assumptions!$B$9)*MAX(0,  (HLOOKUP(S$2,Earnings!$G$2:$BC$81,('Yearly Pension'!$A15)+1, FALSE)) - S$1), ((Assumptions!$B$8)*'Yearly Pension'!S$1))))</f>
        <v>0</v>
      </c>
      <c r="T15" s="6">
        <f>(HLOOKUP('Yearly Pension'!T$2,'Credited Service'!$G$1:$BC$80,$A15+1,FALSE)) * (IF($B15=500, (Assumptions!$B$7)*12, IF((HLOOKUP(T$2,Earnings!$G$2:$BC$81,('Yearly Pension'!$A15)+1, FALSE)) &gt; T$1, (Assumptions!$B$8)*(T$1) + (Assumptions!$B$9)*MAX(0,  (HLOOKUP(T$2,Earnings!$G$2:$BC$81,('Yearly Pension'!$A15)+1, FALSE)) - T$1), ((Assumptions!$B$8)*'Yearly Pension'!T$1))))</f>
        <v>0</v>
      </c>
      <c r="U15" s="6">
        <f>(HLOOKUP('Yearly Pension'!U$2,'Credited Service'!$G$1:$BC$80,$A15+1,FALSE)) * (IF($B15=500, (Assumptions!$B$7)*12, IF((HLOOKUP(U$2,Earnings!$G$2:$BC$81,('Yearly Pension'!$A15)+1, FALSE)) &gt; U$1, (Assumptions!$B$8)*(U$1) + (Assumptions!$B$9)*MAX(0,  (HLOOKUP(U$2,Earnings!$G$2:$BC$81,('Yearly Pension'!$A15)+1, FALSE)) - U$1), ((Assumptions!$B$8)*'Yearly Pension'!U$1))))</f>
        <v>0</v>
      </c>
      <c r="V15" s="6">
        <f>(HLOOKUP('Yearly Pension'!V$2,'Credited Service'!$G$1:$BC$80,$A15+1,FALSE)) * (IF($B15=500, (Assumptions!$B$7)*12, IF((HLOOKUP(V$2,Earnings!$G$2:$BC$81,('Yearly Pension'!$A15)+1, FALSE)) &gt; V$1, (Assumptions!$B$8)*(V$1) + (Assumptions!$B$9)*MAX(0,  (HLOOKUP(V$2,Earnings!$G$2:$BC$81,('Yearly Pension'!$A15)+1, FALSE)) - V$1), ((Assumptions!$B$8)*'Yearly Pension'!V$1))))</f>
        <v>0</v>
      </c>
      <c r="W15" s="6">
        <f>(HLOOKUP('Yearly Pension'!W$2,'Credited Service'!$G$1:$BC$80,$A15+1,FALSE)) * (IF($B15=500, (Assumptions!$B$7)*12, IF((HLOOKUP(W$2,Earnings!$G$2:$BC$81,('Yearly Pension'!$A15)+1, FALSE)) &gt; W$1, (Assumptions!$B$8)*(W$1) + (Assumptions!$B$9)*MAX(0,  (HLOOKUP(W$2,Earnings!$G$2:$BC$81,('Yearly Pension'!$A15)+1, FALSE)) - W$1), ((Assumptions!$B$8)*'Yearly Pension'!W$1))))</f>
        <v>0</v>
      </c>
      <c r="X15" s="6">
        <f>(HLOOKUP('Yearly Pension'!X$2,'Credited Service'!$G$1:$BC$80,$A15+1,FALSE)) * (IF($B15=500, (Assumptions!$B$7)*12, IF((HLOOKUP(X$2,Earnings!$G$2:$BC$81,('Yearly Pension'!$A15)+1, FALSE)) &gt; X$1, (Assumptions!$B$8)*(X$1) + (Assumptions!$B$9)*MAX(0,  (HLOOKUP(X$2,Earnings!$G$2:$BC$81,('Yearly Pension'!$A15)+1, FALSE)) - X$1), ((Assumptions!$B$8)*'Yearly Pension'!X$1))))</f>
        <v>0</v>
      </c>
      <c r="Y15" s="6">
        <f>(HLOOKUP('Yearly Pension'!Y$2,'Credited Service'!$G$1:$BC$80,$A15+1,FALSE)) * (IF($B15=500, (Assumptions!$B$7)*12, IF((HLOOKUP(Y$2,Earnings!$G$2:$BC$81,('Yearly Pension'!$A15)+1, FALSE)) &gt; Y$1, (Assumptions!$B$8)*(Y$1) + (Assumptions!$B$9)*MAX(0,  (HLOOKUP(Y$2,Earnings!$G$2:$BC$81,('Yearly Pension'!$A15)+1, FALSE)) - Y$1), ((Assumptions!$B$8)*'Yearly Pension'!Y$1))))</f>
        <v>0</v>
      </c>
      <c r="Z15" s="6">
        <f>(HLOOKUP('Yearly Pension'!Z$2,'Credited Service'!$G$1:$BC$80,$A15+1,FALSE)) * (IF($B15=500, (Assumptions!$B$7)*12, IF((HLOOKUP(Z$2,Earnings!$G$2:$BC$81,('Yearly Pension'!$A15)+1, FALSE)) &gt; Z$1, (Assumptions!$B$8)*(Z$1) + (Assumptions!$B$9)*MAX(0,  (HLOOKUP(Z$2,Earnings!$G$2:$BC$81,('Yearly Pension'!$A15)+1, FALSE)) - Z$1), ((Assumptions!$B$8)*'Yearly Pension'!Z$1))))</f>
        <v>0</v>
      </c>
      <c r="AA15" s="6">
        <f>(HLOOKUP('Yearly Pension'!AA$2,'Credited Service'!$G$1:$BC$80,$A15+1,FALSE)) * (IF($B15=500, (Assumptions!$B$7)*12, IF((HLOOKUP(AA$2,Earnings!$G$2:$BC$81,('Yearly Pension'!$A15)+1, FALSE)) &gt; AA$1, (Assumptions!$B$8)*(AA$1) + (Assumptions!$B$9)*MAX(0,  (HLOOKUP(AA$2,Earnings!$G$2:$BC$81,('Yearly Pension'!$A15)+1, FALSE)) - AA$1), ((Assumptions!$B$8)*'Yearly Pension'!AA$1))))</f>
        <v>0</v>
      </c>
      <c r="AB15" s="6">
        <f>(HLOOKUP('Yearly Pension'!AB$2,'Credited Service'!$G$1:$BC$80,$A15+1,FALSE)) * (IF($B15=500, (Assumptions!$B$7)*12, IF((HLOOKUP(AB$2,Earnings!$G$2:$BC$81,('Yearly Pension'!$A15)+1, FALSE)) &gt; AB$1, (Assumptions!$B$8)*(AB$1) + (Assumptions!$B$9)*MAX(0,  (HLOOKUP(AB$2,Earnings!$G$2:$BC$81,('Yearly Pension'!$A15)+1, FALSE)) - AB$1), ((Assumptions!$B$8)*'Yearly Pension'!AB$1))))</f>
        <v>0</v>
      </c>
      <c r="AC15" s="6">
        <f>(HLOOKUP('Yearly Pension'!AC$2,'Credited Service'!$G$1:$BC$80,$A15+1,FALSE)) * (IF($B15=500, (Assumptions!$B$7)*12, IF((HLOOKUP(AC$2,Earnings!$G$2:$BC$81,('Yearly Pension'!$A15)+1, FALSE)) &gt; AC$1, (Assumptions!$B$8)*(AC$1) + (Assumptions!$B$9)*MAX(0,  (HLOOKUP(AC$2,Earnings!$G$2:$BC$81,('Yearly Pension'!$A15)+1, FALSE)) - AC$1), ((Assumptions!$B$8)*'Yearly Pension'!AC$1))))</f>
        <v>0</v>
      </c>
      <c r="AD15" s="6">
        <f>(HLOOKUP('Yearly Pension'!AD$2,'Credited Service'!$G$1:$BC$80,$A15+1,FALSE)) * (IF($B15=500, (Assumptions!$B$7)*12, IF((HLOOKUP(AD$2,Earnings!$G$2:$BC$81,('Yearly Pension'!$A15)+1, FALSE)) &gt; AD$1, (Assumptions!$B$8)*(AD$1) + (Assumptions!$B$9)*MAX(0,  (HLOOKUP(AD$2,Earnings!$G$2:$BC$81,('Yearly Pension'!$A15)+1, FALSE)) - AD$1), ((Assumptions!$B$8)*'Yearly Pension'!AD$1))))</f>
        <v>0</v>
      </c>
      <c r="AE15" s="6">
        <f>(HLOOKUP('Yearly Pension'!AE$2,'Credited Service'!$G$1:$BC$80,$A15+1,FALSE)) * (IF($B15=500, (Assumptions!$B$7)*12, IF((HLOOKUP(AE$2,Earnings!$G$2:$BC$81,('Yearly Pension'!$A15)+1, FALSE)) &gt; AE$1, (Assumptions!$B$8)*(AE$1) + (Assumptions!$B$9)*MAX(0,  (HLOOKUP(AE$2,Earnings!$G$2:$BC$81,('Yearly Pension'!$A15)+1, FALSE)) - AE$1), ((Assumptions!$B$8)*'Yearly Pension'!AE$1))))</f>
        <v>0</v>
      </c>
      <c r="AF15" s="6">
        <f>(HLOOKUP('Yearly Pension'!AF$2,'Credited Service'!$G$1:$BC$80,$A15+1,FALSE)) * (IF($B15=500, (Assumptions!$B$7)*12, IF((HLOOKUP(AF$2,Earnings!$G$2:$BC$81,('Yearly Pension'!$A15)+1, FALSE)) &gt; AF$1, (Assumptions!$B$8)*(AF$1) + (Assumptions!$B$9)*MAX(0,  (HLOOKUP(AF$2,Earnings!$G$2:$BC$81,('Yearly Pension'!$A15)+1, FALSE)) - AF$1), ((Assumptions!$B$8)*'Yearly Pension'!AF$1))))</f>
        <v>0</v>
      </c>
      <c r="AG15" s="6">
        <f>(HLOOKUP('Yearly Pension'!AG$2,'Credited Service'!$G$1:$BC$80,$A15+1,FALSE)) * (IF($B15=500, (Assumptions!$B$7)*12, IF((HLOOKUP(AG$2,Earnings!$G$2:$BC$81,('Yearly Pension'!$A15)+1, FALSE)) &gt; AG$1, (Assumptions!$B$8)*(AG$1) + (Assumptions!$B$9)*MAX(0,  (HLOOKUP(AG$2,Earnings!$G$2:$BC$81,('Yearly Pension'!$A15)+1, FALSE)) - AG$1), ((Assumptions!$B$8)*'Yearly Pension'!AG$1))))</f>
        <v>0</v>
      </c>
      <c r="AH15" s="6">
        <f>(HLOOKUP('Yearly Pension'!AH$2,'Credited Service'!$G$1:$BC$80,$A15+1,FALSE)) * (IF($B15=500, (Assumptions!$B$7)*12, IF((HLOOKUP(AH$2,Earnings!$G$2:$BC$81,('Yearly Pension'!$A15)+1, FALSE)) &gt; AH$1, (Assumptions!$B$8)*(AH$1) + (Assumptions!$B$9)*MAX(0,  (HLOOKUP(AH$2,Earnings!$G$2:$BC$81,('Yearly Pension'!$A15)+1, FALSE)) - AH$1), ((Assumptions!$B$8)*'Yearly Pension'!AH$1))))</f>
        <v>0</v>
      </c>
      <c r="AI15" s="6">
        <f>(HLOOKUP('Yearly Pension'!AI$2,'Credited Service'!$G$1:$BC$80,$A15+1,FALSE)) * (IF($B15=500, (Assumptions!$B$7)*12, IF((HLOOKUP(AI$2,Earnings!$G$2:$BC$81,('Yearly Pension'!$A15)+1, FALSE)) &gt; AI$1, (Assumptions!$B$8)*(AI$1) + (Assumptions!$B$9)*MAX(0,  (HLOOKUP(AI$2,Earnings!$G$2:$BC$81,('Yearly Pension'!$A15)+1, FALSE)) - AI$1), ((Assumptions!$B$8)*'Yearly Pension'!AI$1))))</f>
        <v>600</v>
      </c>
      <c r="AJ15" s="6">
        <f>(HLOOKUP('Yearly Pension'!AJ$2,'Credited Service'!$G$1:$BC$80,$A15+1,FALSE)) * (IF($B15=500, (Assumptions!$B$7)*12, IF((HLOOKUP(AJ$2,Earnings!$G$2:$BC$81,('Yearly Pension'!$A15)+1, FALSE)) &gt; AJ$1, (Assumptions!$B$8)*(AJ$1) + (Assumptions!$B$9)*MAX(0,  (HLOOKUP(AJ$2,Earnings!$G$2:$BC$81,('Yearly Pension'!$A15)+1, FALSE)) - AJ$1), ((Assumptions!$B$8)*'Yearly Pension'!AJ$1))))</f>
        <v>720</v>
      </c>
      <c r="AK15" s="6">
        <f>(HLOOKUP('Yearly Pension'!AK$2,'Credited Service'!$G$1:$BC$80,$A15+1,FALSE)) * (IF($B15=500, (Assumptions!$B$7)*12, IF((HLOOKUP(AK$2,Earnings!$G$2:$BC$81,('Yearly Pension'!$A15)+1, FALSE)) &gt; AK$1, (Assumptions!$B$8)*(AK$1) + (Assumptions!$B$9)*MAX(0,  (HLOOKUP(AK$2,Earnings!$G$2:$BC$81,('Yearly Pension'!$A15)+1, FALSE)) - AK$1), ((Assumptions!$B$8)*'Yearly Pension'!AK$1))))</f>
        <v>720</v>
      </c>
      <c r="AL15" s="6">
        <f>(HLOOKUP('Yearly Pension'!AL$2,'Credited Service'!$G$1:$BC$80,$A15+1,FALSE)) * (IF($B15=500, (Assumptions!$B$7)*12, IF((HLOOKUP(AL$2,Earnings!$G$2:$BC$81,('Yearly Pension'!$A15)+1, FALSE)) &gt; AL$1, (Assumptions!$B$8)*(AL$1) + (Assumptions!$B$9)*MAX(0,  (HLOOKUP(AL$2,Earnings!$G$2:$BC$81,('Yearly Pension'!$A15)+1, FALSE)) - AL$1), ((Assumptions!$B$8)*'Yearly Pension'!AL$1))))</f>
        <v>720</v>
      </c>
      <c r="AM15" s="6">
        <f>(HLOOKUP('Yearly Pension'!AM$2,'Credited Service'!$G$1:$BC$80,$A15+1,FALSE)) * (IF($B15=500, (Assumptions!$B$7)*12, IF((HLOOKUP(AM$2,Earnings!$G$2:$BC$81,('Yearly Pension'!$A15)+1, FALSE)) &gt; AM$1, (Assumptions!$B$8)*(AM$1) + (Assumptions!$B$9)*MAX(0,  (HLOOKUP(AM$2,Earnings!$G$2:$BC$81,('Yearly Pension'!$A15)+1, FALSE)) - AM$1), ((Assumptions!$B$8)*'Yearly Pension'!AM$1))))</f>
        <v>720</v>
      </c>
      <c r="AN15" s="6">
        <f>(HLOOKUP('Yearly Pension'!AN$2,'Credited Service'!$G$1:$BC$80,$A15+1,FALSE)) * (IF($B15=500, (Assumptions!$B$7)*12, IF((HLOOKUP(AN$2,Earnings!$G$2:$BC$81,('Yearly Pension'!$A15)+1, FALSE)) &gt; AN$1, (Assumptions!$B$8)*(AN$1) + (Assumptions!$B$9)*MAX(0,  (HLOOKUP(AN$2,Earnings!$G$2:$BC$81,('Yearly Pension'!$A15)+1, FALSE)) - AN$1), ((Assumptions!$B$8)*'Yearly Pension'!AN$1))))</f>
        <v>720</v>
      </c>
      <c r="AO15" s="6">
        <f>(HLOOKUP('Yearly Pension'!AO$2,'Credited Service'!$G$1:$BC$80,$A15+1,FALSE)) * (IF($B15=500, (Assumptions!$B$7)*12, IF((HLOOKUP(AO$2,Earnings!$G$2:$BC$81,('Yearly Pension'!$A15)+1, FALSE)) &gt; AO$1, (Assumptions!$B$8)*(AO$1) + (Assumptions!$B$9)*MAX(0,  (HLOOKUP(AO$2,Earnings!$G$2:$BC$81,('Yearly Pension'!$A15)+1, FALSE)) - AO$1), ((Assumptions!$B$8)*'Yearly Pension'!AO$1))))</f>
        <v>720</v>
      </c>
      <c r="AP15" s="6">
        <f>(HLOOKUP('Yearly Pension'!AP$2,'Credited Service'!$G$1:$BC$80,$A15+1,FALSE)) * (IF($B15=500, (Assumptions!$B$7)*12, IF((HLOOKUP(AP$2,Earnings!$G$2:$BC$81,('Yearly Pension'!$A15)+1, FALSE)) &gt; AP$1, (Assumptions!$B$8)*(AP$1) + (Assumptions!$B$9)*MAX(0,  (HLOOKUP(AP$2,Earnings!$G$2:$BC$81,('Yearly Pension'!$A15)+1, FALSE)) - AP$1), ((Assumptions!$B$8)*'Yearly Pension'!AP$1))))</f>
        <v>720</v>
      </c>
      <c r="AQ15" s="6">
        <f>(HLOOKUP('Yearly Pension'!AQ$2,'Credited Service'!$G$1:$BC$80,$A15+1,FALSE)) * (IF($B15=500, (Assumptions!$B$7)*12, IF((HLOOKUP(AQ$2,Earnings!$G$2:$BC$81,('Yearly Pension'!$A15)+1, FALSE)) &gt; AQ$1, (Assumptions!$B$8)*(AQ$1) + (Assumptions!$B$9)*MAX(0,  (HLOOKUP(AQ$2,Earnings!$G$2:$BC$81,('Yearly Pension'!$A15)+1, FALSE)) - AQ$1), ((Assumptions!$B$8)*'Yearly Pension'!AQ$1))))</f>
        <v>720</v>
      </c>
      <c r="AR15" s="6">
        <f>(HLOOKUP('Yearly Pension'!AR$2,'Credited Service'!$G$1:$BC$80,$A15+1,FALSE)) * (IF($B15=500, (Assumptions!$B$7)*12, IF((HLOOKUP(AR$2,Earnings!$G$2:$BC$81,('Yearly Pension'!$A15)+1, FALSE)) &gt; AR$1, (Assumptions!$B$8)*(AR$1) + (Assumptions!$B$9)*MAX(0,  (HLOOKUP(AR$2,Earnings!$G$2:$BC$81,('Yearly Pension'!$A15)+1, FALSE)) - AR$1), ((Assumptions!$B$8)*'Yearly Pension'!AR$1))))</f>
        <v>720</v>
      </c>
      <c r="AS15" s="6">
        <f>(HLOOKUP('Yearly Pension'!AS$2,'Credited Service'!$G$1:$BC$80,$A15+1,FALSE)) * (IF($B15=500, (Assumptions!$B$7)*12, IF((HLOOKUP(AS$2,Earnings!$G$2:$BC$81,('Yearly Pension'!$A15)+1, FALSE)) &gt; AS$1, (Assumptions!$B$8)*(AS$1) + (Assumptions!$B$9)*MAX(0,  (HLOOKUP(AS$2,Earnings!$G$2:$BC$81,('Yearly Pension'!$A15)+1, FALSE)) - AS$1), ((Assumptions!$B$8)*'Yearly Pension'!AS$1))))</f>
        <v>720</v>
      </c>
      <c r="AT15" s="6">
        <f>(HLOOKUP('Yearly Pension'!AT$2,'Credited Service'!$G$1:$BC$80,$A15+1,FALSE)) * (IF($B15=500, (Assumptions!$B$7)*12, IF((HLOOKUP(AT$2,Earnings!$G$2:$BC$81,('Yearly Pension'!$A15)+1, FALSE)) &gt; AT$1, (Assumptions!$B$8)*(AT$1) + (Assumptions!$B$9)*MAX(0,  (HLOOKUP(AT$2,Earnings!$G$2:$BC$81,('Yearly Pension'!$A15)+1, FALSE)) - AT$1), ((Assumptions!$B$8)*'Yearly Pension'!AT$1))))</f>
        <v>720</v>
      </c>
      <c r="AU15" s="6">
        <f>(HLOOKUP('Yearly Pension'!AU$2,'Credited Service'!$G$1:$BC$80,$A15+1,FALSE)) * (IF($B15=500, (Assumptions!$B$7)*12, IF((HLOOKUP(AU$2,Earnings!$G$2:$BC$81,('Yearly Pension'!$A15)+1, FALSE)) &gt; AU$1, (Assumptions!$B$8)*(AU$1) + (Assumptions!$B$9)*MAX(0,  (HLOOKUP(AU$2,Earnings!$G$2:$BC$81,('Yearly Pension'!$A15)+1, FALSE)) - AU$1), ((Assumptions!$B$8)*'Yearly Pension'!AU$1))))</f>
        <v>720</v>
      </c>
      <c r="AV15" s="6">
        <f>(HLOOKUP('Yearly Pension'!AV$2,'Credited Service'!$G$1:$BC$80,$A15+1,FALSE)) * (IF($B15=500, (Assumptions!$B$7)*12, IF((HLOOKUP(AV$2,Earnings!$G$2:$BC$81,('Yearly Pension'!$A15)+1, FALSE)) &gt; AV$1, (Assumptions!$B$8)*(AV$1) + (Assumptions!$B$9)*MAX(0,  (HLOOKUP(AV$2,Earnings!$G$2:$BC$81,('Yearly Pension'!$A15)+1, FALSE)) - AV$1), ((Assumptions!$B$8)*'Yearly Pension'!AV$1))))</f>
        <v>720</v>
      </c>
      <c r="AW15" s="6">
        <f>(HLOOKUP('Yearly Pension'!AW$2,'Credited Service'!$G$1:$BC$80,$A15+1,FALSE)) * (IF($B15=500, (Assumptions!$B$7)*12, IF((HLOOKUP(AW$2,Earnings!$G$2:$BC$81,('Yearly Pension'!$A15)+1, FALSE)) &gt; AW$1, (Assumptions!$B$8)*(AW$1) + (Assumptions!$B$9)*MAX(0,  (HLOOKUP(AW$2,Earnings!$G$2:$BC$81,('Yearly Pension'!$A15)+1, FALSE)) - AW$1), ((Assumptions!$B$8)*'Yearly Pension'!AW$1))))</f>
        <v>720</v>
      </c>
      <c r="AX15" s="6">
        <f>(HLOOKUP('Yearly Pension'!AX$2,'Credited Service'!$G$1:$BC$80,$A15+1,FALSE)) * (IF($B15=500, (Assumptions!$B$7)*12, IF((HLOOKUP(AX$2,Earnings!$G$2:$BC$81,('Yearly Pension'!$A15)+1, FALSE)) &gt; AX$1, (Assumptions!$B$8)*(AX$1) + (Assumptions!$B$9)*MAX(0,  (HLOOKUP(AX$2,Earnings!$G$2:$BC$81,('Yearly Pension'!$A15)+1, FALSE)) - AX$1), ((Assumptions!$B$8)*'Yearly Pension'!AX$1))))</f>
        <v>720</v>
      </c>
      <c r="AY15" s="6">
        <f>(HLOOKUP('Yearly Pension'!AY$2,'Credited Service'!$G$1:$BC$80,$A15+1,FALSE)) * (IF($B15=500, (Assumptions!$B$7)*12, IF((HLOOKUP(AY$2,Earnings!$G$2:$BC$81,('Yearly Pension'!$A15)+1, FALSE)) &gt; AY$1, (Assumptions!$B$8)*(AY$1) + (Assumptions!$B$9)*MAX(0,  (HLOOKUP(AY$2,Earnings!$G$2:$BC$81,('Yearly Pension'!$A15)+1, FALSE)) - AY$1), ((Assumptions!$B$8)*'Yearly Pension'!AY$1))))</f>
        <v>720</v>
      </c>
      <c r="AZ15" s="6">
        <f>(HLOOKUP('Yearly Pension'!AZ$2,'Credited Service'!$G$1:$BC$80,$A15+1,FALSE)) * (IF($B15=500, (Assumptions!$B$7)*12, IF((HLOOKUP(AZ$2,Earnings!$G$2:$BC$81,('Yearly Pension'!$A15)+1, FALSE)) &gt; AZ$1, (Assumptions!$B$8)*(AZ$1) + (Assumptions!$B$9)*MAX(0,  (HLOOKUP(AZ$2,Earnings!$G$2:$BC$81,('Yearly Pension'!$A15)+1, FALSE)) - AZ$1), ((Assumptions!$B$8)*'Yearly Pension'!AZ$1))))</f>
        <v>720</v>
      </c>
      <c r="BA15" s="6">
        <f>(HLOOKUP('Yearly Pension'!BA$2,'Credited Service'!$G$1:$BC$80,$A15+1,FALSE)) * (IF($B15=500, (Assumptions!$B$7)*12, IF((HLOOKUP(BA$2,Earnings!$G$2:$BC$81,('Yearly Pension'!$A15)+1, FALSE)) &gt; BA$1, (Assumptions!$B$8)*(BA$1) + (Assumptions!$B$9)*MAX(0,  (HLOOKUP(BA$2,Earnings!$G$2:$BC$81,('Yearly Pension'!$A15)+1, FALSE)) - BA$1), ((Assumptions!$B$8)*'Yearly Pension'!BA$1))))</f>
        <v>720</v>
      </c>
      <c r="BB15" s="6">
        <f>(HLOOKUP('Yearly Pension'!BB$2,'Credited Service'!$G$1:$BC$80,$A15+1,FALSE)) * (IF($B15=500, (Assumptions!$B$7)*12, IF((HLOOKUP(BB$2,Earnings!$G$2:$BC$81,('Yearly Pension'!$A15)+1, FALSE)) &gt; BB$1, (Assumptions!$B$8)*(BB$1) + (Assumptions!$B$9)*MAX(0,  (HLOOKUP(BB$2,Earnings!$G$2:$BC$81,('Yearly Pension'!$A15)+1, FALSE)) - BB$1), ((Assumptions!$B$8)*'Yearly Pension'!BB$1))))</f>
        <v>720</v>
      </c>
      <c r="BC15" s="6">
        <f>(HLOOKUP('Yearly Pension'!BC$2,'Credited Service'!$G$1:$BC$80,$A15+1,FALSE)) * (IF($B15=500, (Assumptions!$B$7)*12, IF((HLOOKUP(BC$2,Earnings!$G$2:$BC$81,('Yearly Pension'!$A15)+1, FALSE)) &gt; BC$1, (Assumptions!$B$8)*(BC$1) + (Assumptions!$B$9)*MAX(0,  (HLOOKUP(BC$2,Earnings!$G$2:$BC$81,('Yearly Pension'!$A15)+1, FALSE)) - BC$1), ((Assumptions!$B$8)*'Yearly Pension'!BC$1))))</f>
        <v>720</v>
      </c>
    </row>
    <row r="16" spans="1:60" x14ac:dyDescent="0.25">
      <c r="A16" s="204">
        <v>14</v>
      </c>
      <c r="B16" s="1">
        <v>500</v>
      </c>
      <c r="C16" s="1">
        <v>776</v>
      </c>
      <c r="D16" s="3">
        <v>38376</v>
      </c>
      <c r="E16" s="3">
        <v>45078</v>
      </c>
      <c r="G16" s="6">
        <f>(HLOOKUP('Yearly Pension'!G$2,'Credited Service'!$G$1:$BC$80,$A16+1,FALSE)) * (IF($B16=500, (Assumptions!$B$7)*12, IF((HLOOKUP(G$2,Earnings!$G$2:$BC$81,('Yearly Pension'!$A16)+1, FALSE)) &gt; G$1, (Assumptions!$B$8)*(G$1) + (Assumptions!$B$9)*MAX(0,  (HLOOKUP(G$2,Earnings!$G$2:$BC$81,('Yearly Pension'!$A16)+1, FALSE)) - G$1), ((Assumptions!$B$8)*'Yearly Pension'!G$1))))</f>
        <v>0</v>
      </c>
      <c r="H16" s="6">
        <f>(HLOOKUP('Yearly Pension'!H$2,'Credited Service'!$G$1:$BC$80,$A16+1,FALSE)) * (IF($B16=500, (Assumptions!$B$7)*12, IF((HLOOKUP(H$2,Earnings!$G$2:$BC$81,('Yearly Pension'!$A16)+1, FALSE)) &gt; H$1, (Assumptions!$B$8)*(H$1) + (Assumptions!$B$9)*MAX(0,  (HLOOKUP(H$2,Earnings!$G$2:$BC$81,('Yearly Pension'!$A16)+1, FALSE)) - H$1), ((Assumptions!$B$8)*'Yearly Pension'!H$1))))</f>
        <v>0</v>
      </c>
      <c r="I16" s="6">
        <f>(HLOOKUP('Yearly Pension'!I$2,'Credited Service'!$G$1:$BC$80,$A16+1,FALSE)) * (IF($B16=500, (Assumptions!$B$7)*12, IF((HLOOKUP(I$2,Earnings!$G$2:$BC$81,('Yearly Pension'!$A16)+1, FALSE)) &gt; I$1, (Assumptions!$B$8)*(I$1) + (Assumptions!$B$9)*MAX(0,  (HLOOKUP(I$2,Earnings!$G$2:$BC$81,('Yearly Pension'!$A16)+1, FALSE)) - I$1), ((Assumptions!$B$8)*'Yearly Pension'!I$1))))</f>
        <v>0</v>
      </c>
      <c r="J16" s="6">
        <f>(HLOOKUP('Yearly Pension'!J$2,'Credited Service'!$G$1:$BC$80,$A16+1,FALSE)) * (IF($B16=500, (Assumptions!$B$7)*12, IF((HLOOKUP(J$2,Earnings!$G$2:$BC$81,('Yearly Pension'!$A16)+1, FALSE)) &gt; J$1, (Assumptions!$B$8)*(J$1) + (Assumptions!$B$9)*MAX(0,  (HLOOKUP(J$2,Earnings!$G$2:$BC$81,('Yearly Pension'!$A16)+1, FALSE)) - J$1), ((Assumptions!$B$8)*'Yearly Pension'!J$1))))</f>
        <v>0</v>
      </c>
      <c r="K16" s="6">
        <f>(HLOOKUP('Yearly Pension'!K$2,'Credited Service'!$G$1:$BC$80,$A16+1,FALSE)) * (IF($B16=500, (Assumptions!$B$7)*12, IF((HLOOKUP(K$2,Earnings!$G$2:$BC$81,('Yearly Pension'!$A16)+1, FALSE)) &gt; K$1, (Assumptions!$B$8)*(K$1) + (Assumptions!$B$9)*MAX(0,  (HLOOKUP(K$2,Earnings!$G$2:$BC$81,('Yearly Pension'!$A16)+1, FALSE)) - K$1), ((Assumptions!$B$8)*'Yearly Pension'!K$1))))</f>
        <v>0</v>
      </c>
      <c r="L16" s="6">
        <f>(HLOOKUP('Yearly Pension'!L$2,'Credited Service'!$G$1:$BC$80,$A16+1,FALSE)) * (IF($B16=500, (Assumptions!$B$7)*12, IF((HLOOKUP(L$2,Earnings!$G$2:$BC$81,('Yearly Pension'!$A16)+1, FALSE)) &gt; L$1, (Assumptions!$B$8)*(L$1) + (Assumptions!$B$9)*MAX(0,  (HLOOKUP(L$2,Earnings!$G$2:$BC$81,('Yearly Pension'!$A16)+1, FALSE)) - L$1), ((Assumptions!$B$8)*'Yearly Pension'!L$1))))</f>
        <v>0</v>
      </c>
      <c r="M16" s="6">
        <f>(HLOOKUP('Yearly Pension'!M$2,'Credited Service'!$G$1:$BC$80,$A16+1,FALSE)) * (IF($B16=500, (Assumptions!$B$7)*12, IF((HLOOKUP(M$2,Earnings!$G$2:$BC$81,('Yearly Pension'!$A16)+1, FALSE)) &gt; M$1, (Assumptions!$B$8)*(M$1) + (Assumptions!$B$9)*MAX(0,  (HLOOKUP(M$2,Earnings!$G$2:$BC$81,('Yearly Pension'!$A16)+1, FALSE)) - M$1), ((Assumptions!$B$8)*'Yearly Pension'!M$1))))</f>
        <v>0</v>
      </c>
      <c r="N16" s="6">
        <f>(HLOOKUP('Yearly Pension'!N$2,'Credited Service'!$G$1:$BC$80,$A16+1,FALSE)) * (IF($B16=500, (Assumptions!$B$7)*12, IF((HLOOKUP(N$2,Earnings!$G$2:$BC$81,('Yearly Pension'!$A16)+1, FALSE)) &gt; N$1, (Assumptions!$B$8)*(N$1) + (Assumptions!$B$9)*MAX(0,  (HLOOKUP(N$2,Earnings!$G$2:$BC$81,('Yearly Pension'!$A16)+1, FALSE)) - N$1), ((Assumptions!$B$8)*'Yearly Pension'!N$1))))</f>
        <v>0</v>
      </c>
      <c r="O16" s="6">
        <f>(HLOOKUP('Yearly Pension'!O$2,'Credited Service'!$G$1:$BC$80,$A16+1,FALSE)) * (IF($B16=500, (Assumptions!$B$7)*12, IF((HLOOKUP(O$2,Earnings!$G$2:$BC$81,('Yearly Pension'!$A16)+1, FALSE)) &gt; O$1, (Assumptions!$B$8)*(O$1) + (Assumptions!$B$9)*MAX(0,  (HLOOKUP(O$2,Earnings!$G$2:$BC$81,('Yearly Pension'!$A16)+1, FALSE)) - O$1), ((Assumptions!$B$8)*'Yearly Pension'!O$1))))</f>
        <v>0</v>
      </c>
      <c r="P16" s="6">
        <f>(HLOOKUP('Yearly Pension'!P$2,'Credited Service'!$G$1:$BC$80,$A16+1,FALSE)) * (IF($B16=500, (Assumptions!$B$7)*12, IF((HLOOKUP(P$2,Earnings!$G$2:$BC$81,('Yearly Pension'!$A16)+1, FALSE)) &gt; P$1, (Assumptions!$B$8)*(P$1) + (Assumptions!$B$9)*MAX(0,  (HLOOKUP(P$2,Earnings!$G$2:$BC$81,('Yearly Pension'!$A16)+1, FALSE)) - P$1), ((Assumptions!$B$8)*'Yearly Pension'!P$1))))</f>
        <v>0</v>
      </c>
      <c r="Q16" s="6">
        <f>(HLOOKUP('Yearly Pension'!Q$2,'Credited Service'!$G$1:$BC$80,$A16+1,FALSE)) * (IF($B16=500, (Assumptions!$B$7)*12, IF((HLOOKUP(Q$2,Earnings!$G$2:$BC$81,('Yearly Pension'!$A16)+1, FALSE)) &gt; Q$1, (Assumptions!$B$8)*(Q$1) + (Assumptions!$B$9)*MAX(0,  (HLOOKUP(Q$2,Earnings!$G$2:$BC$81,('Yearly Pension'!$A16)+1, FALSE)) - Q$1), ((Assumptions!$B$8)*'Yearly Pension'!Q$1))))</f>
        <v>0</v>
      </c>
      <c r="R16" s="6">
        <f>(HLOOKUP('Yearly Pension'!R$2,'Credited Service'!$G$1:$BC$80,$A16+1,FALSE)) * (IF($B16=500, (Assumptions!$B$7)*12, IF((HLOOKUP(R$2,Earnings!$G$2:$BC$81,('Yearly Pension'!$A16)+1, FALSE)) &gt; R$1, (Assumptions!$B$8)*(R$1) + (Assumptions!$B$9)*MAX(0,  (HLOOKUP(R$2,Earnings!$G$2:$BC$81,('Yearly Pension'!$A16)+1, FALSE)) - R$1), ((Assumptions!$B$8)*'Yearly Pension'!R$1))))</f>
        <v>0</v>
      </c>
      <c r="S16" s="6">
        <f>(HLOOKUP('Yearly Pension'!S$2,'Credited Service'!$G$1:$BC$80,$A16+1,FALSE)) * (IF($B16=500, (Assumptions!$B$7)*12, IF((HLOOKUP(S$2,Earnings!$G$2:$BC$81,('Yearly Pension'!$A16)+1, FALSE)) &gt; S$1, (Assumptions!$B$8)*(S$1) + (Assumptions!$B$9)*MAX(0,  (HLOOKUP(S$2,Earnings!$G$2:$BC$81,('Yearly Pension'!$A16)+1, FALSE)) - S$1), ((Assumptions!$B$8)*'Yearly Pension'!S$1))))</f>
        <v>0</v>
      </c>
      <c r="T16" s="6">
        <f>(HLOOKUP('Yearly Pension'!T$2,'Credited Service'!$G$1:$BC$80,$A16+1,FALSE)) * (IF($B16=500, (Assumptions!$B$7)*12, IF((HLOOKUP(T$2,Earnings!$G$2:$BC$81,('Yearly Pension'!$A16)+1, FALSE)) &gt; T$1, (Assumptions!$B$8)*(T$1) + (Assumptions!$B$9)*MAX(0,  (HLOOKUP(T$2,Earnings!$G$2:$BC$81,('Yearly Pension'!$A16)+1, FALSE)) - T$1), ((Assumptions!$B$8)*'Yearly Pension'!T$1))))</f>
        <v>0</v>
      </c>
      <c r="U16" s="6">
        <f>(HLOOKUP('Yearly Pension'!U$2,'Credited Service'!$G$1:$BC$80,$A16+1,FALSE)) * (IF($B16=500, (Assumptions!$B$7)*12, IF((HLOOKUP(U$2,Earnings!$G$2:$BC$81,('Yearly Pension'!$A16)+1, FALSE)) &gt; U$1, (Assumptions!$B$8)*(U$1) + (Assumptions!$B$9)*MAX(0,  (HLOOKUP(U$2,Earnings!$G$2:$BC$81,('Yearly Pension'!$A16)+1, FALSE)) - U$1), ((Assumptions!$B$8)*'Yearly Pension'!U$1))))</f>
        <v>0</v>
      </c>
      <c r="V16" s="6">
        <f>(HLOOKUP('Yearly Pension'!V$2,'Credited Service'!$G$1:$BC$80,$A16+1,FALSE)) * (IF($B16=500, (Assumptions!$B$7)*12, IF((HLOOKUP(V$2,Earnings!$G$2:$BC$81,('Yearly Pension'!$A16)+1, FALSE)) &gt; V$1, (Assumptions!$B$8)*(V$1) + (Assumptions!$B$9)*MAX(0,  (HLOOKUP(V$2,Earnings!$G$2:$BC$81,('Yearly Pension'!$A16)+1, FALSE)) - V$1), ((Assumptions!$B$8)*'Yearly Pension'!V$1))))</f>
        <v>0</v>
      </c>
      <c r="W16" s="6">
        <f>(HLOOKUP('Yearly Pension'!W$2,'Credited Service'!$G$1:$BC$80,$A16+1,FALSE)) * (IF($B16=500, (Assumptions!$B$7)*12, IF((HLOOKUP(W$2,Earnings!$G$2:$BC$81,('Yearly Pension'!$A16)+1, FALSE)) &gt; W$1, (Assumptions!$B$8)*(W$1) + (Assumptions!$B$9)*MAX(0,  (HLOOKUP(W$2,Earnings!$G$2:$BC$81,('Yearly Pension'!$A16)+1, FALSE)) - W$1), ((Assumptions!$B$8)*'Yearly Pension'!W$1))))</f>
        <v>0</v>
      </c>
      <c r="X16" s="6">
        <f>(HLOOKUP('Yearly Pension'!X$2,'Credited Service'!$G$1:$BC$80,$A16+1,FALSE)) * (IF($B16=500, (Assumptions!$B$7)*12, IF((HLOOKUP(X$2,Earnings!$G$2:$BC$81,('Yearly Pension'!$A16)+1, FALSE)) &gt; X$1, (Assumptions!$B$8)*(X$1) + (Assumptions!$B$9)*MAX(0,  (HLOOKUP(X$2,Earnings!$G$2:$BC$81,('Yearly Pension'!$A16)+1, FALSE)) - X$1), ((Assumptions!$B$8)*'Yearly Pension'!X$1))))</f>
        <v>0</v>
      </c>
      <c r="Y16" s="6">
        <f>(HLOOKUP('Yearly Pension'!Y$2,'Credited Service'!$G$1:$BC$80,$A16+1,FALSE)) * (IF($B16=500, (Assumptions!$B$7)*12, IF((HLOOKUP(Y$2,Earnings!$G$2:$BC$81,('Yearly Pension'!$A16)+1, FALSE)) &gt; Y$1, (Assumptions!$B$8)*(Y$1) + (Assumptions!$B$9)*MAX(0,  (HLOOKUP(Y$2,Earnings!$G$2:$BC$81,('Yearly Pension'!$A16)+1, FALSE)) - Y$1), ((Assumptions!$B$8)*'Yearly Pension'!Y$1))))</f>
        <v>0</v>
      </c>
      <c r="Z16" s="6">
        <f>(HLOOKUP('Yearly Pension'!Z$2,'Credited Service'!$G$1:$BC$80,$A16+1,FALSE)) * (IF($B16=500, (Assumptions!$B$7)*12, IF((HLOOKUP(Z$2,Earnings!$G$2:$BC$81,('Yearly Pension'!$A16)+1, FALSE)) &gt; Z$1, (Assumptions!$B$8)*(Z$1) + (Assumptions!$B$9)*MAX(0,  (HLOOKUP(Z$2,Earnings!$G$2:$BC$81,('Yearly Pension'!$A16)+1, FALSE)) - Z$1), ((Assumptions!$B$8)*'Yearly Pension'!Z$1))))</f>
        <v>0</v>
      </c>
      <c r="AA16" s="6">
        <f>(HLOOKUP('Yearly Pension'!AA$2,'Credited Service'!$G$1:$BC$80,$A16+1,FALSE)) * (IF($B16=500, (Assumptions!$B$7)*12, IF((HLOOKUP(AA$2,Earnings!$G$2:$BC$81,('Yearly Pension'!$A16)+1, FALSE)) &gt; AA$1, (Assumptions!$B$8)*(AA$1) + (Assumptions!$B$9)*MAX(0,  (HLOOKUP(AA$2,Earnings!$G$2:$BC$81,('Yearly Pension'!$A16)+1, FALSE)) - AA$1), ((Assumptions!$B$8)*'Yearly Pension'!AA$1))))</f>
        <v>0</v>
      </c>
      <c r="AB16" s="6">
        <f>(HLOOKUP('Yearly Pension'!AB$2,'Credited Service'!$G$1:$BC$80,$A16+1,FALSE)) * (IF($B16=500, (Assumptions!$B$7)*12, IF((HLOOKUP(AB$2,Earnings!$G$2:$BC$81,('Yearly Pension'!$A16)+1, FALSE)) &gt; AB$1, (Assumptions!$B$8)*(AB$1) + (Assumptions!$B$9)*MAX(0,  (HLOOKUP(AB$2,Earnings!$G$2:$BC$81,('Yearly Pension'!$A16)+1, FALSE)) - AB$1), ((Assumptions!$B$8)*'Yearly Pension'!AB$1))))</f>
        <v>0</v>
      </c>
      <c r="AC16" s="6">
        <f>(HLOOKUP('Yearly Pension'!AC$2,'Credited Service'!$G$1:$BC$80,$A16+1,FALSE)) * (IF($B16=500, (Assumptions!$B$7)*12, IF((HLOOKUP(AC$2,Earnings!$G$2:$BC$81,('Yearly Pension'!$A16)+1, FALSE)) &gt; AC$1, (Assumptions!$B$8)*(AC$1) + (Assumptions!$B$9)*MAX(0,  (HLOOKUP(AC$2,Earnings!$G$2:$BC$81,('Yearly Pension'!$A16)+1, FALSE)) - AC$1), ((Assumptions!$B$8)*'Yearly Pension'!AC$1))))</f>
        <v>0</v>
      </c>
      <c r="AD16" s="6">
        <f>(HLOOKUP('Yearly Pension'!AD$2,'Credited Service'!$G$1:$BC$80,$A16+1,FALSE)) * (IF($B16=500, (Assumptions!$B$7)*12, IF((HLOOKUP(AD$2,Earnings!$G$2:$BC$81,('Yearly Pension'!$A16)+1, FALSE)) &gt; AD$1, (Assumptions!$B$8)*(AD$1) + (Assumptions!$B$9)*MAX(0,  (HLOOKUP(AD$2,Earnings!$G$2:$BC$81,('Yearly Pension'!$A16)+1, FALSE)) - AD$1), ((Assumptions!$B$8)*'Yearly Pension'!AD$1))))</f>
        <v>0</v>
      </c>
      <c r="AE16" s="6">
        <f>(HLOOKUP('Yearly Pension'!AE$2,'Credited Service'!$G$1:$BC$80,$A16+1,FALSE)) * (IF($B16=500, (Assumptions!$B$7)*12, IF((HLOOKUP(AE$2,Earnings!$G$2:$BC$81,('Yearly Pension'!$A16)+1, FALSE)) &gt; AE$1, (Assumptions!$B$8)*(AE$1) + (Assumptions!$B$9)*MAX(0,  (HLOOKUP(AE$2,Earnings!$G$2:$BC$81,('Yearly Pension'!$A16)+1, FALSE)) - AE$1), ((Assumptions!$B$8)*'Yearly Pension'!AE$1))))</f>
        <v>0</v>
      </c>
      <c r="AF16" s="6">
        <f>(HLOOKUP('Yearly Pension'!AF$2,'Credited Service'!$G$1:$BC$80,$A16+1,FALSE)) * (IF($B16=500, (Assumptions!$B$7)*12, IF((HLOOKUP(AF$2,Earnings!$G$2:$BC$81,('Yearly Pension'!$A16)+1, FALSE)) &gt; AF$1, (Assumptions!$B$8)*(AF$1) + (Assumptions!$B$9)*MAX(0,  (HLOOKUP(AF$2,Earnings!$G$2:$BC$81,('Yearly Pension'!$A16)+1, FALSE)) - AF$1), ((Assumptions!$B$8)*'Yearly Pension'!AF$1))))</f>
        <v>0</v>
      </c>
      <c r="AG16" s="6">
        <f>(HLOOKUP('Yearly Pension'!AG$2,'Credited Service'!$G$1:$BC$80,$A16+1,FALSE)) * (IF($B16=500, (Assumptions!$B$7)*12, IF((HLOOKUP(AG$2,Earnings!$G$2:$BC$81,('Yearly Pension'!$A16)+1, FALSE)) &gt; AG$1, (Assumptions!$B$8)*(AG$1) + (Assumptions!$B$9)*MAX(0,  (HLOOKUP(AG$2,Earnings!$G$2:$BC$81,('Yearly Pension'!$A16)+1, FALSE)) - AG$1), ((Assumptions!$B$8)*'Yearly Pension'!AG$1))))</f>
        <v>0</v>
      </c>
      <c r="AH16" s="6">
        <f>(HLOOKUP('Yearly Pension'!AH$2,'Credited Service'!$G$1:$BC$80,$A16+1,FALSE)) * (IF($B16=500, (Assumptions!$B$7)*12, IF((HLOOKUP(AH$2,Earnings!$G$2:$BC$81,('Yearly Pension'!$A16)+1, FALSE)) &gt; AH$1, (Assumptions!$B$8)*(AH$1) + (Assumptions!$B$9)*MAX(0,  (HLOOKUP(AH$2,Earnings!$G$2:$BC$81,('Yearly Pension'!$A16)+1, FALSE)) - AH$1), ((Assumptions!$B$8)*'Yearly Pension'!AH$1))))</f>
        <v>0</v>
      </c>
      <c r="AI16" s="6">
        <f>(HLOOKUP('Yearly Pension'!AI$2,'Credited Service'!$G$1:$BC$80,$A16+1,FALSE)) * (IF($B16=500, (Assumptions!$B$7)*12, IF((HLOOKUP(AI$2,Earnings!$G$2:$BC$81,('Yearly Pension'!$A16)+1, FALSE)) &gt; AI$1, (Assumptions!$B$8)*(AI$1) + (Assumptions!$B$9)*MAX(0,  (HLOOKUP(AI$2,Earnings!$G$2:$BC$81,('Yearly Pension'!$A16)+1, FALSE)) - AI$1), ((Assumptions!$B$8)*'Yearly Pension'!AI$1))))</f>
        <v>660</v>
      </c>
      <c r="AJ16" s="6">
        <f>(HLOOKUP('Yearly Pension'!AJ$2,'Credited Service'!$G$1:$BC$80,$A16+1,FALSE)) * (IF($B16=500, (Assumptions!$B$7)*12, IF((HLOOKUP(AJ$2,Earnings!$G$2:$BC$81,('Yearly Pension'!$A16)+1, FALSE)) &gt; AJ$1, (Assumptions!$B$8)*(AJ$1) + (Assumptions!$B$9)*MAX(0,  (HLOOKUP(AJ$2,Earnings!$G$2:$BC$81,('Yearly Pension'!$A16)+1, FALSE)) - AJ$1), ((Assumptions!$B$8)*'Yearly Pension'!AJ$1))))</f>
        <v>720</v>
      </c>
      <c r="AK16" s="6">
        <f>(HLOOKUP('Yearly Pension'!AK$2,'Credited Service'!$G$1:$BC$80,$A16+1,FALSE)) * (IF($B16=500, (Assumptions!$B$7)*12, IF((HLOOKUP(AK$2,Earnings!$G$2:$BC$81,('Yearly Pension'!$A16)+1, FALSE)) &gt; AK$1, (Assumptions!$B$8)*(AK$1) + (Assumptions!$B$9)*MAX(0,  (HLOOKUP(AK$2,Earnings!$G$2:$BC$81,('Yearly Pension'!$A16)+1, FALSE)) - AK$1), ((Assumptions!$B$8)*'Yearly Pension'!AK$1))))</f>
        <v>720</v>
      </c>
      <c r="AL16" s="6">
        <f>(HLOOKUP('Yearly Pension'!AL$2,'Credited Service'!$G$1:$BC$80,$A16+1,FALSE)) * (IF($B16=500, (Assumptions!$B$7)*12, IF((HLOOKUP(AL$2,Earnings!$G$2:$BC$81,('Yearly Pension'!$A16)+1, FALSE)) &gt; AL$1, (Assumptions!$B$8)*(AL$1) + (Assumptions!$B$9)*MAX(0,  (HLOOKUP(AL$2,Earnings!$G$2:$BC$81,('Yearly Pension'!$A16)+1, FALSE)) - AL$1), ((Assumptions!$B$8)*'Yearly Pension'!AL$1))))</f>
        <v>720</v>
      </c>
      <c r="AM16" s="6">
        <f>(HLOOKUP('Yearly Pension'!AM$2,'Credited Service'!$G$1:$BC$80,$A16+1,FALSE)) * (IF($B16=500, (Assumptions!$B$7)*12, IF((HLOOKUP(AM$2,Earnings!$G$2:$BC$81,('Yearly Pension'!$A16)+1, FALSE)) &gt; AM$1, (Assumptions!$B$8)*(AM$1) + (Assumptions!$B$9)*MAX(0,  (HLOOKUP(AM$2,Earnings!$G$2:$BC$81,('Yearly Pension'!$A16)+1, FALSE)) - AM$1), ((Assumptions!$B$8)*'Yearly Pension'!AM$1))))</f>
        <v>720</v>
      </c>
      <c r="AN16" s="6">
        <f>(HLOOKUP('Yearly Pension'!AN$2,'Credited Service'!$G$1:$BC$80,$A16+1,FALSE)) * (IF($B16=500, (Assumptions!$B$7)*12, IF((HLOOKUP(AN$2,Earnings!$G$2:$BC$81,('Yearly Pension'!$A16)+1, FALSE)) &gt; AN$1, (Assumptions!$B$8)*(AN$1) + (Assumptions!$B$9)*MAX(0,  (HLOOKUP(AN$2,Earnings!$G$2:$BC$81,('Yearly Pension'!$A16)+1, FALSE)) - AN$1), ((Assumptions!$B$8)*'Yearly Pension'!AN$1))))</f>
        <v>720</v>
      </c>
      <c r="AO16" s="6">
        <f>(HLOOKUP('Yearly Pension'!AO$2,'Credited Service'!$G$1:$BC$80,$A16+1,FALSE)) * (IF($B16=500, (Assumptions!$B$7)*12, IF((HLOOKUP(AO$2,Earnings!$G$2:$BC$81,('Yearly Pension'!$A16)+1, FALSE)) &gt; AO$1, (Assumptions!$B$8)*(AO$1) + (Assumptions!$B$9)*MAX(0,  (HLOOKUP(AO$2,Earnings!$G$2:$BC$81,('Yearly Pension'!$A16)+1, FALSE)) - AO$1), ((Assumptions!$B$8)*'Yearly Pension'!AO$1))))</f>
        <v>720</v>
      </c>
      <c r="AP16" s="6">
        <f>(HLOOKUP('Yearly Pension'!AP$2,'Credited Service'!$G$1:$BC$80,$A16+1,FALSE)) * (IF($B16=500, (Assumptions!$B$7)*12, IF((HLOOKUP(AP$2,Earnings!$G$2:$BC$81,('Yearly Pension'!$A16)+1, FALSE)) &gt; AP$1, (Assumptions!$B$8)*(AP$1) + (Assumptions!$B$9)*MAX(0,  (HLOOKUP(AP$2,Earnings!$G$2:$BC$81,('Yearly Pension'!$A16)+1, FALSE)) - AP$1), ((Assumptions!$B$8)*'Yearly Pension'!AP$1))))</f>
        <v>720</v>
      </c>
      <c r="AQ16" s="6">
        <f>(HLOOKUP('Yearly Pension'!AQ$2,'Credited Service'!$G$1:$BC$80,$A16+1,FALSE)) * (IF($B16=500, (Assumptions!$B$7)*12, IF((HLOOKUP(AQ$2,Earnings!$G$2:$BC$81,('Yearly Pension'!$A16)+1, FALSE)) &gt; AQ$1, (Assumptions!$B$8)*(AQ$1) + (Assumptions!$B$9)*MAX(0,  (HLOOKUP(AQ$2,Earnings!$G$2:$BC$81,('Yearly Pension'!$A16)+1, FALSE)) - AQ$1), ((Assumptions!$B$8)*'Yearly Pension'!AQ$1))))</f>
        <v>720</v>
      </c>
      <c r="AR16" s="6">
        <f>(HLOOKUP('Yearly Pension'!AR$2,'Credited Service'!$G$1:$BC$80,$A16+1,FALSE)) * (IF($B16=500, (Assumptions!$B$7)*12, IF((HLOOKUP(AR$2,Earnings!$G$2:$BC$81,('Yearly Pension'!$A16)+1, FALSE)) &gt; AR$1, (Assumptions!$B$8)*(AR$1) + (Assumptions!$B$9)*MAX(0,  (HLOOKUP(AR$2,Earnings!$G$2:$BC$81,('Yearly Pension'!$A16)+1, FALSE)) - AR$1), ((Assumptions!$B$8)*'Yearly Pension'!AR$1))))</f>
        <v>720</v>
      </c>
      <c r="AS16" s="6">
        <f>(HLOOKUP('Yearly Pension'!AS$2,'Credited Service'!$G$1:$BC$80,$A16+1,FALSE)) * (IF($B16=500, (Assumptions!$B$7)*12, IF((HLOOKUP(AS$2,Earnings!$G$2:$BC$81,('Yearly Pension'!$A16)+1, FALSE)) &gt; AS$1, (Assumptions!$B$8)*(AS$1) + (Assumptions!$B$9)*MAX(0,  (HLOOKUP(AS$2,Earnings!$G$2:$BC$81,('Yearly Pension'!$A16)+1, FALSE)) - AS$1), ((Assumptions!$B$8)*'Yearly Pension'!AS$1))))</f>
        <v>720</v>
      </c>
      <c r="AT16" s="6">
        <f>(HLOOKUP('Yearly Pension'!AT$2,'Credited Service'!$G$1:$BC$80,$A16+1,FALSE)) * (IF($B16=500, (Assumptions!$B$7)*12, IF((HLOOKUP(AT$2,Earnings!$G$2:$BC$81,('Yearly Pension'!$A16)+1, FALSE)) &gt; AT$1, (Assumptions!$B$8)*(AT$1) + (Assumptions!$B$9)*MAX(0,  (HLOOKUP(AT$2,Earnings!$G$2:$BC$81,('Yearly Pension'!$A16)+1, FALSE)) - AT$1), ((Assumptions!$B$8)*'Yearly Pension'!AT$1))))</f>
        <v>720</v>
      </c>
      <c r="AU16" s="6">
        <f>(HLOOKUP('Yearly Pension'!AU$2,'Credited Service'!$G$1:$BC$80,$A16+1,FALSE)) * (IF($B16=500, (Assumptions!$B$7)*12, IF((HLOOKUP(AU$2,Earnings!$G$2:$BC$81,('Yearly Pension'!$A16)+1, FALSE)) &gt; AU$1, (Assumptions!$B$8)*(AU$1) + (Assumptions!$B$9)*MAX(0,  (HLOOKUP(AU$2,Earnings!$G$2:$BC$81,('Yearly Pension'!$A16)+1, FALSE)) - AU$1), ((Assumptions!$B$8)*'Yearly Pension'!AU$1))))</f>
        <v>720</v>
      </c>
      <c r="AV16" s="6">
        <f>(HLOOKUP('Yearly Pension'!AV$2,'Credited Service'!$G$1:$BC$80,$A16+1,FALSE)) * (IF($B16=500, (Assumptions!$B$7)*12, IF((HLOOKUP(AV$2,Earnings!$G$2:$BC$81,('Yearly Pension'!$A16)+1, FALSE)) &gt; AV$1, (Assumptions!$B$8)*(AV$1) + (Assumptions!$B$9)*MAX(0,  (HLOOKUP(AV$2,Earnings!$G$2:$BC$81,('Yearly Pension'!$A16)+1, FALSE)) - AV$1), ((Assumptions!$B$8)*'Yearly Pension'!AV$1))))</f>
        <v>720</v>
      </c>
      <c r="AW16" s="6">
        <f>(HLOOKUP('Yearly Pension'!AW$2,'Credited Service'!$G$1:$BC$80,$A16+1,FALSE)) * (IF($B16=500, (Assumptions!$B$7)*12, IF((HLOOKUP(AW$2,Earnings!$G$2:$BC$81,('Yearly Pension'!$A16)+1, FALSE)) &gt; AW$1, (Assumptions!$B$8)*(AW$1) + (Assumptions!$B$9)*MAX(0,  (HLOOKUP(AW$2,Earnings!$G$2:$BC$81,('Yearly Pension'!$A16)+1, FALSE)) - AW$1), ((Assumptions!$B$8)*'Yearly Pension'!AW$1))))</f>
        <v>720</v>
      </c>
      <c r="AX16" s="6">
        <f>(HLOOKUP('Yearly Pension'!AX$2,'Credited Service'!$G$1:$BC$80,$A16+1,FALSE)) * (IF($B16=500, (Assumptions!$B$7)*12, IF((HLOOKUP(AX$2,Earnings!$G$2:$BC$81,('Yearly Pension'!$A16)+1, FALSE)) &gt; AX$1, (Assumptions!$B$8)*(AX$1) + (Assumptions!$B$9)*MAX(0,  (HLOOKUP(AX$2,Earnings!$G$2:$BC$81,('Yearly Pension'!$A16)+1, FALSE)) - AX$1), ((Assumptions!$B$8)*'Yearly Pension'!AX$1))))</f>
        <v>720</v>
      </c>
      <c r="AY16" s="6">
        <f>(HLOOKUP('Yearly Pension'!AY$2,'Credited Service'!$G$1:$BC$80,$A16+1,FALSE)) * (IF($B16=500, (Assumptions!$B$7)*12, IF((HLOOKUP(AY$2,Earnings!$G$2:$BC$81,('Yearly Pension'!$A16)+1, FALSE)) &gt; AY$1, (Assumptions!$B$8)*(AY$1) + (Assumptions!$B$9)*MAX(0,  (HLOOKUP(AY$2,Earnings!$G$2:$BC$81,('Yearly Pension'!$A16)+1, FALSE)) - AY$1), ((Assumptions!$B$8)*'Yearly Pension'!AY$1))))</f>
        <v>720</v>
      </c>
      <c r="AZ16" s="6">
        <f>(HLOOKUP('Yearly Pension'!AZ$2,'Credited Service'!$G$1:$BC$80,$A16+1,FALSE)) * (IF($B16=500, (Assumptions!$B$7)*12, IF((HLOOKUP(AZ$2,Earnings!$G$2:$BC$81,('Yearly Pension'!$A16)+1, FALSE)) &gt; AZ$1, (Assumptions!$B$8)*(AZ$1) + (Assumptions!$B$9)*MAX(0,  (HLOOKUP(AZ$2,Earnings!$G$2:$BC$81,('Yearly Pension'!$A16)+1, FALSE)) - AZ$1), ((Assumptions!$B$8)*'Yearly Pension'!AZ$1))))</f>
        <v>720</v>
      </c>
      <c r="BA16" s="6">
        <f>(HLOOKUP('Yearly Pension'!BA$2,'Credited Service'!$G$1:$BC$80,$A16+1,FALSE)) * (IF($B16=500, (Assumptions!$B$7)*12, IF((HLOOKUP(BA$2,Earnings!$G$2:$BC$81,('Yearly Pension'!$A16)+1, FALSE)) &gt; BA$1, (Assumptions!$B$8)*(BA$1) + (Assumptions!$B$9)*MAX(0,  (HLOOKUP(BA$2,Earnings!$G$2:$BC$81,('Yearly Pension'!$A16)+1, FALSE)) - BA$1), ((Assumptions!$B$8)*'Yearly Pension'!BA$1))))</f>
        <v>300</v>
      </c>
      <c r="BB16" s="6">
        <f>(HLOOKUP('Yearly Pension'!BB$2,'Credited Service'!$G$1:$BC$80,$A16+1,FALSE)) * (IF($B16=500, (Assumptions!$B$7)*12, IF((HLOOKUP(BB$2,Earnings!$G$2:$BC$81,('Yearly Pension'!$A16)+1, FALSE)) &gt; BB$1, (Assumptions!$B$8)*(BB$1) + (Assumptions!$B$9)*MAX(0,  (HLOOKUP(BB$2,Earnings!$G$2:$BC$81,('Yearly Pension'!$A16)+1, FALSE)) - BB$1), ((Assumptions!$B$8)*'Yearly Pension'!BB$1))))</f>
        <v>0</v>
      </c>
      <c r="BC16" s="6">
        <f>(HLOOKUP('Yearly Pension'!BC$2,'Credited Service'!$G$1:$BC$80,$A16+1,FALSE)) * (IF($B16=500, (Assumptions!$B$7)*12, IF((HLOOKUP(BC$2,Earnings!$G$2:$BC$81,('Yearly Pension'!$A16)+1, FALSE)) &gt; BC$1, (Assumptions!$B$8)*(BC$1) + (Assumptions!$B$9)*MAX(0,  (HLOOKUP(BC$2,Earnings!$G$2:$BC$81,('Yearly Pension'!$A16)+1, FALSE)) - BC$1), ((Assumptions!$B$8)*'Yearly Pension'!BC$1))))</f>
        <v>0</v>
      </c>
    </row>
    <row r="17" spans="1:55" x14ac:dyDescent="0.25">
      <c r="A17" s="204">
        <v>15</v>
      </c>
      <c r="B17" s="1">
        <v>500</v>
      </c>
      <c r="C17" s="1">
        <v>775</v>
      </c>
      <c r="D17" s="3">
        <v>38350</v>
      </c>
      <c r="E17" s="3">
        <v>45778</v>
      </c>
      <c r="G17" s="6">
        <f>(HLOOKUP('Yearly Pension'!G$2,'Credited Service'!$G$1:$BC$80,$A17+1,FALSE)) * (IF($B17=500, (Assumptions!$B$7)*12, IF((HLOOKUP(G$2,Earnings!$G$2:$BC$81,('Yearly Pension'!$A17)+1, FALSE)) &gt; G$1, (Assumptions!$B$8)*(G$1) + (Assumptions!$B$9)*MAX(0,  (HLOOKUP(G$2,Earnings!$G$2:$BC$81,('Yearly Pension'!$A17)+1, FALSE)) - G$1), ((Assumptions!$B$8)*'Yearly Pension'!G$1))))</f>
        <v>0</v>
      </c>
      <c r="H17" s="6">
        <f>(HLOOKUP('Yearly Pension'!H$2,'Credited Service'!$G$1:$BC$80,$A17+1,FALSE)) * (IF($B17=500, (Assumptions!$B$7)*12, IF((HLOOKUP(H$2,Earnings!$G$2:$BC$81,('Yearly Pension'!$A17)+1, FALSE)) &gt; H$1, (Assumptions!$B$8)*(H$1) + (Assumptions!$B$9)*MAX(0,  (HLOOKUP(H$2,Earnings!$G$2:$BC$81,('Yearly Pension'!$A17)+1, FALSE)) - H$1), ((Assumptions!$B$8)*'Yearly Pension'!H$1))))</f>
        <v>0</v>
      </c>
      <c r="I17" s="6">
        <f>(HLOOKUP('Yearly Pension'!I$2,'Credited Service'!$G$1:$BC$80,$A17+1,FALSE)) * (IF($B17=500, (Assumptions!$B$7)*12, IF((HLOOKUP(I$2,Earnings!$G$2:$BC$81,('Yearly Pension'!$A17)+1, FALSE)) &gt; I$1, (Assumptions!$B$8)*(I$1) + (Assumptions!$B$9)*MAX(0,  (HLOOKUP(I$2,Earnings!$G$2:$BC$81,('Yearly Pension'!$A17)+1, FALSE)) - I$1), ((Assumptions!$B$8)*'Yearly Pension'!I$1))))</f>
        <v>0</v>
      </c>
      <c r="J17" s="6">
        <f>(HLOOKUP('Yearly Pension'!J$2,'Credited Service'!$G$1:$BC$80,$A17+1,FALSE)) * (IF($B17=500, (Assumptions!$B$7)*12, IF((HLOOKUP(J$2,Earnings!$G$2:$BC$81,('Yearly Pension'!$A17)+1, FALSE)) &gt; J$1, (Assumptions!$B$8)*(J$1) + (Assumptions!$B$9)*MAX(0,  (HLOOKUP(J$2,Earnings!$G$2:$BC$81,('Yearly Pension'!$A17)+1, FALSE)) - J$1), ((Assumptions!$B$8)*'Yearly Pension'!J$1))))</f>
        <v>0</v>
      </c>
      <c r="K17" s="6">
        <f>(HLOOKUP('Yearly Pension'!K$2,'Credited Service'!$G$1:$BC$80,$A17+1,FALSE)) * (IF($B17=500, (Assumptions!$B$7)*12, IF((HLOOKUP(K$2,Earnings!$G$2:$BC$81,('Yearly Pension'!$A17)+1, FALSE)) &gt; K$1, (Assumptions!$B$8)*(K$1) + (Assumptions!$B$9)*MAX(0,  (HLOOKUP(K$2,Earnings!$G$2:$BC$81,('Yearly Pension'!$A17)+1, FALSE)) - K$1), ((Assumptions!$B$8)*'Yearly Pension'!K$1))))</f>
        <v>0</v>
      </c>
      <c r="L17" s="6">
        <f>(HLOOKUP('Yearly Pension'!L$2,'Credited Service'!$G$1:$BC$80,$A17+1,FALSE)) * (IF($B17=500, (Assumptions!$B$7)*12, IF((HLOOKUP(L$2,Earnings!$G$2:$BC$81,('Yearly Pension'!$A17)+1, FALSE)) &gt; L$1, (Assumptions!$B$8)*(L$1) + (Assumptions!$B$9)*MAX(0,  (HLOOKUP(L$2,Earnings!$G$2:$BC$81,('Yearly Pension'!$A17)+1, FALSE)) - L$1), ((Assumptions!$B$8)*'Yearly Pension'!L$1))))</f>
        <v>0</v>
      </c>
      <c r="M17" s="6">
        <f>(HLOOKUP('Yearly Pension'!M$2,'Credited Service'!$G$1:$BC$80,$A17+1,FALSE)) * (IF($B17=500, (Assumptions!$B$7)*12, IF((HLOOKUP(M$2,Earnings!$G$2:$BC$81,('Yearly Pension'!$A17)+1, FALSE)) &gt; M$1, (Assumptions!$B$8)*(M$1) + (Assumptions!$B$9)*MAX(0,  (HLOOKUP(M$2,Earnings!$G$2:$BC$81,('Yearly Pension'!$A17)+1, FALSE)) - M$1), ((Assumptions!$B$8)*'Yearly Pension'!M$1))))</f>
        <v>0</v>
      </c>
      <c r="N17" s="6">
        <f>(HLOOKUP('Yearly Pension'!N$2,'Credited Service'!$G$1:$BC$80,$A17+1,FALSE)) * (IF($B17=500, (Assumptions!$B$7)*12, IF((HLOOKUP(N$2,Earnings!$G$2:$BC$81,('Yearly Pension'!$A17)+1, FALSE)) &gt; N$1, (Assumptions!$B$8)*(N$1) + (Assumptions!$B$9)*MAX(0,  (HLOOKUP(N$2,Earnings!$G$2:$BC$81,('Yearly Pension'!$A17)+1, FALSE)) - N$1), ((Assumptions!$B$8)*'Yearly Pension'!N$1))))</f>
        <v>0</v>
      </c>
      <c r="O17" s="6">
        <f>(HLOOKUP('Yearly Pension'!O$2,'Credited Service'!$G$1:$BC$80,$A17+1,FALSE)) * (IF($B17=500, (Assumptions!$B$7)*12, IF((HLOOKUP(O$2,Earnings!$G$2:$BC$81,('Yearly Pension'!$A17)+1, FALSE)) &gt; O$1, (Assumptions!$B$8)*(O$1) + (Assumptions!$B$9)*MAX(0,  (HLOOKUP(O$2,Earnings!$G$2:$BC$81,('Yearly Pension'!$A17)+1, FALSE)) - O$1), ((Assumptions!$B$8)*'Yearly Pension'!O$1))))</f>
        <v>0</v>
      </c>
      <c r="P17" s="6">
        <f>(HLOOKUP('Yearly Pension'!P$2,'Credited Service'!$G$1:$BC$80,$A17+1,FALSE)) * (IF($B17=500, (Assumptions!$B$7)*12, IF((HLOOKUP(P$2,Earnings!$G$2:$BC$81,('Yearly Pension'!$A17)+1, FALSE)) &gt; P$1, (Assumptions!$B$8)*(P$1) + (Assumptions!$B$9)*MAX(0,  (HLOOKUP(P$2,Earnings!$G$2:$BC$81,('Yearly Pension'!$A17)+1, FALSE)) - P$1), ((Assumptions!$B$8)*'Yearly Pension'!P$1))))</f>
        <v>0</v>
      </c>
      <c r="Q17" s="6">
        <f>(HLOOKUP('Yearly Pension'!Q$2,'Credited Service'!$G$1:$BC$80,$A17+1,FALSE)) * (IF($B17=500, (Assumptions!$B$7)*12, IF((HLOOKUP(Q$2,Earnings!$G$2:$BC$81,('Yearly Pension'!$A17)+1, FALSE)) &gt; Q$1, (Assumptions!$B$8)*(Q$1) + (Assumptions!$B$9)*MAX(0,  (HLOOKUP(Q$2,Earnings!$G$2:$BC$81,('Yearly Pension'!$A17)+1, FALSE)) - Q$1), ((Assumptions!$B$8)*'Yearly Pension'!Q$1))))</f>
        <v>0</v>
      </c>
      <c r="R17" s="6">
        <f>(HLOOKUP('Yearly Pension'!R$2,'Credited Service'!$G$1:$BC$80,$A17+1,FALSE)) * (IF($B17=500, (Assumptions!$B$7)*12, IF((HLOOKUP(R$2,Earnings!$G$2:$BC$81,('Yearly Pension'!$A17)+1, FALSE)) &gt; R$1, (Assumptions!$B$8)*(R$1) + (Assumptions!$B$9)*MAX(0,  (HLOOKUP(R$2,Earnings!$G$2:$BC$81,('Yearly Pension'!$A17)+1, FALSE)) - R$1), ((Assumptions!$B$8)*'Yearly Pension'!R$1))))</f>
        <v>0</v>
      </c>
      <c r="S17" s="6">
        <f>(HLOOKUP('Yearly Pension'!S$2,'Credited Service'!$G$1:$BC$80,$A17+1,FALSE)) * (IF($B17=500, (Assumptions!$B$7)*12, IF((HLOOKUP(S$2,Earnings!$G$2:$BC$81,('Yearly Pension'!$A17)+1, FALSE)) &gt; S$1, (Assumptions!$B$8)*(S$1) + (Assumptions!$B$9)*MAX(0,  (HLOOKUP(S$2,Earnings!$G$2:$BC$81,('Yearly Pension'!$A17)+1, FALSE)) - S$1), ((Assumptions!$B$8)*'Yearly Pension'!S$1))))</f>
        <v>0</v>
      </c>
      <c r="T17" s="6">
        <f>(HLOOKUP('Yearly Pension'!T$2,'Credited Service'!$G$1:$BC$80,$A17+1,FALSE)) * (IF($B17=500, (Assumptions!$B$7)*12, IF((HLOOKUP(T$2,Earnings!$G$2:$BC$81,('Yearly Pension'!$A17)+1, FALSE)) &gt; T$1, (Assumptions!$B$8)*(T$1) + (Assumptions!$B$9)*MAX(0,  (HLOOKUP(T$2,Earnings!$G$2:$BC$81,('Yearly Pension'!$A17)+1, FALSE)) - T$1), ((Assumptions!$B$8)*'Yearly Pension'!T$1))))</f>
        <v>0</v>
      </c>
      <c r="U17" s="6">
        <f>(HLOOKUP('Yearly Pension'!U$2,'Credited Service'!$G$1:$BC$80,$A17+1,FALSE)) * (IF($B17=500, (Assumptions!$B$7)*12, IF((HLOOKUP(U$2,Earnings!$G$2:$BC$81,('Yearly Pension'!$A17)+1, FALSE)) &gt; U$1, (Assumptions!$B$8)*(U$1) + (Assumptions!$B$9)*MAX(0,  (HLOOKUP(U$2,Earnings!$G$2:$BC$81,('Yearly Pension'!$A17)+1, FALSE)) - U$1), ((Assumptions!$B$8)*'Yearly Pension'!U$1))))</f>
        <v>0</v>
      </c>
      <c r="V17" s="6">
        <f>(HLOOKUP('Yearly Pension'!V$2,'Credited Service'!$G$1:$BC$80,$A17+1,FALSE)) * (IF($B17=500, (Assumptions!$B$7)*12, IF((HLOOKUP(V$2,Earnings!$G$2:$BC$81,('Yearly Pension'!$A17)+1, FALSE)) &gt; V$1, (Assumptions!$B$8)*(V$1) + (Assumptions!$B$9)*MAX(0,  (HLOOKUP(V$2,Earnings!$G$2:$BC$81,('Yearly Pension'!$A17)+1, FALSE)) - V$1), ((Assumptions!$B$8)*'Yearly Pension'!V$1))))</f>
        <v>0</v>
      </c>
      <c r="W17" s="6">
        <f>(HLOOKUP('Yearly Pension'!W$2,'Credited Service'!$G$1:$BC$80,$A17+1,FALSE)) * (IF($B17=500, (Assumptions!$B$7)*12, IF((HLOOKUP(W$2,Earnings!$G$2:$BC$81,('Yearly Pension'!$A17)+1, FALSE)) &gt; W$1, (Assumptions!$B$8)*(W$1) + (Assumptions!$B$9)*MAX(0,  (HLOOKUP(W$2,Earnings!$G$2:$BC$81,('Yearly Pension'!$A17)+1, FALSE)) - W$1), ((Assumptions!$B$8)*'Yearly Pension'!W$1))))</f>
        <v>0</v>
      </c>
      <c r="X17" s="6">
        <f>(HLOOKUP('Yearly Pension'!X$2,'Credited Service'!$G$1:$BC$80,$A17+1,FALSE)) * (IF($B17=500, (Assumptions!$B$7)*12, IF((HLOOKUP(X$2,Earnings!$G$2:$BC$81,('Yearly Pension'!$A17)+1, FALSE)) &gt; X$1, (Assumptions!$B$8)*(X$1) + (Assumptions!$B$9)*MAX(0,  (HLOOKUP(X$2,Earnings!$G$2:$BC$81,('Yearly Pension'!$A17)+1, FALSE)) - X$1), ((Assumptions!$B$8)*'Yearly Pension'!X$1))))</f>
        <v>0</v>
      </c>
      <c r="Y17" s="6">
        <f>(HLOOKUP('Yearly Pension'!Y$2,'Credited Service'!$G$1:$BC$80,$A17+1,FALSE)) * (IF($B17=500, (Assumptions!$B$7)*12, IF((HLOOKUP(Y$2,Earnings!$G$2:$BC$81,('Yearly Pension'!$A17)+1, FALSE)) &gt; Y$1, (Assumptions!$B$8)*(Y$1) + (Assumptions!$B$9)*MAX(0,  (HLOOKUP(Y$2,Earnings!$G$2:$BC$81,('Yearly Pension'!$A17)+1, FALSE)) - Y$1), ((Assumptions!$B$8)*'Yearly Pension'!Y$1))))</f>
        <v>0</v>
      </c>
      <c r="Z17" s="6">
        <f>(HLOOKUP('Yearly Pension'!Z$2,'Credited Service'!$G$1:$BC$80,$A17+1,FALSE)) * (IF($B17=500, (Assumptions!$B$7)*12, IF((HLOOKUP(Z$2,Earnings!$G$2:$BC$81,('Yearly Pension'!$A17)+1, FALSE)) &gt; Z$1, (Assumptions!$B$8)*(Z$1) + (Assumptions!$B$9)*MAX(0,  (HLOOKUP(Z$2,Earnings!$G$2:$BC$81,('Yearly Pension'!$A17)+1, FALSE)) - Z$1), ((Assumptions!$B$8)*'Yearly Pension'!Z$1))))</f>
        <v>0</v>
      </c>
      <c r="AA17" s="6">
        <f>(HLOOKUP('Yearly Pension'!AA$2,'Credited Service'!$G$1:$BC$80,$A17+1,FALSE)) * (IF($B17=500, (Assumptions!$B$7)*12, IF((HLOOKUP(AA$2,Earnings!$G$2:$BC$81,('Yearly Pension'!$A17)+1, FALSE)) &gt; AA$1, (Assumptions!$B$8)*(AA$1) + (Assumptions!$B$9)*MAX(0,  (HLOOKUP(AA$2,Earnings!$G$2:$BC$81,('Yearly Pension'!$A17)+1, FALSE)) - AA$1), ((Assumptions!$B$8)*'Yearly Pension'!AA$1))))</f>
        <v>0</v>
      </c>
      <c r="AB17" s="6">
        <f>(HLOOKUP('Yearly Pension'!AB$2,'Credited Service'!$G$1:$BC$80,$A17+1,FALSE)) * (IF($B17=500, (Assumptions!$B$7)*12, IF((HLOOKUP(AB$2,Earnings!$G$2:$BC$81,('Yearly Pension'!$A17)+1, FALSE)) &gt; AB$1, (Assumptions!$B$8)*(AB$1) + (Assumptions!$B$9)*MAX(0,  (HLOOKUP(AB$2,Earnings!$G$2:$BC$81,('Yearly Pension'!$A17)+1, FALSE)) - AB$1), ((Assumptions!$B$8)*'Yearly Pension'!AB$1))))</f>
        <v>0</v>
      </c>
      <c r="AC17" s="6">
        <f>(HLOOKUP('Yearly Pension'!AC$2,'Credited Service'!$G$1:$BC$80,$A17+1,FALSE)) * (IF($B17=500, (Assumptions!$B$7)*12, IF((HLOOKUP(AC$2,Earnings!$G$2:$BC$81,('Yearly Pension'!$A17)+1, FALSE)) &gt; AC$1, (Assumptions!$B$8)*(AC$1) + (Assumptions!$B$9)*MAX(0,  (HLOOKUP(AC$2,Earnings!$G$2:$BC$81,('Yearly Pension'!$A17)+1, FALSE)) - AC$1), ((Assumptions!$B$8)*'Yearly Pension'!AC$1))))</f>
        <v>0</v>
      </c>
      <c r="AD17" s="6">
        <f>(HLOOKUP('Yearly Pension'!AD$2,'Credited Service'!$G$1:$BC$80,$A17+1,FALSE)) * (IF($B17=500, (Assumptions!$B$7)*12, IF((HLOOKUP(AD$2,Earnings!$G$2:$BC$81,('Yearly Pension'!$A17)+1, FALSE)) &gt; AD$1, (Assumptions!$B$8)*(AD$1) + (Assumptions!$B$9)*MAX(0,  (HLOOKUP(AD$2,Earnings!$G$2:$BC$81,('Yearly Pension'!$A17)+1, FALSE)) - AD$1), ((Assumptions!$B$8)*'Yearly Pension'!AD$1))))</f>
        <v>0</v>
      </c>
      <c r="AE17" s="6">
        <f>(HLOOKUP('Yearly Pension'!AE$2,'Credited Service'!$G$1:$BC$80,$A17+1,FALSE)) * (IF($B17=500, (Assumptions!$B$7)*12, IF((HLOOKUP(AE$2,Earnings!$G$2:$BC$81,('Yearly Pension'!$A17)+1, FALSE)) &gt; AE$1, (Assumptions!$B$8)*(AE$1) + (Assumptions!$B$9)*MAX(0,  (HLOOKUP(AE$2,Earnings!$G$2:$BC$81,('Yearly Pension'!$A17)+1, FALSE)) - AE$1), ((Assumptions!$B$8)*'Yearly Pension'!AE$1))))</f>
        <v>0</v>
      </c>
      <c r="AF17" s="6">
        <f>(HLOOKUP('Yearly Pension'!AF$2,'Credited Service'!$G$1:$BC$80,$A17+1,FALSE)) * (IF($B17=500, (Assumptions!$B$7)*12, IF((HLOOKUP(AF$2,Earnings!$G$2:$BC$81,('Yearly Pension'!$A17)+1, FALSE)) &gt; AF$1, (Assumptions!$B$8)*(AF$1) + (Assumptions!$B$9)*MAX(0,  (HLOOKUP(AF$2,Earnings!$G$2:$BC$81,('Yearly Pension'!$A17)+1, FALSE)) - AF$1), ((Assumptions!$B$8)*'Yearly Pension'!AF$1))))</f>
        <v>0</v>
      </c>
      <c r="AG17" s="6">
        <f>(HLOOKUP('Yearly Pension'!AG$2,'Credited Service'!$G$1:$BC$80,$A17+1,FALSE)) * (IF($B17=500, (Assumptions!$B$7)*12, IF((HLOOKUP(AG$2,Earnings!$G$2:$BC$81,('Yearly Pension'!$A17)+1, FALSE)) &gt; AG$1, (Assumptions!$B$8)*(AG$1) + (Assumptions!$B$9)*MAX(0,  (HLOOKUP(AG$2,Earnings!$G$2:$BC$81,('Yearly Pension'!$A17)+1, FALSE)) - AG$1), ((Assumptions!$B$8)*'Yearly Pension'!AG$1))))</f>
        <v>0</v>
      </c>
      <c r="AH17" s="6">
        <f>(HLOOKUP('Yearly Pension'!AH$2,'Credited Service'!$G$1:$BC$80,$A17+1,FALSE)) * (IF($B17=500, (Assumptions!$B$7)*12, IF((HLOOKUP(AH$2,Earnings!$G$2:$BC$81,('Yearly Pension'!$A17)+1, FALSE)) &gt; AH$1, (Assumptions!$B$8)*(AH$1) + (Assumptions!$B$9)*MAX(0,  (HLOOKUP(AH$2,Earnings!$G$2:$BC$81,('Yearly Pension'!$A17)+1, FALSE)) - AH$1), ((Assumptions!$B$8)*'Yearly Pension'!AH$1))))</f>
        <v>0</v>
      </c>
      <c r="AI17" s="6">
        <f>(HLOOKUP('Yearly Pension'!AI$2,'Credited Service'!$G$1:$BC$80,$A17+1,FALSE)) * (IF($B17=500, (Assumptions!$B$7)*12, IF((HLOOKUP(AI$2,Earnings!$G$2:$BC$81,('Yearly Pension'!$A17)+1, FALSE)) &gt; AI$1, (Assumptions!$B$8)*(AI$1) + (Assumptions!$B$9)*MAX(0,  (HLOOKUP(AI$2,Earnings!$G$2:$BC$81,('Yearly Pension'!$A17)+1, FALSE)) - AI$1), ((Assumptions!$B$8)*'Yearly Pension'!AI$1))))</f>
        <v>720</v>
      </c>
      <c r="AJ17" s="6">
        <f>(HLOOKUP('Yearly Pension'!AJ$2,'Credited Service'!$G$1:$BC$80,$A17+1,FALSE)) * (IF($B17=500, (Assumptions!$B$7)*12, IF((HLOOKUP(AJ$2,Earnings!$G$2:$BC$81,('Yearly Pension'!$A17)+1, FALSE)) &gt; AJ$1, (Assumptions!$B$8)*(AJ$1) + (Assumptions!$B$9)*MAX(0,  (HLOOKUP(AJ$2,Earnings!$G$2:$BC$81,('Yearly Pension'!$A17)+1, FALSE)) - AJ$1), ((Assumptions!$B$8)*'Yearly Pension'!AJ$1))))</f>
        <v>720</v>
      </c>
      <c r="AK17" s="6">
        <f>(HLOOKUP('Yearly Pension'!AK$2,'Credited Service'!$G$1:$BC$80,$A17+1,FALSE)) * (IF($B17=500, (Assumptions!$B$7)*12, IF((HLOOKUP(AK$2,Earnings!$G$2:$BC$81,('Yearly Pension'!$A17)+1, FALSE)) &gt; AK$1, (Assumptions!$B$8)*(AK$1) + (Assumptions!$B$9)*MAX(0,  (HLOOKUP(AK$2,Earnings!$G$2:$BC$81,('Yearly Pension'!$A17)+1, FALSE)) - AK$1), ((Assumptions!$B$8)*'Yearly Pension'!AK$1))))</f>
        <v>720</v>
      </c>
      <c r="AL17" s="6">
        <f>(HLOOKUP('Yearly Pension'!AL$2,'Credited Service'!$G$1:$BC$80,$A17+1,FALSE)) * (IF($B17=500, (Assumptions!$B$7)*12, IF((HLOOKUP(AL$2,Earnings!$G$2:$BC$81,('Yearly Pension'!$A17)+1, FALSE)) &gt; AL$1, (Assumptions!$B$8)*(AL$1) + (Assumptions!$B$9)*MAX(0,  (HLOOKUP(AL$2,Earnings!$G$2:$BC$81,('Yearly Pension'!$A17)+1, FALSE)) - AL$1), ((Assumptions!$B$8)*'Yearly Pension'!AL$1))))</f>
        <v>720</v>
      </c>
      <c r="AM17" s="6">
        <f>(HLOOKUP('Yearly Pension'!AM$2,'Credited Service'!$G$1:$BC$80,$A17+1,FALSE)) * (IF($B17=500, (Assumptions!$B$7)*12, IF((HLOOKUP(AM$2,Earnings!$G$2:$BC$81,('Yearly Pension'!$A17)+1, FALSE)) &gt; AM$1, (Assumptions!$B$8)*(AM$1) + (Assumptions!$B$9)*MAX(0,  (HLOOKUP(AM$2,Earnings!$G$2:$BC$81,('Yearly Pension'!$A17)+1, FALSE)) - AM$1), ((Assumptions!$B$8)*'Yearly Pension'!AM$1))))</f>
        <v>720</v>
      </c>
      <c r="AN17" s="6">
        <f>(HLOOKUP('Yearly Pension'!AN$2,'Credited Service'!$G$1:$BC$80,$A17+1,FALSE)) * (IF($B17=500, (Assumptions!$B$7)*12, IF((HLOOKUP(AN$2,Earnings!$G$2:$BC$81,('Yearly Pension'!$A17)+1, FALSE)) &gt; AN$1, (Assumptions!$B$8)*(AN$1) + (Assumptions!$B$9)*MAX(0,  (HLOOKUP(AN$2,Earnings!$G$2:$BC$81,('Yearly Pension'!$A17)+1, FALSE)) - AN$1), ((Assumptions!$B$8)*'Yearly Pension'!AN$1))))</f>
        <v>720</v>
      </c>
      <c r="AO17" s="6">
        <f>(HLOOKUP('Yearly Pension'!AO$2,'Credited Service'!$G$1:$BC$80,$A17+1,FALSE)) * (IF($B17=500, (Assumptions!$B$7)*12, IF((HLOOKUP(AO$2,Earnings!$G$2:$BC$81,('Yearly Pension'!$A17)+1, FALSE)) &gt; AO$1, (Assumptions!$B$8)*(AO$1) + (Assumptions!$B$9)*MAX(0,  (HLOOKUP(AO$2,Earnings!$G$2:$BC$81,('Yearly Pension'!$A17)+1, FALSE)) - AO$1), ((Assumptions!$B$8)*'Yearly Pension'!AO$1))))</f>
        <v>720</v>
      </c>
      <c r="AP17" s="6">
        <f>(HLOOKUP('Yearly Pension'!AP$2,'Credited Service'!$G$1:$BC$80,$A17+1,FALSE)) * (IF($B17=500, (Assumptions!$B$7)*12, IF((HLOOKUP(AP$2,Earnings!$G$2:$BC$81,('Yearly Pension'!$A17)+1, FALSE)) &gt; AP$1, (Assumptions!$B$8)*(AP$1) + (Assumptions!$B$9)*MAX(0,  (HLOOKUP(AP$2,Earnings!$G$2:$BC$81,('Yearly Pension'!$A17)+1, FALSE)) - AP$1), ((Assumptions!$B$8)*'Yearly Pension'!AP$1))))</f>
        <v>720</v>
      </c>
      <c r="AQ17" s="6">
        <f>(HLOOKUP('Yearly Pension'!AQ$2,'Credited Service'!$G$1:$BC$80,$A17+1,FALSE)) * (IF($B17=500, (Assumptions!$B$7)*12, IF((HLOOKUP(AQ$2,Earnings!$G$2:$BC$81,('Yearly Pension'!$A17)+1, FALSE)) &gt; AQ$1, (Assumptions!$B$8)*(AQ$1) + (Assumptions!$B$9)*MAX(0,  (HLOOKUP(AQ$2,Earnings!$G$2:$BC$81,('Yearly Pension'!$A17)+1, FALSE)) - AQ$1), ((Assumptions!$B$8)*'Yearly Pension'!AQ$1))))</f>
        <v>720</v>
      </c>
      <c r="AR17" s="6">
        <f>(HLOOKUP('Yearly Pension'!AR$2,'Credited Service'!$G$1:$BC$80,$A17+1,FALSE)) * (IF($B17=500, (Assumptions!$B$7)*12, IF((HLOOKUP(AR$2,Earnings!$G$2:$BC$81,('Yearly Pension'!$A17)+1, FALSE)) &gt; AR$1, (Assumptions!$B$8)*(AR$1) + (Assumptions!$B$9)*MAX(0,  (HLOOKUP(AR$2,Earnings!$G$2:$BC$81,('Yearly Pension'!$A17)+1, FALSE)) - AR$1), ((Assumptions!$B$8)*'Yearly Pension'!AR$1))))</f>
        <v>720</v>
      </c>
      <c r="AS17" s="6">
        <f>(HLOOKUP('Yearly Pension'!AS$2,'Credited Service'!$G$1:$BC$80,$A17+1,FALSE)) * (IF($B17=500, (Assumptions!$B$7)*12, IF((HLOOKUP(AS$2,Earnings!$G$2:$BC$81,('Yearly Pension'!$A17)+1, FALSE)) &gt; AS$1, (Assumptions!$B$8)*(AS$1) + (Assumptions!$B$9)*MAX(0,  (HLOOKUP(AS$2,Earnings!$G$2:$BC$81,('Yearly Pension'!$A17)+1, FALSE)) - AS$1), ((Assumptions!$B$8)*'Yearly Pension'!AS$1))))</f>
        <v>720</v>
      </c>
      <c r="AT17" s="6">
        <f>(HLOOKUP('Yearly Pension'!AT$2,'Credited Service'!$G$1:$BC$80,$A17+1,FALSE)) * (IF($B17=500, (Assumptions!$B$7)*12, IF((HLOOKUP(AT$2,Earnings!$G$2:$BC$81,('Yearly Pension'!$A17)+1, FALSE)) &gt; AT$1, (Assumptions!$B$8)*(AT$1) + (Assumptions!$B$9)*MAX(0,  (HLOOKUP(AT$2,Earnings!$G$2:$BC$81,('Yearly Pension'!$A17)+1, FALSE)) - AT$1), ((Assumptions!$B$8)*'Yearly Pension'!AT$1))))</f>
        <v>720</v>
      </c>
      <c r="AU17" s="6">
        <f>(HLOOKUP('Yearly Pension'!AU$2,'Credited Service'!$G$1:$BC$80,$A17+1,FALSE)) * (IF($B17=500, (Assumptions!$B$7)*12, IF((HLOOKUP(AU$2,Earnings!$G$2:$BC$81,('Yearly Pension'!$A17)+1, FALSE)) &gt; AU$1, (Assumptions!$B$8)*(AU$1) + (Assumptions!$B$9)*MAX(0,  (HLOOKUP(AU$2,Earnings!$G$2:$BC$81,('Yearly Pension'!$A17)+1, FALSE)) - AU$1), ((Assumptions!$B$8)*'Yearly Pension'!AU$1))))</f>
        <v>720</v>
      </c>
      <c r="AV17" s="6">
        <f>(HLOOKUP('Yearly Pension'!AV$2,'Credited Service'!$G$1:$BC$80,$A17+1,FALSE)) * (IF($B17=500, (Assumptions!$B$7)*12, IF((HLOOKUP(AV$2,Earnings!$G$2:$BC$81,('Yearly Pension'!$A17)+1, FALSE)) &gt; AV$1, (Assumptions!$B$8)*(AV$1) + (Assumptions!$B$9)*MAX(0,  (HLOOKUP(AV$2,Earnings!$G$2:$BC$81,('Yearly Pension'!$A17)+1, FALSE)) - AV$1), ((Assumptions!$B$8)*'Yearly Pension'!AV$1))))</f>
        <v>720</v>
      </c>
      <c r="AW17" s="6">
        <f>(HLOOKUP('Yearly Pension'!AW$2,'Credited Service'!$G$1:$BC$80,$A17+1,FALSE)) * (IF($B17=500, (Assumptions!$B$7)*12, IF((HLOOKUP(AW$2,Earnings!$G$2:$BC$81,('Yearly Pension'!$A17)+1, FALSE)) &gt; AW$1, (Assumptions!$B$8)*(AW$1) + (Assumptions!$B$9)*MAX(0,  (HLOOKUP(AW$2,Earnings!$G$2:$BC$81,('Yearly Pension'!$A17)+1, FALSE)) - AW$1), ((Assumptions!$B$8)*'Yearly Pension'!AW$1))))</f>
        <v>720</v>
      </c>
      <c r="AX17" s="6">
        <f>(HLOOKUP('Yearly Pension'!AX$2,'Credited Service'!$G$1:$BC$80,$A17+1,FALSE)) * (IF($B17=500, (Assumptions!$B$7)*12, IF((HLOOKUP(AX$2,Earnings!$G$2:$BC$81,('Yearly Pension'!$A17)+1, FALSE)) &gt; AX$1, (Assumptions!$B$8)*(AX$1) + (Assumptions!$B$9)*MAX(0,  (HLOOKUP(AX$2,Earnings!$G$2:$BC$81,('Yearly Pension'!$A17)+1, FALSE)) - AX$1), ((Assumptions!$B$8)*'Yearly Pension'!AX$1))))</f>
        <v>720</v>
      </c>
      <c r="AY17" s="6">
        <f>(HLOOKUP('Yearly Pension'!AY$2,'Credited Service'!$G$1:$BC$80,$A17+1,FALSE)) * (IF($B17=500, (Assumptions!$B$7)*12, IF((HLOOKUP(AY$2,Earnings!$G$2:$BC$81,('Yearly Pension'!$A17)+1, FALSE)) &gt; AY$1, (Assumptions!$B$8)*(AY$1) + (Assumptions!$B$9)*MAX(0,  (HLOOKUP(AY$2,Earnings!$G$2:$BC$81,('Yearly Pension'!$A17)+1, FALSE)) - AY$1), ((Assumptions!$B$8)*'Yearly Pension'!AY$1))))</f>
        <v>720</v>
      </c>
      <c r="AZ17" s="6">
        <f>(HLOOKUP('Yearly Pension'!AZ$2,'Credited Service'!$G$1:$BC$80,$A17+1,FALSE)) * (IF($B17=500, (Assumptions!$B$7)*12, IF((HLOOKUP(AZ$2,Earnings!$G$2:$BC$81,('Yearly Pension'!$A17)+1, FALSE)) &gt; AZ$1, (Assumptions!$B$8)*(AZ$1) + (Assumptions!$B$9)*MAX(0,  (HLOOKUP(AZ$2,Earnings!$G$2:$BC$81,('Yearly Pension'!$A17)+1, FALSE)) - AZ$1), ((Assumptions!$B$8)*'Yearly Pension'!AZ$1))))</f>
        <v>720</v>
      </c>
      <c r="BA17" s="6">
        <f>(HLOOKUP('Yearly Pension'!BA$2,'Credited Service'!$G$1:$BC$80,$A17+1,FALSE)) * (IF($B17=500, (Assumptions!$B$7)*12, IF((HLOOKUP(BA$2,Earnings!$G$2:$BC$81,('Yearly Pension'!$A17)+1, FALSE)) &gt; BA$1, (Assumptions!$B$8)*(BA$1) + (Assumptions!$B$9)*MAX(0,  (HLOOKUP(BA$2,Earnings!$G$2:$BC$81,('Yearly Pension'!$A17)+1, FALSE)) - BA$1), ((Assumptions!$B$8)*'Yearly Pension'!BA$1))))</f>
        <v>720</v>
      </c>
      <c r="BB17" s="6">
        <f>(HLOOKUP('Yearly Pension'!BB$2,'Credited Service'!$G$1:$BC$80,$A17+1,FALSE)) * (IF($B17=500, (Assumptions!$B$7)*12, IF((HLOOKUP(BB$2,Earnings!$G$2:$BC$81,('Yearly Pension'!$A17)+1, FALSE)) &gt; BB$1, (Assumptions!$B$8)*(BB$1) + (Assumptions!$B$9)*MAX(0,  (HLOOKUP(BB$2,Earnings!$G$2:$BC$81,('Yearly Pension'!$A17)+1, FALSE)) - BB$1), ((Assumptions!$B$8)*'Yearly Pension'!BB$1))))</f>
        <v>720</v>
      </c>
      <c r="BC17" s="6">
        <f>(HLOOKUP('Yearly Pension'!BC$2,'Credited Service'!$G$1:$BC$80,$A17+1,FALSE)) * (IF($B17=500, (Assumptions!$B$7)*12, IF((HLOOKUP(BC$2,Earnings!$G$2:$BC$81,('Yearly Pension'!$A17)+1, FALSE)) &gt; BC$1, (Assumptions!$B$8)*(BC$1) + (Assumptions!$B$9)*MAX(0,  (HLOOKUP(BC$2,Earnings!$G$2:$BC$81,('Yearly Pension'!$A17)+1, FALSE)) - BC$1), ((Assumptions!$B$8)*'Yearly Pension'!BC$1))))</f>
        <v>240</v>
      </c>
    </row>
    <row r="18" spans="1:55" x14ac:dyDescent="0.25">
      <c r="A18" s="204">
        <v>16</v>
      </c>
      <c r="B18" s="1">
        <v>500</v>
      </c>
      <c r="C18" s="1">
        <v>774</v>
      </c>
      <c r="D18" s="3">
        <v>38272</v>
      </c>
      <c r="E18" s="3">
        <v>48274</v>
      </c>
      <c r="G18" s="6">
        <f>(HLOOKUP('Yearly Pension'!G$2,'Credited Service'!$G$1:$BC$80,$A18+1,FALSE)) * (IF($B18=500, (Assumptions!$B$7)*12, IF((HLOOKUP(G$2,Earnings!$G$2:$BC$81,('Yearly Pension'!$A18)+1, FALSE)) &gt; G$1, (Assumptions!$B$8)*(G$1) + (Assumptions!$B$9)*MAX(0,  (HLOOKUP(G$2,Earnings!$G$2:$BC$81,('Yearly Pension'!$A18)+1, FALSE)) - G$1), ((Assumptions!$B$8)*'Yearly Pension'!G$1))))</f>
        <v>0</v>
      </c>
      <c r="H18" s="6">
        <f>(HLOOKUP('Yearly Pension'!H$2,'Credited Service'!$G$1:$BC$80,$A18+1,FALSE)) * (IF($B18=500, (Assumptions!$B$7)*12, IF((HLOOKUP(H$2,Earnings!$G$2:$BC$81,('Yearly Pension'!$A18)+1, FALSE)) &gt; H$1, (Assumptions!$B$8)*(H$1) + (Assumptions!$B$9)*MAX(0,  (HLOOKUP(H$2,Earnings!$G$2:$BC$81,('Yearly Pension'!$A18)+1, FALSE)) - H$1), ((Assumptions!$B$8)*'Yearly Pension'!H$1))))</f>
        <v>0</v>
      </c>
      <c r="I18" s="6">
        <f>(HLOOKUP('Yearly Pension'!I$2,'Credited Service'!$G$1:$BC$80,$A18+1,FALSE)) * (IF($B18=500, (Assumptions!$B$7)*12, IF((HLOOKUP(I$2,Earnings!$G$2:$BC$81,('Yearly Pension'!$A18)+1, FALSE)) &gt; I$1, (Assumptions!$B$8)*(I$1) + (Assumptions!$B$9)*MAX(0,  (HLOOKUP(I$2,Earnings!$G$2:$BC$81,('Yearly Pension'!$A18)+1, FALSE)) - I$1), ((Assumptions!$B$8)*'Yearly Pension'!I$1))))</f>
        <v>0</v>
      </c>
      <c r="J18" s="6">
        <f>(HLOOKUP('Yearly Pension'!J$2,'Credited Service'!$G$1:$BC$80,$A18+1,FALSE)) * (IF($B18=500, (Assumptions!$B$7)*12, IF((HLOOKUP(J$2,Earnings!$G$2:$BC$81,('Yearly Pension'!$A18)+1, FALSE)) &gt; J$1, (Assumptions!$B$8)*(J$1) + (Assumptions!$B$9)*MAX(0,  (HLOOKUP(J$2,Earnings!$G$2:$BC$81,('Yearly Pension'!$A18)+1, FALSE)) - J$1), ((Assumptions!$B$8)*'Yearly Pension'!J$1))))</f>
        <v>0</v>
      </c>
      <c r="K18" s="6">
        <f>(HLOOKUP('Yearly Pension'!K$2,'Credited Service'!$G$1:$BC$80,$A18+1,FALSE)) * (IF($B18=500, (Assumptions!$B$7)*12, IF((HLOOKUP(K$2,Earnings!$G$2:$BC$81,('Yearly Pension'!$A18)+1, FALSE)) &gt; K$1, (Assumptions!$B$8)*(K$1) + (Assumptions!$B$9)*MAX(0,  (HLOOKUP(K$2,Earnings!$G$2:$BC$81,('Yearly Pension'!$A18)+1, FALSE)) - K$1), ((Assumptions!$B$8)*'Yearly Pension'!K$1))))</f>
        <v>0</v>
      </c>
      <c r="L18" s="6">
        <f>(HLOOKUP('Yearly Pension'!L$2,'Credited Service'!$G$1:$BC$80,$A18+1,FALSE)) * (IF($B18=500, (Assumptions!$B$7)*12, IF((HLOOKUP(L$2,Earnings!$G$2:$BC$81,('Yearly Pension'!$A18)+1, FALSE)) &gt; L$1, (Assumptions!$B$8)*(L$1) + (Assumptions!$B$9)*MAX(0,  (HLOOKUP(L$2,Earnings!$G$2:$BC$81,('Yearly Pension'!$A18)+1, FALSE)) - L$1), ((Assumptions!$B$8)*'Yearly Pension'!L$1))))</f>
        <v>0</v>
      </c>
      <c r="M18" s="6">
        <f>(HLOOKUP('Yearly Pension'!M$2,'Credited Service'!$G$1:$BC$80,$A18+1,FALSE)) * (IF($B18=500, (Assumptions!$B$7)*12, IF((HLOOKUP(M$2,Earnings!$G$2:$BC$81,('Yearly Pension'!$A18)+1, FALSE)) &gt; M$1, (Assumptions!$B$8)*(M$1) + (Assumptions!$B$9)*MAX(0,  (HLOOKUP(M$2,Earnings!$G$2:$BC$81,('Yearly Pension'!$A18)+1, FALSE)) - M$1), ((Assumptions!$B$8)*'Yearly Pension'!M$1))))</f>
        <v>0</v>
      </c>
      <c r="N18" s="6">
        <f>(HLOOKUP('Yearly Pension'!N$2,'Credited Service'!$G$1:$BC$80,$A18+1,FALSE)) * (IF($B18=500, (Assumptions!$B$7)*12, IF((HLOOKUP(N$2,Earnings!$G$2:$BC$81,('Yearly Pension'!$A18)+1, FALSE)) &gt; N$1, (Assumptions!$B$8)*(N$1) + (Assumptions!$B$9)*MAX(0,  (HLOOKUP(N$2,Earnings!$G$2:$BC$81,('Yearly Pension'!$A18)+1, FALSE)) - N$1), ((Assumptions!$B$8)*'Yearly Pension'!N$1))))</f>
        <v>0</v>
      </c>
      <c r="O18" s="6">
        <f>(HLOOKUP('Yearly Pension'!O$2,'Credited Service'!$G$1:$BC$80,$A18+1,FALSE)) * (IF($B18=500, (Assumptions!$B$7)*12, IF((HLOOKUP(O$2,Earnings!$G$2:$BC$81,('Yearly Pension'!$A18)+1, FALSE)) &gt; O$1, (Assumptions!$B$8)*(O$1) + (Assumptions!$B$9)*MAX(0,  (HLOOKUP(O$2,Earnings!$G$2:$BC$81,('Yearly Pension'!$A18)+1, FALSE)) - O$1), ((Assumptions!$B$8)*'Yearly Pension'!O$1))))</f>
        <v>0</v>
      </c>
      <c r="P18" s="6">
        <f>(HLOOKUP('Yearly Pension'!P$2,'Credited Service'!$G$1:$BC$80,$A18+1,FALSE)) * (IF($B18=500, (Assumptions!$B$7)*12, IF((HLOOKUP(P$2,Earnings!$G$2:$BC$81,('Yearly Pension'!$A18)+1, FALSE)) &gt; P$1, (Assumptions!$B$8)*(P$1) + (Assumptions!$B$9)*MAX(0,  (HLOOKUP(P$2,Earnings!$G$2:$BC$81,('Yearly Pension'!$A18)+1, FALSE)) - P$1), ((Assumptions!$B$8)*'Yearly Pension'!P$1))))</f>
        <v>0</v>
      </c>
      <c r="Q18" s="6">
        <f>(HLOOKUP('Yearly Pension'!Q$2,'Credited Service'!$G$1:$BC$80,$A18+1,FALSE)) * (IF($B18=500, (Assumptions!$B$7)*12, IF((HLOOKUP(Q$2,Earnings!$G$2:$BC$81,('Yearly Pension'!$A18)+1, FALSE)) &gt; Q$1, (Assumptions!$B$8)*(Q$1) + (Assumptions!$B$9)*MAX(0,  (HLOOKUP(Q$2,Earnings!$G$2:$BC$81,('Yearly Pension'!$A18)+1, FALSE)) - Q$1), ((Assumptions!$B$8)*'Yearly Pension'!Q$1))))</f>
        <v>0</v>
      </c>
      <c r="R18" s="6">
        <f>(HLOOKUP('Yearly Pension'!R$2,'Credited Service'!$G$1:$BC$80,$A18+1,FALSE)) * (IF($B18=500, (Assumptions!$B$7)*12, IF((HLOOKUP(R$2,Earnings!$G$2:$BC$81,('Yearly Pension'!$A18)+1, FALSE)) &gt; R$1, (Assumptions!$B$8)*(R$1) + (Assumptions!$B$9)*MAX(0,  (HLOOKUP(R$2,Earnings!$G$2:$BC$81,('Yearly Pension'!$A18)+1, FALSE)) - R$1), ((Assumptions!$B$8)*'Yearly Pension'!R$1))))</f>
        <v>0</v>
      </c>
      <c r="S18" s="6">
        <f>(HLOOKUP('Yearly Pension'!S$2,'Credited Service'!$G$1:$BC$80,$A18+1,FALSE)) * (IF($B18=500, (Assumptions!$B$7)*12, IF((HLOOKUP(S$2,Earnings!$G$2:$BC$81,('Yearly Pension'!$A18)+1, FALSE)) &gt; S$1, (Assumptions!$B$8)*(S$1) + (Assumptions!$B$9)*MAX(0,  (HLOOKUP(S$2,Earnings!$G$2:$BC$81,('Yearly Pension'!$A18)+1, FALSE)) - S$1), ((Assumptions!$B$8)*'Yearly Pension'!S$1))))</f>
        <v>0</v>
      </c>
      <c r="T18" s="6">
        <f>(HLOOKUP('Yearly Pension'!T$2,'Credited Service'!$G$1:$BC$80,$A18+1,FALSE)) * (IF($B18=500, (Assumptions!$B$7)*12, IF((HLOOKUP(T$2,Earnings!$G$2:$BC$81,('Yearly Pension'!$A18)+1, FALSE)) &gt; T$1, (Assumptions!$B$8)*(T$1) + (Assumptions!$B$9)*MAX(0,  (HLOOKUP(T$2,Earnings!$G$2:$BC$81,('Yearly Pension'!$A18)+1, FALSE)) - T$1), ((Assumptions!$B$8)*'Yearly Pension'!T$1))))</f>
        <v>0</v>
      </c>
      <c r="U18" s="6">
        <f>(HLOOKUP('Yearly Pension'!U$2,'Credited Service'!$G$1:$BC$80,$A18+1,FALSE)) * (IF($B18=500, (Assumptions!$B$7)*12, IF((HLOOKUP(U$2,Earnings!$G$2:$BC$81,('Yearly Pension'!$A18)+1, FALSE)) &gt; U$1, (Assumptions!$B$8)*(U$1) + (Assumptions!$B$9)*MAX(0,  (HLOOKUP(U$2,Earnings!$G$2:$BC$81,('Yearly Pension'!$A18)+1, FALSE)) - U$1), ((Assumptions!$B$8)*'Yearly Pension'!U$1))))</f>
        <v>0</v>
      </c>
      <c r="V18" s="6">
        <f>(HLOOKUP('Yearly Pension'!V$2,'Credited Service'!$G$1:$BC$80,$A18+1,FALSE)) * (IF($B18=500, (Assumptions!$B$7)*12, IF((HLOOKUP(V$2,Earnings!$G$2:$BC$81,('Yearly Pension'!$A18)+1, FALSE)) &gt; V$1, (Assumptions!$B$8)*(V$1) + (Assumptions!$B$9)*MAX(0,  (HLOOKUP(V$2,Earnings!$G$2:$BC$81,('Yearly Pension'!$A18)+1, FALSE)) - V$1), ((Assumptions!$B$8)*'Yearly Pension'!V$1))))</f>
        <v>0</v>
      </c>
      <c r="W18" s="6">
        <f>(HLOOKUP('Yearly Pension'!W$2,'Credited Service'!$G$1:$BC$80,$A18+1,FALSE)) * (IF($B18=500, (Assumptions!$B$7)*12, IF((HLOOKUP(W$2,Earnings!$G$2:$BC$81,('Yearly Pension'!$A18)+1, FALSE)) &gt; W$1, (Assumptions!$B$8)*(W$1) + (Assumptions!$B$9)*MAX(0,  (HLOOKUP(W$2,Earnings!$G$2:$BC$81,('Yearly Pension'!$A18)+1, FALSE)) - W$1), ((Assumptions!$B$8)*'Yearly Pension'!W$1))))</f>
        <v>0</v>
      </c>
      <c r="X18" s="6">
        <f>(HLOOKUP('Yearly Pension'!X$2,'Credited Service'!$G$1:$BC$80,$A18+1,FALSE)) * (IF($B18=500, (Assumptions!$B$7)*12, IF((HLOOKUP(X$2,Earnings!$G$2:$BC$81,('Yearly Pension'!$A18)+1, FALSE)) &gt; X$1, (Assumptions!$B$8)*(X$1) + (Assumptions!$B$9)*MAX(0,  (HLOOKUP(X$2,Earnings!$G$2:$BC$81,('Yearly Pension'!$A18)+1, FALSE)) - X$1), ((Assumptions!$B$8)*'Yearly Pension'!X$1))))</f>
        <v>0</v>
      </c>
      <c r="Y18" s="6">
        <f>(HLOOKUP('Yearly Pension'!Y$2,'Credited Service'!$G$1:$BC$80,$A18+1,FALSE)) * (IF($B18=500, (Assumptions!$B$7)*12, IF((HLOOKUP(Y$2,Earnings!$G$2:$BC$81,('Yearly Pension'!$A18)+1, FALSE)) &gt; Y$1, (Assumptions!$B$8)*(Y$1) + (Assumptions!$B$9)*MAX(0,  (HLOOKUP(Y$2,Earnings!$G$2:$BC$81,('Yearly Pension'!$A18)+1, FALSE)) - Y$1), ((Assumptions!$B$8)*'Yearly Pension'!Y$1))))</f>
        <v>0</v>
      </c>
      <c r="Z18" s="6">
        <f>(HLOOKUP('Yearly Pension'!Z$2,'Credited Service'!$G$1:$BC$80,$A18+1,FALSE)) * (IF($B18=500, (Assumptions!$B$7)*12, IF((HLOOKUP(Z$2,Earnings!$G$2:$BC$81,('Yearly Pension'!$A18)+1, FALSE)) &gt; Z$1, (Assumptions!$B$8)*(Z$1) + (Assumptions!$B$9)*MAX(0,  (HLOOKUP(Z$2,Earnings!$G$2:$BC$81,('Yearly Pension'!$A18)+1, FALSE)) - Z$1), ((Assumptions!$B$8)*'Yearly Pension'!Z$1))))</f>
        <v>0</v>
      </c>
      <c r="AA18" s="6">
        <f>(HLOOKUP('Yearly Pension'!AA$2,'Credited Service'!$G$1:$BC$80,$A18+1,FALSE)) * (IF($B18=500, (Assumptions!$B$7)*12, IF((HLOOKUP(AA$2,Earnings!$G$2:$BC$81,('Yearly Pension'!$A18)+1, FALSE)) &gt; AA$1, (Assumptions!$B$8)*(AA$1) + (Assumptions!$B$9)*MAX(0,  (HLOOKUP(AA$2,Earnings!$G$2:$BC$81,('Yearly Pension'!$A18)+1, FALSE)) - AA$1), ((Assumptions!$B$8)*'Yearly Pension'!AA$1))))</f>
        <v>0</v>
      </c>
      <c r="AB18" s="6">
        <f>(HLOOKUP('Yearly Pension'!AB$2,'Credited Service'!$G$1:$BC$80,$A18+1,FALSE)) * (IF($B18=500, (Assumptions!$B$7)*12, IF((HLOOKUP(AB$2,Earnings!$G$2:$BC$81,('Yearly Pension'!$A18)+1, FALSE)) &gt; AB$1, (Assumptions!$B$8)*(AB$1) + (Assumptions!$B$9)*MAX(0,  (HLOOKUP(AB$2,Earnings!$G$2:$BC$81,('Yearly Pension'!$A18)+1, FALSE)) - AB$1), ((Assumptions!$B$8)*'Yearly Pension'!AB$1))))</f>
        <v>0</v>
      </c>
      <c r="AC18" s="6">
        <f>(HLOOKUP('Yearly Pension'!AC$2,'Credited Service'!$G$1:$BC$80,$A18+1,FALSE)) * (IF($B18=500, (Assumptions!$B$7)*12, IF((HLOOKUP(AC$2,Earnings!$G$2:$BC$81,('Yearly Pension'!$A18)+1, FALSE)) &gt; AC$1, (Assumptions!$B$8)*(AC$1) + (Assumptions!$B$9)*MAX(0,  (HLOOKUP(AC$2,Earnings!$G$2:$BC$81,('Yearly Pension'!$A18)+1, FALSE)) - AC$1), ((Assumptions!$B$8)*'Yearly Pension'!AC$1))))</f>
        <v>0</v>
      </c>
      <c r="AD18" s="6">
        <f>(HLOOKUP('Yearly Pension'!AD$2,'Credited Service'!$G$1:$BC$80,$A18+1,FALSE)) * (IF($B18=500, (Assumptions!$B$7)*12, IF((HLOOKUP(AD$2,Earnings!$G$2:$BC$81,('Yearly Pension'!$A18)+1, FALSE)) &gt; AD$1, (Assumptions!$B$8)*(AD$1) + (Assumptions!$B$9)*MAX(0,  (HLOOKUP(AD$2,Earnings!$G$2:$BC$81,('Yearly Pension'!$A18)+1, FALSE)) - AD$1), ((Assumptions!$B$8)*'Yearly Pension'!AD$1))))</f>
        <v>0</v>
      </c>
      <c r="AE18" s="6">
        <f>(HLOOKUP('Yearly Pension'!AE$2,'Credited Service'!$G$1:$BC$80,$A18+1,FALSE)) * (IF($B18=500, (Assumptions!$B$7)*12, IF((HLOOKUP(AE$2,Earnings!$G$2:$BC$81,('Yearly Pension'!$A18)+1, FALSE)) &gt; AE$1, (Assumptions!$B$8)*(AE$1) + (Assumptions!$B$9)*MAX(0,  (HLOOKUP(AE$2,Earnings!$G$2:$BC$81,('Yearly Pension'!$A18)+1, FALSE)) - AE$1), ((Assumptions!$B$8)*'Yearly Pension'!AE$1))))</f>
        <v>0</v>
      </c>
      <c r="AF18" s="6">
        <f>(HLOOKUP('Yearly Pension'!AF$2,'Credited Service'!$G$1:$BC$80,$A18+1,FALSE)) * (IF($B18=500, (Assumptions!$B$7)*12, IF((HLOOKUP(AF$2,Earnings!$G$2:$BC$81,('Yearly Pension'!$A18)+1, FALSE)) &gt; AF$1, (Assumptions!$B$8)*(AF$1) + (Assumptions!$B$9)*MAX(0,  (HLOOKUP(AF$2,Earnings!$G$2:$BC$81,('Yearly Pension'!$A18)+1, FALSE)) - AF$1), ((Assumptions!$B$8)*'Yearly Pension'!AF$1))))</f>
        <v>0</v>
      </c>
      <c r="AG18" s="6">
        <f>(HLOOKUP('Yearly Pension'!AG$2,'Credited Service'!$G$1:$BC$80,$A18+1,FALSE)) * (IF($B18=500, (Assumptions!$B$7)*12, IF((HLOOKUP(AG$2,Earnings!$G$2:$BC$81,('Yearly Pension'!$A18)+1, FALSE)) &gt; AG$1, (Assumptions!$B$8)*(AG$1) + (Assumptions!$B$9)*MAX(0,  (HLOOKUP(AG$2,Earnings!$G$2:$BC$81,('Yearly Pension'!$A18)+1, FALSE)) - AG$1), ((Assumptions!$B$8)*'Yearly Pension'!AG$1))))</f>
        <v>0</v>
      </c>
      <c r="AH18" s="6">
        <f>(HLOOKUP('Yearly Pension'!AH$2,'Credited Service'!$G$1:$BC$80,$A18+1,FALSE)) * (IF($B18=500, (Assumptions!$B$7)*12, IF((HLOOKUP(AH$2,Earnings!$G$2:$BC$81,('Yearly Pension'!$A18)+1, FALSE)) &gt; AH$1, (Assumptions!$B$8)*(AH$1) + (Assumptions!$B$9)*MAX(0,  (HLOOKUP(AH$2,Earnings!$G$2:$BC$81,('Yearly Pension'!$A18)+1, FALSE)) - AH$1), ((Assumptions!$B$8)*'Yearly Pension'!AH$1))))</f>
        <v>120</v>
      </c>
      <c r="AI18" s="6">
        <f>(HLOOKUP('Yearly Pension'!AI$2,'Credited Service'!$G$1:$BC$80,$A18+1,FALSE)) * (IF($B18=500, (Assumptions!$B$7)*12, IF((HLOOKUP(AI$2,Earnings!$G$2:$BC$81,('Yearly Pension'!$A18)+1, FALSE)) &gt; AI$1, (Assumptions!$B$8)*(AI$1) + (Assumptions!$B$9)*MAX(0,  (HLOOKUP(AI$2,Earnings!$G$2:$BC$81,('Yearly Pension'!$A18)+1, FALSE)) - AI$1), ((Assumptions!$B$8)*'Yearly Pension'!AI$1))))</f>
        <v>720</v>
      </c>
      <c r="AJ18" s="6">
        <f>(HLOOKUP('Yearly Pension'!AJ$2,'Credited Service'!$G$1:$BC$80,$A18+1,FALSE)) * (IF($B18=500, (Assumptions!$B$7)*12, IF((HLOOKUP(AJ$2,Earnings!$G$2:$BC$81,('Yearly Pension'!$A18)+1, FALSE)) &gt; AJ$1, (Assumptions!$B$8)*(AJ$1) + (Assumptions!$B$9)*MAX(0,  (HLOOKUP(AJ$2,Earnings!$G$2:$BC$81,('Yearly Pension'!$A18)+1, FALSE)) - AJ$1), ((Assumptions!$B$8)*'Yearly Pension'!AJ$1))))</f>
        <v>720</v>
      </c>
      <c r="AK18" s="6">
        <f>(HLOOKUP('Yearly Pension'!AK$2,'Credited Service'!$G$1:$BC$80,$A18+1,FALSE)) * (IF($B18=500, (Assumptions!$B$7)*12, IF((HLOOKUP(AK$2,Earnings!$G$2:$BC$81,('Yearly Pension'!$A18)+1, FALSE)) &gt; AK$1, (Assumptions!$B$8)*(AK$1) + (Assumptions!$B$9)*MAX(0,  (HLOOKUP(AK$2,Earnings!$G$2:$BC$81,('Yearly Pension'!$A18)+1, FALSE)) - AK$1), ((Assumptions!$B$8)*'Yearly Pension'!AK$1))))</f>
        <v>720</v>
      </c>
      <c r="AL18" s="6">
        <f>(HLOOKUP('Yearly Pension'!AL$2,'Credited Service'!$G$1:$BC$80,$A18+1,FALSE)) * (IF($B18=500, (Assumptions!$B$7)*12, IF((HLOOKUP(AL$2,Earnings!$G$2:$BC$81,('Yearly Pension'!$A18)+1, FALSE)) &gt; AL$1, (Assumptions!$B$8)*(AL$1) + (Assumptions!$B$9)*MAX(0,  (HLOOKUP(AL$2,Earnings!$G$2:$BC$81,('Yearly Pension'!$A18)+1, FALSE)) - AL$1), ((Assumptions!$B$8)*'Yearly Pension'!AL$1))))</f>
        <v>720</v>
      </c>
      <c r="AM18" s="6">
        <f>(HLOOKUP('Yearly Pension'!AM$2,'Credited Service'!$G$1:$BC$80,$A18+1,FALSE)) * (IF($B18=500, (Assumptions!$B$7)*12, IF((HLOOKUP(AM$2,Earnings!$G$2:$BC$81,('Yearly Pension'!$A18)+1, FALSE)) &gt; AM$1, (Assumptions!$B$8)*(AM$1) + (Assumptions!$B$9)*MAX(0,  (HLOOKUP(AM$2,Earnings!$G$2:$BC$81,('Yearly Pension'!$A18)+1, FALSE)) - AM$1), ((Assumptions!$B$8)*'Yearly Pension'!AM$1))))</f>
        <v>720</v>
      </c>
      <c r="AN18" s="6">
        <f>(HLOOKUP('Yearly Pension'!AN$2,'Credited Service'!$G$1:$BC$80,$A18+1,FALSE)) * (IF($B18=500, (Assumptions!$B$7)*12, IF((HLOOKUP(AN$2,Earnings!$G$2:$BC$81,('Yearly Pension'!$A18)+1, FALSE)) &gt; AN$1, (Assumptions!$B$8)*(AN$1) + (Assumptions!$B$9)*MAX(0,  (HLOOKUP(AN$2,Earnings!$G$2:$BC$81,('Yearly Pension'!$A18)+1, FALSE)) - AN$1), ((Assumptions!$B$8)*'Yearly Pension'!AN$1))))</f>
        <v>720</v>
      </c>
      <c r="AO18" s="6">
        <f>(HLOOKUP('Yearly Pension'!AO$2,'Credited Service'!$G$1:$BC$80,$A18+1,FALSE)) * (IF($B18=500, (Assumptions!$B$7)*12, IF((HLOOKUP(AO$2,Earnings!$G$2:$BC$81,('Yearly Pension'!$A18)+1, FALSE)) &gt; AO$1, (Assumptions!$B$8)*(AO$1) + (Assumptions!$B$9)*MAX(0,  (HLOOKUP(AO$2,Earnings!$G$2:$BC$81,('Yearly Pension'!$A18)+1, FALSE)) - AO$1), ((Assumptions!$B$8)*'Yearly Pension'!AO$1))))</f>
        <v>720</v>
      </c>
      <c r="AP18" s="6">
        <f>(HLOOKUP('Yearly Pension'!AP$2,'Credited Service'!$G$1:$BC$80,$A18+1,FALSE)) * (IF($B18=500, (Assumptions!$B$7)*12, IF((HLOOKUP(AP$2,Earnings!$G$2:$BC$81,('Yearly Pension'!$A18)+1, FALSE)) &gt; AP$1, (Assumptions!$B$8)*(AP$1) + (Assumptions!$B$9)*MAX(0,  (HLOOKUP(AP$2,Earnings!$G$2:$BC$81,('Yearly Pension'!$A18)+1, FALSE)) - AP$1), ((Assumptions!$B$8)*'Yearly Pension'!AP$1))))</f>
        <v>720</v>
      </c>
      <c r="AQ18" s="6">
        <f>(HLOOKUP('Yearly Pension'!AQ$2,'Credited Service'!$G$1:$BC$80,$A18+1,FALSE)) * (IF($B18=500, (Assumptions!$B$7)*12, IF((HLOOKUP(AQ$2,Earnings!$G$2:$BC$81,('Yearly Pension'!$A18)+1, FALSE)) &gt; AQ$1, (Assumptions!$B$8)*(AQ$1) + (Assumptions!$B$9)*MAX(0,  (HLOOKUP(AQ$2,Earnings!$G$2:$BC$81,('Yearly Pension'!$A18)+1, FALSE)) - AQ$1), ((Assumptions!$B$8)*'Yearly Pension'!AQ$1))))</f>
        <v>720</v>
      </c>
      <c r="AR18" s="6">
        <f>(HLOOKUP('Yearly Pension'!AR$2,'Credited Service'!$G$1:$BC$80,$A18+1,FALSE)) * (IF($B18=500, (Assumptions!$B$7)*12, IF((HLOOKUP(AR$2,Earnings!$G$2:$BC$81,('Yearly Pension'!$A18)+1, FALSE)) &gt; AR$1, (Assumptions!$B$8)*(AR$1) + (Assumptions!$B$9)*MAX(0,  (HLOOKUP(AR$2,Earnings!$G$2:$BC$81,('Yearly Pension'!$A18)+1, FALSE)) - AR$1), ((Assumptions!$B$8)*'Yearly Pension'!AR$1))))</f>
        <v>720</v>
      </c>
      <c r="AS18" s="6">
        <f>(HLOOKUP('Yearly Pension'!AS$2,'Credited Service'!$G$1:$BC$80,$A18+1,FALSE)) * (IF($B18=500, (Assumptions!$B$7)*12, IF((HLOOKUP(AS$2,Earnings!$G$2:$BC$81,('Yearly Pension'!$A18)+1, FALSE)) &gt; AS$1, (Assumptions!$B$8)*(AS$1) + (Assumptions!$B$9)*MAX(0,  (HLOOKUP(AS$2,Earnings!$G$2:$BC$81,('Yearly Pension'!$A18)+1, FALSE)) - AS$1), ((Assumptions!$B$8)*'Yearly Pension'!AS$1))))</f>
        <v>720</v>
      </c>
      <c r="AT18" s="6">
        <f>(HLOOKUP('Yearly Pension'!AT$2,'Credited Service'!$G$1:$BC$80,$A18+1,FALSE)) * (IF($B18=500, (Assumptions!$B$7)*12, IF((HLOOKUP(AT$2,Earnings!$G$2:$BC$81,('Yearly Pension'!$A18)+1, FALSE)) &gt; AT$1, (Assumptions!$B$8)*(AT$1) + (Assumptions!$B$9)*MAX(0,  (HLOOKUP(AT$2,Earnings!$G$2:$BC$81,('Yearly Pension'!$A18)+1, FALSE)) - AT$1), ((Assumptions!$B$8)*'Yearly Pension'!AT$1))))</f>
        <v>720</v>
      </c>
      <c r="AU18" s="6">
        <f>(HLOOKUP('Yearly Pension'!AU$2,'Credited Service'!$G$1:$BC$80,$A18+1,FALSE)) * (IF($B18=500, (Assumptions!$B$7)*12, IF((HLOOKUP(AU$2,Earnings!$G$2:$BC$81,('Yearly Pension'!$A18)+1, FALSE)) &gt; AU$1, (Assumptions!$B$8)*(AU$1) + (Assumptions!$B$9)*MAX(0,  (HLOOKUP(AU$2,Earnings!$G$2:$BC$81,('Yearly Pension'!$A18)+1, FALSE)) - AU$1), ((Assumptions!$B$8)*'Yearly Pension'!AU$1))))</f>
        <v>720</v>
      </c>
      <c r="AV18" s="6">
        <f>(HLOOKUP('Yearly Pension'!AV$2,'Credited Service'!$G$1:$BC$80,$A18+1,FALSE)) * (IF($B18=500, (Assumptions!$B$7)*12, IF((HLOOKUP(AV$2,Earnings!$G$2:$BC$81,('Yearly Pension'!$A18)+1, FALSE)) &gt; AV$1, (Assumptions!$B$8)*(AV$1) + (Assumptions!$B$9)*MAX(0,  (HLOOKUP(AV$2,Earnings!$G$2:$BC$81,('Yearly Pension'!$A18)+1, FALSE)) - AV$1), ((Assumptions!$B$8)*'Yearly Pension'!AV$1))))</f>
        <v>720</v>
      </c>
      <c r="AW18" s="6">
        <f>(HLOOKUP('Yearly Pension'!AW$2,'Credited Service'!$G$1:$BC$80,$A18+1,FALSE)) * (IF($B18=500, (Assumptions!$B$7)*12, IF((HLOOKUP(AW$2,Earnings!$G$2:$BC$81,('Yearly Pension'!$A18)+1, FALSE)) &gt; AW$1, (Assumptions!$B$8)*(AW$1) + (Assumptions!$B$9)*MAX(0,  (HLOOKUP(AW$2,Earnings!$G$2:$BC$81,('Yearly Pension'!$A18)+1, FALSE)) - AW$1), ((Assumptions!$B$8)*'Yearly Pension'!AW$1))))</f>
        <v>720</v>
      </c>
      <c r="AX18" s="6">
        <f>(HLOOKUP('Yearly Pension'!AX$2,'Credited Service'!$G$1:$BC$80,$A18+1,FALSE)) * (IF($B18=500, (Assumptions!$B$7)*12, IF((HLOOKUP(AX$2,Earnings!$G$2:$BC$81,('Yearly Pension'!$A18)+1, FALSE)) &gt; AX$1, (Assumptions!$B$8)*(AX$1) + (Assumptions!$B$9)*MAX(0,  (HLOOKUP(AX$2,Earnings!$G$2:$BC$81,('Yearly Pension'!$A18)+1, FALSE)) - AX$1), ((Assumptions!$B$8)*'Yearly Pension'!AX$1))))</f>
        <v>720</v>
      </c>
      <c r="AY18" s="6">
        <f>(HLOOKUP('Yearly Pension'!AY$2,'Credited Service'!$G$1:$BC$80,$A18+1,FALSE)) * (IF($B18=500, (Assumptions!$B$7)*12, IF((HLOOKUP(AY$2,Earnings!$G$2:$BC$81,('Yearly Pension'!$A18)+1, FALSE)) &gt; AY$1, (Assumptions!$B$8)*(AY$1) + (Assumptions!$B$9)*MAX(0,  (HLOOKUP(AY$2,Earnings!$G$2:$BC$81,('Yearly Pension'!$A18)+1, FALSE)) - AY$1), ((Assumptions!$B$8)*'Yearly Pension'!AY$1))))</f>
        <v>720</v>
      </c>
      <c r="AZ18" s="6">
        <f>(HLOOKUP('Yearly Pension'!AZ$2,'Credited Service'!$G$1:$BC$80,$A18+1,FALSE)) * (IF($B18=500, (Assumptions!$B$7)*12, IF((HLOOKUP(AZ$2,Earnings!$G$2:$BC$81,('Yearly Pension'!$A18)+1, FALSE)) &gt; AZ$1, (Assumptions!$B$8)*(AZ$1) + (Assumptions!$B$9)*MAX(0,  (HLOOKUP(AZ$2,Earnings!$G$2:$BC$81,('Yearly Pension'!$A18)+1, FALSE)) - AZ$1), ((Assumptions!$B$8)*'Yearly Pension'!AZ$1))))</f>
        <v>720</v>
      </c>
      <c r="BA18" s="6">
        <f>(HLOOKUP('Yearly Pension'!BA$2,'Credited Service'!$G$1:$BC$80,$A18+1,FALSE)) * (IF($B18=500, (Assumptions!$B$7)*12, IF((HLOOKUP(BA$2,Earnings!$G$2:$BC$81,('Yearly Pension'!$A18)+1, FALSE)) &gt; BA$1, (Assumptions!$B$8)*(BA$1) + (Assumptions!$B$9)*MAX(0,  (HLOOKUP(BA$2,Earnings!$G$2:$BC$81,('Yearly Pension'!$A18)+1, FALSE)) - BA$1), ((Assumptions!$B$8)*'Yearly Pension'!BA$1))))</f>
        <v>720</v>
      </c>
      <c r="BB18" s="6">
        <f>(HLOOKUP('Yearly Pension'!BB$2,'Credited Service'!$G$1:$BC$80,$A18+1,FALSE)) * (IF($B18=500, (Assumptions!$B$7)*12, IF((HLOOKUP(BB$2,Earnings!$G$2:$BC$81,('Yearly Pension'!$A18)+1, FALSE)) &gt; BB$1, (Assumptions!$B$8)*(BB$1) + (Assumptions!$B$9)*MAX(0,  (HLOOKUP(BB$2,Earnings!$G$2:$BC$81,('Yearly Pension'!$A18)+1, FALSE)) - BB$1), ((Assumptions!$B$8)*'Yearly Pension'!BB$1))))</f>
        <v>720</v>
      </c>
      <c r="BC18" s="6">
        <f>(HLOOKUP('Yearly Pension'!BC$2,'Credited Service'!$G$1:$BC$80,$A18+1,FALSE)) * (IF($B18=500, (Assumptions!$B$7)*12, IF((HLOOKUP(BC$2,Earnings!$G$2:$BC$81,('Yearly Pension'!$A18)+1, FALSE)) &gt; BC$1, (Assumptions!$B$8)*(BC$1) + (Assumptions!$B$9)*MAX(0,  (HLOOKUP(BC$2,Earnings!$G$2:$BC$81,('Yearly Pension'!$A18)+1, FALSE)) - BC$1), ((Assumptions!$B$8)*'Yearly Pension'!BC$1))))</f>
        <v>720</v>
      </c>
    </row>
    <row r="19" spans="1:55" x14ac:dyDescent="0.25">
      <c r="A19" s="204">
        <v>17</v>
      </c>
      <c r="B19" s="1">
        <v>500</v>
      </c>
      <c r="C19" s="1">
        <v>772</v>
      </c>
      <c r="D19" s="3">
        <v>38187</v>
      </c>
      <c r="E19" s="3">
        <v>50192</v>
      </c>
      <c r="G19" s="6">
        <f>(HLOOKUP('Yearly Pension'!G$2,'Credited Service'!$G$1:$BC$80,$A19+1,FALSE)) * (IF($B19=500, (Assumptions!$B$7)*12, IF((HLOOKUP(G$2,Earnings!$G$2:$BC$81,('Yearly Pension'!$A19)+1, FALSE)) &gt; G$1, (Assumptions!$B$8)*(G$1) + (Assumptions!$B$9)*MAX(0,  (HLOOKUP(G$2,Earnings!$G$2:$BC$81,('Yearly Pension'!$A19)+1, FALSE)) - G$1), ((Assumptions!$B$8)*'Yearly Pension'!G$1))))</f>
        <v>0</v>
      </c>
      <c r="H19" s="6">
        <f>(HLOOKUP('Yearly Pension'!H$2,'Credited Service'!$G$1:$BC$80,$A19+1,FALSE)) * (IF($B19=500, (Assumptions!$B$7)*12, IF((HLOOKUP(H$2,Earnings!$G$2:$BC$81,('Yearly Pension'!$A19)+1, FALSE)) &gt; H$1, (Assumptions!$B$8)*(H$1) + (Assumptions!$B$9)*MAX(0,  (HLOOKUP(H$2,Earnings!$G$2:$BC$81,('Yearly Pension'!$A19)+1, FALSE)) - H$1), ((Assumptions!$B$8)*'Yearly Pension'!H$1))))</f>
        <v>0</v>
      </c>
      <c r="I19" s="6">
        <f>(HLOOKUP('Yearly Pension'!I$2,'Credited Service'!$G$1:$BC$80,$A19+1,FALSE)) * (IF($B19=500, (Assumptions!$B$7)*12, IF((HLOOKUP(I$2,Earnings!$G$2:$BC$81,('Yearly Pension'!$A19)+1, FALSE)) &gt; I$1, (Assumptions!$B$8)*(I$1) + (Assumptions!$B$9)*MAX(0,  (HLOOKUP(I$2,Earnings!$G$2:$BC$81,('Yearly Pension'!$A19)+1, FALSE)) - I$1), ((Assumptions!$B$8)*'Yearly Pension'!I$1))))</f>
        <v>0</v>
      </c>
      <c r="J19" s="6">
        <f>(HLOOKUP('Yearly Pension'!J$2,'Credited Service'!$G$1:$BC$80,$A19+1,FALSE)) * (IF($B19=500, (Assumptions!$B$7)*12, IF((HLOOKUP(J$2,Earnings!$G$2:$BC$81,('Yearly Pension'!$A19)+1, FALSE)) &gt; J$1, (Assumptions!$B$8)*(J$1) + (Assumptions!$B$9)*MAX(0,  (HLOOKUP(J$2,Earnings!$G$2:$BC$81,('Yearly Pension'!$A19)+1, FALSE)) - J$1), ((Assumptions!$B$8)*'Yearly Pension'!J$1))))</f>
        <v>0</v>
      </c>
      <c r="K19" s="6">
        <f>(HLOOKUP('Yearly Pension'!K$2,'Credited Service'!$G$1:$BC$80,$A19+1,FALSE)) * (IF($B19=500, (Assumptions!$B$7)*12, IF((HLOOKUP(K$2,Earnings!$G$2:$BC$81,('Yearly Pension'!$A19)+1, FALSE)) &gt; K$1, (Assumptions!$B$8)*(K$1) + (Assumptions!$B$9)*MAX(0,  (HLOOKUP(K$2,Earnings!$G$2:$BC$81,('Yearly Pension'!$A19)+1, FALSE)) - K$1), ((Assumptions!$B$8)*'Yearly Pension'!K$1))))</f>
        <v>0</v>
      </c>
      <c r="L19" s="6">
        <f>(HLOOKUP('Yearly Pension'!L$2,'Credited Service'!$G$1:$BC$80,$A19+1,FALSE)) * (IF($B19=500, (Assumptions!$B$7)*12, IF((HLOOKUP(L$2,Earnings!$G$2:$BC$81,('Yearly Pension'!$A19)+1, FALSE)) &gt; L$1, (Assumptions!$B$8)*(L$1) + (Assumptions!$B$9)*MAX(0,  (HLOOKUP(L$2,Earnings!$G$2:$BC$81,('Yearly Pension'!$A19)+1, FALSE)) - L$1), ((Assumptions!$B$8)*'Yearly Pension'!L$1))))</f>
        <v>0</v>
      </c>
      <c r="M19" s="6">
        <f>(HLOOKUP('Yearly Pension'!M$2,'Credited Service'!$G$1:$BC$80,$A19+1,FALSE)) * (IF($B19=500, (Assumptions!$B$7)*12, IF((HLOOKUP(M$2,Earnings!$G$2:$BC$81,('Yearly Pension'!$A19)+1, FALSE)) &gt; M$1, (Assumptions!$B$8)*(M$1) + (Assumptions!$B$9)*MAX(0,  (HLOOKUP(M$2,Earnings!$G$2:$BC$81,('Yearly Pension'!$A19)+1, FALSE)) - M$1), ((Assumptions!$B$8)*'Yearly Pension'!M$1))))</f>
        <v>0</v>
      </c>
      <c r="N19" s="6">
        <f>(HLOOKUP('Yearly Pension'!N$2,'Credited Service'!$G$1:$BC$80,$A19+1,FALSE)) * (IF($B19=500, (Assumptions!$B$7)*12, IF((HLOOKUP(N$2,Earnings!$G$2:$BC$81,('Yearly Pension'!$A19)+1, FALSE)) &gt; N$1, (Assumptions!$B$8)*(N$1) + (Assumptions!$B$9)*MAX(0,  (HLOOKUP(N$2,Earnings!$G$2:$BC$81,('Yearly Pension'!$A19)+1, FALSE)) - N$1), ((Assumptions!$B$8)*'Yearly Pension'!N$1))))</f>
        <v>0</v>
      </c>
      <c r="O19" s="6">
        <f>(HLOOKUP('Yearly Pension'!O$2,'Credited Service'!$G$1:$BC$80,$A19+1,FALSE)) * (IF($B19=500, (Assumptions!$B$7)*12, IF((HLOOKUP(O$2,Earnings!$G$2:$BC$81,('Yearly Pension'!$A19)+1, FALSE)) &gt; O$1, (Assumptions!$B$8)*(O$1) + (Assumptions!$B$9)*MAX(0,  (HLOOKUP(O$2,Earnings!$G$2:$BC$81,('Yearly Pension'!$A19)+1, FALSE)) - O$1), ((Assumptions!$B$8)*'Yearly Pension'!O$1))))</f>
        <v>0</v>
      </c>
      <c r="P19" s="6">
        <f>(HLOOKUP('Yearly Pension'!P$2,'Credited Service'!$G$1:$BC$80,$A19+1,FALSE)) * (IF($B19=500, (Assumptions!$B$7)*12, IF((HLOOKUP(P$2,Earnings!$G$2:$BC$81,('Yearly Pension'!$A19)+1, FALSE)) &gt; P$1, (Assumptions!$B$8)*(P$1) + (Assumptions!$B$9)*MAX(0,  (HLOOKUP(P$2,Earnings!$G$2:$BC$81,('Yearly Pension'!$A19)+1, FALSE)) - P$1), ((Assumptions!$B$8)*'Yearly Pension'!P$1))))</f>
        <v>0</v>
      </c>
      <c r="Q19" s="6">
        <f>(HLOOKUP('Yearly Pension'!Q$2,'Credited Service'!$G$1:$BC$80,$A19+1,FALSE)) * (IF($B19=500, (Assumptions!$B$7)*12, IF((HLOOKUP(Q$2,Earnings!$G$2:$BC$81,('Yearly Pension'!$A19)+1, FALSE)) &gt; Q$1, (Assumptions!$B$8)*(Q$1) + (Assumptions!$B$9)*MAX(0,  (HLOOKUP(Q$2,Earnings!$G$2:$BC$81,('Yearly Pension'!$A19)+1, FALSE)) - Q$1), ((Assumptions!$B$8)*'Yearly Pension'!Q$1))))</f>
        <v>0</v>
      </c>
      <c r="R19" s="6">
        <f>(HLOOKUP('Yearly Pension'!R$2,'Credited Service'!$G$1:$BC$80,$A19+1,FALSE)) * (IF($B19=500, (Assumptions!$B$7)*12, IF((HLOOKUP(R$2,Earnings!$G$2:$BC$81,('Yearly Pension'!$A19)+1, FALSE)) &gt; R$1, (Assumptions!$B$8)*(R$1) + (Assumptions!$B$9)*MAX(0,  (HLOOKUP(R$2,Earnings!$G$2:$BC$81,('Yearly Pension'!$A19)+1, FALSE)) - R$1), ((Assumptions!$B$8)*'Yearly Pension'!R$1))))</f>
        <v>0</v>
      </c>
      <c r="S19" s="6">
        <f>(HLOOKUP('Yearly Pension'!S$2,'Credited Service'!$G$1:$BC$80,$A19+1,FALSE)) * (IF($B19=500, (Assumptions!$B$7)*12, IF((HLOOKUP(S$2,Earnings!$G$2:$BC$81,('Yearly Pension'!$A19)+1, FALSE)) &gt; S$1, (Assumptions!$B$8)*(S$1) + (Assumptions!$B$9)*MAX(0,  (HLOOKUP(S$2,Earnings!$G$2:$BC$81,('Yearly Pension'!$A19)+1, FALSE)) - S$1), ((Assumptions!$B$8)*'Yearly Pension'!S$1))))</f>
        <v>0</v>
      </c>
      <c r="T19" s="6">
        <f>(HLOOKUP('Yearly Pension'!T$2,'Credited Service'!$G$1:$BC$80,$A19+1,FALSE)) * (IF($B19=500, (Assumptions!$B$7)*12, IF((HLOOKUP(T$2,Earnings!$G$2:$BC$81,('Yearly Pension'!$A19)+1, FALSE)) &gt; T$1, (Assumptions!$B$8)*(T$1) + (Assumptions!$B$9)*MAX(0,  (HLOOKUP(T$2,Earnings!$G$2:$BC$81,('Yearly Pension'!$A19)+1, FALSE)) - T$1), ((Assumptions!$B$8)*'Yearly Pension'!T$1))))</f>
        <v>0</v>
      </c>
      <c r="U19" s="6">
        <f>(HLOOKUP('Yearly Pension'!U$2,'Credited Service'!$G$1:$BC$80,$A19+1,FALSE)) * (IF($B19=500, (Assumptions!$B$7)*12, IF((HLOOKUP(U$2,Earnings!$G$2:$BC$81,('Yearly Pension'!$A19)+1, FALSE)) &gt; U$1, (Assumptions!$B$8)*(U$1) + (Assumptions!$B$9)*MAX(0,  (HLOOKUP(U$2,Earnings!$G$2:$BC$81,('Yearly Pension'!$A19)+1, FALSE)) - U$1), ((Assumptions!$B$8)*'Yearly Pension'!U$1))))</f>
        <v>0</v>
      </c>
      <c r="V19" s="6">
        <f>(HLOOKUP('Yearly Pension'!V$2,'Credited Service'!$G$1:$BC$80,$A19+1,FALSE)) * (IF($B19=500, (Assumptions!$B$7)*12, IF((HLOOKUP(V$2,Earnings!$G$2:$BC$81,('Yearly Pension'!$A19)+1, FALSE)) &gt; V$1, (Assumptions!$B$8)*(V$1) + (Assumptions!$B$9)*MAX(0,  (HLOOKUP(V$2,Earnings!$G$2:$BC$81,('Yearly Pension'!$A19)+1, FALSE)) - V$1), ((Assumptions!$B$8)*'Yearly Pension'!V$1))))</f>
        <v>0</v>
      </c>
      <c r="W19" s="6">
        <f>(HLOOKUP('Yearly Pension'!W$2,'Credited Service'!$G$1:$BC$80,$A19+1,FALSE)) * (IF($B19=500, (Assumptions!$B$7)*12, IF((HLOOKUP(W$2,Earnings!$G$2:$BC$81,('Yearly Pension'!$A19)+1, FALSE)) &gt; W$1, (Assumptions!$B$8)*(W$1) + (Assumptions!$B$9)*MAX(0,  (HLOOKUP(W$2,Earnings!$G$2:$BC$81,('Yearly Pension'!$A19)+1, FALSE)) - W$1), ((Assumptions!$B$8)*'Yearly Pension'!W$1))))</f>
        <v>0</v>
      </c>
      <c r="X19" s="6">
        <f>(HLOOKUP('Yearly Pension'!X$2,'Credited Service'!$G$1:$BC$80,$A19+1,FALSE)) * (IF($B19=500, (Assumptions!$B$7)*12, IF((HLOOKUP(X$2,Earnings!$G$2:$BC$81,('Yearly Pension'!$A19)+1, FALSE)) &gt; X$1, (Assumptions!$B$8)*(X$1) + (Assumptions!$B$9)*MAX(0,  (HLOOKUP(X$2,Earnings!$G$2:$BC$81,('Yearly Pension'!$A19)+1, FALSE)) - X$1), ((Assumptions!$B$8)*'Yearly Pension'!X$1))))</f>
        <v>0</v>
      </c>
      <c r="Y19" s="6">
        <f>(HLOOKUP('Yearly Pension'!Y$2,'Credited Service'!$G$1:$BC$80,$A19+1,FALSE)) * (IF($B19=500, (Assumptions!$B$7)*12, IF((HLOOKUP(Y$2,Earnings!$G$2:$BC$81,('Yearly Pension'!$A19)+1, FALSE)) &gt; Y$1, (Assumptions!$B$8)*(Y$1) + (Assumptions!$B$9)*MAX(0,  (HLOOKUP(Y$2,Earnings!$G$2:$BC$81,('Yearly Pension'!$A19)+1, FALSE)) - Y$1), ((Assumptions!$B$8)*'Yearly Pension'!Y$1))))</f>
        <v>0</v>
      </c>
      <c r="Z19" s="6">
        <f>(HLOOKUP('Yearly Pension'!Z$2,'Credited Service'!$G$1:$BC$80,$A19+1,FALSE)) * (IF($B19=500, (Assumptions!$B$7)*12, IF((HLOOKUP(Z$2,Earnings!$G$2:$BC$81,('Yearly Pension'!$A19)+1, FALSE)) &gt; Z$1, (Assumptions!$B$8)*(Z$1) + (Assumptions!$B$9)*MAX(0,  (HLOOKUP(Z$2,Earnings!$G$2:$BC$81,('Yearly Pension'!$A19)+1, FALSE)) - Z$1), ((Assumptions!$B$8)*'Yearly Pension'!Z$1))))</f>
        <v>0</v>
      </c>
      <c r="AA19" s="6">
        <f>(HLOOKUP('Yearly Pension'!AA$2,'Credited Service'!$G$1:$BC$80,$A19+1,FALSE)) * (IF($B19=500, (Assumptions!$B$7)*12, IF((HLOOKUP(AA$2,Earnings!$G$2:$BC$81,('Yearly Pension'!$A19)+1, FALSE)) &gt; AA$1, (Assumptions!$B$8)*(AA$1) + (Assumptions!$B$9)*MAX(0,  (HLOOKUP(AA$2,Earnings!$G$2:$BC$81,('Yearly Pension'!$A19)+1, FALSE)) - AA$1), ((Assumptions!$B$8)*'Yearly Pension'!AA$1))))</f>
        <v>0</v>
      </c>
      <c r="AB19" s="6">
        <f>(HLOOKUP('Yearly Pension'!AB$2,'Credited Service'!$G$1:$BC$80,$A19+1,FALSE)) * (IF($B19=500, (Assumptions!$B$7)*12, IF((HLOOKUP(AB$2,Earnings!$G$2:$BC$81,('Yearly Pension'!$A19)+1, FALSE)) &gt; AB$1, (Assumptions!$B$8)*(AB$1) + (Assumptions!$B$9)*MAX(0,  (HLOOKUP(AB$2,Earnings!$G$2:$BC$81,('Yearly Pension'!$A19)+1, FALSE)) - AB$1), ((Assumptions!$B$8)*'Yearly Pension'!AB$1))))</f>
        <v>0</v>
      </c>
      <c r="AC19" s="6">
        <f>(HLOOKUP('Yearly Pension'!AC$2,'Credited Service'!$G$1:$BC$80,$A19+1,FALSE)) * (IF($B19=500, (Assumptions!$B$7)*12, IF((HLOOKUP(AC$2,Earnings!$G$2:$BC$81,('Yearly Pension'!$A19)+1, FALSE)) &gt; AC$1, (Assumptions!$B$8)*(AC$1) + (Assumptions!$B$9)*MAX(0,  (HLOOKUP(AC$2,Earnings!$G$2:$BC$81,('Yearly Pension'!$A19)+1, FALSE)) - AC$1), ((Assumptions!$B$8)*'Yearly Pension'!AC$1))))</f>
        <v>0</v>
      </c>
      <c r="AD19" s="6">
        <f>(HLOOKUP('Yearly Pension'!AD$2,'Credited Service'!$G$1:$BC$80,$A19+1,FALSE)) * (IF($B19=500, (Assumptions!$B$7)*12, IF((HLOOKUP(AD$2,Earnings!$G$2:$BC$81,('Yearly Pension'!$A19)+1, FALSE)) &gt; AD$1, (Assumptions!$B$8)*(AD$1) + (Assumptions!$B$9)*MAX(0,  (HLOOKUP(AD$2,Earnings!$G$2:$BC$81,('Yearly Pension'!$A19)+1, FALSE)) - AD$1), ((Assumptions!$B$8)*'Yearly Pension'!AD$1))))</f>
        <v>0</v>
      </c>
      <c r="AE19" s="6">
        <f>(HLOOKUP('Yearly Pension'!AE$2,'Credited Service'!$G$1:$BC$80,$A19+1,FALSE)) * (IF($B19=500, (Assumptions!$B$7)*12, IF((HLOOKUP(AE$2,Earnings!$G$2:$BC$81,('Yearly Pension'!$A19)+1, FALSE)) &gt; AE$1, (Assumptions!$B$8)*(AE$1) + (Assumptions!$B$9)*MAX(0,  (HLOOKUP(AE$2,Earnings!$G$2:$BC$81,('Yearly Pension'!$A19)+1, FALSE)) - AE$1), ((Assumptions!$B$8)*'Yearly Pension'!AE$1))))</f>
        <v>0</v>
      </c>
      <c r="AF19" s="6">
        <f>(HLOOKUP('Yearly Pension'!AF$2,'Credited Service'!$G$1:$BC$80,$A19+1,FALSE)) * (IF($B19=500, (Assumptions!$B$7)*12, IF((HLOOKUP(AF$2,Earnings!$G$2:$BC$81,('Yearly Pension'!$A19)+1, FALSE)) &gt; AF$1, (Assumptions!$B$8)*(AF$1) + (Assumptions!$B$9)*MAX(0,  (HLOOKUP(AF$2,Earnings!$G$2:$BC$81,('Yearly Pension'!$A19)+1, FALSE)) - AF$1), ((Assumptions!$B$8)*'Yearly Pension'!AF$1))))</f>
        <v>0</v>
      </c>
      <c r="AG19" s="6">
        <f>(HLOOKUP('Yearly Pension'!AG$2,'Credited Service'!$G$1:$BC$80,$A19+1,FALSE)) * (IF($B19=500, (Assumptions!$B$7)*12, IF((HLOOKUP(AG$2,Earnings!$G$2:$BC$81,('Yearly Pension'!$A19)+1, FALSE)) &gt; AG$1, (Assumptions!$B$8)*(AG$1) + (Assumptions!$B$9)*MAX(0,  (HLOOKUP(AG$2,Earnings!$G$2:$BC$81,('Yearly Pension'!$A19)+1, FALSE)) - AG$1), ((Assumptions!$B$8)*'Yearly Pension'!AG$1))))</f>
        <v>0</v>
      </c>
      <c r="AH19" s="6">
        <f>(HLOOKUP('Yearly Pension'!AH$2,'Credited Service'!$G$1:$BC$80,$A19+1,FALSE)) * (IF($B19=500, (Assumptions!$B$7)*12, IF((HLOOKUP(AH$2,Earnings!$G$2:$BC$81,('Yearly Pension'!$A19)+1, FALSE)) &gt; AH$1, (Assumptions!$B$8)*(AH$1) + (Assumptions!$B$9)*MAX(0,  (HLOOKUP(AH$2,Earnings!$G$2:$BC$81,('Yearly Pension'!$A19)+1, FALSE)) - AH$1), ((Assumptions!$B$8)*'Yearly Pension'!AH$1))))</f>
        <v>300</v>
      </c>
      <c r="AI19" s="6">
        <f>(HLOOKUP('Yearly Pension'!AI$2,'Credited Service'!$G$1:$BC$80,$A19+1,FALSE)) * (IF($B19=500, (Assumptions!$B$7)*12, IF((HLOOKUP(AI$2,Earnings!$G$2:$BC$81,('Yearly Pension'!$A19)+1, FALSE)) &gt; AI$1, (Assumptions!$B$8)*(AI$1) + (Assumptions!$B$9)*MAX(0,  (HLOOKUP(AI$2,Earnings!$G$2:$BC$81,('Yearly Pension'!$A19)+1, FALSE)) - AI$1), ((Assumptions!$B$8)*'Yearly Pension'!AI$1))))</f>
        <v>720</v>
      </c>
      <c r="AJ19" s="6">
        <f>(HLOOKUP('Yearly Pension'!AJ$2,'Credited Service'!$G$1:$BC$80,$A19+1,FALSE)) * (IF($B19=500, (Assumptions!$B$7)*12, IF((HLOOKUP(AJ$2,Earnings!$G$2:$BC$81,('Yearly Pension'!$A19)+1, FALSE)) &gt; AJ$1, (Assumptions!$B$8)*(AJ$1) + (Assumptions!$B$9)*MAX(0,  (HLOOKUP(AJ$2,Earnings!$G$2:$BC$81,('Yearly Pension'!$A19)+1, FALSE)) - AJ$1), ((Assumptions!$B$8)*'Yearly Pension'!AJ$1))))</f>
        <v>720</v>
      </c>
      <c r="AK19" s="6">
        <f>(HLOOKUP('Yearly Pension'!AK$2,'Credited Service'!$G$1:$BC$80,$A19+1,FALSE)) * (IF($B19=500, (Assumptions!$B$7)*12, IF((HLOOKUP(AK$2,Earnings!$G$2:$BC$81,('Yearly Pension'!$A19)+1, FALSE)) &gt; AK$1, (Assumptions!$B$8)*(AK$1) + (Assumptions!$B$9)*MAX(0,  (HLOOKUP(AK$2,Earnings!$G$2:$BC$81,('Yearly Pension'!$A19)+1, FALSE)) - AK$1), ((Assumptions!$B$8)*'Yearly Pension'!AK$1))))</f>
        <v>720</v>
      </c>
      <c r="AL19" s="6">
        <f>(HLOOKUP('Yearly Pension'!AL$2,'Credited Service'!$G$1:$BC$80,$A19+1,FALSE)) * (IF($B19=500, (Assumptions!$B$7)*12, IF((HLOOKUP(AL$2,Earnings!$G$2:$BC$81,('Yearly Pension'!$A19)+1, FALSE)) &gt; AL$1, (Assumptions!$B$8)*(AL$1) + (Assumptions!$B$9)*MAX(0,  (HLOOKUP(AL$2,Earnings!$G$2:$BC$81,('Yearly Pension'!$A19)+1, FALSE)) - AL$1), ((Assumptions!$B$8)*'Yearly Pension'!AL$1))))</f>
        <v>720</v>
      </c>
      <c r="AM19" s="6">
        <f>(HLOOKUP('Yearly Pension'!AM$2,'Credited Service'!$G$1:$BC$80,$A19+1,FALSE)) * (IF($B19=500, (Assumptions!$B$7)*12, IF((HLOOKUP(AM$2,Earnings!$G$2:$BC$81,('Yearly Pension'!$A19)+1, FALSE)) &gt; AM$1, (Assumptions!$B$8)*(AM$1) + (Assumptions!$B$9)*MAX(0,  (HLOOKUP(AM$2,Earnings!$G$2:$BC$81,('Yearly Pension'!$A19)+1, FALSE)) - AM$1), ((Assumptions!$B$8)*'Yearly Pension'!AM$1))))</f>
        <v>720</v>
      </c>
      <c r="AN19" s="6">
        <f>(HLOOKUP('Yearly Pension'!AN$2,'Credited Service'!$G$1:$BC$80,$A19+1,FALSE)) * (IF($B19=500, (Assumptions!$B$7)*12, IF((HLOOKUP(AN$2,Earnings!$G$2:$BC$81,('Yearly Pension'!$A19)+1, FALSE)) &gt; AN$1, (Assumptions!$B$8)*(AN$1) + (Assumptions!$B$9)*MAX(0,  (HLOOKUP(AN$2,Earnings!$G$2:$BC$81,('Yearly Pension'!$A19)+1, FALSE)) - AN$1), ((Assumptions!$B$8)*'Yearly Pension'!AN$1))))</f>
        <v>720</v>
      </c>
      <c r="AO19" s="6">
        <f>(HLOOKUP('Yearly Pension'!AO$2,'Credited Service'!$G$1:$BC$80,$A19+1,FALSE)) * (IF($B19=500, (Assumptions!$B$7)*12, IF((HLOOKUP(AO$2,Earnings!$G$2:$BC$81,('Yearly Pension'!$A19)+1, FALSE)) &gt; AO$1, (Assumptions!$B$8)*(AO$1) + (Assumptions!$B$9)*MAX(0,  (HLOOKUP(AO$2,Earnings!$G$2:$BC$81,('Yearly Pension'!$A19)+1, FALSE)) - AO$1), ((Assumptions!$B$8)*'Yearly Pension'!AO$1))))</f>
        <v>720</v>
      </c>
      <c r="AP19" s="6">
        <f>(HLOOKUP('Yearly Pension'!AP$2,'Credited Service'!$G$1:$BC$80,$A19+1,FALSE)) * (IF($B19=500, (Assumptions!$B$7)*12, IF((HLOOKUP(AP$2,Earnings!$G$2:$BC$81,('Yearly Pension'!$A19)+1, FALSE)) &gt; AP$1, (Assumptions!$B$8)*(AP$1) + (Assumptions!$B$9)*MAX(0,  (HLOOKUP(AP$2,Earnings!$G$2:$BC$81,('Yearly Pension'!$A19)+1, FALSE)) - AP$1), ((Assumptions!$B$8)*'Yearly Pension'!AP$1))))</f>
        <v>720</v>
      </c>
      <c r="AQ19" s="6">
        <f>(HLOOKUP('Yearly Pension'!AQ$2,'Credited Service'!$G$1:$BC$80,$A19+1,FALSE)) * (IF($B19=500, (Assumptions!$B$7)*12, IF((HLOOKUP(AQ$2,Earnings!$G$2:$BC$81,('Yearly Pension'!$A19)+1, FALSE)) &gt; AQ$1, (Assumptions!$B$8)*(AQ$1) + (Assumptions!$B$9)*MAX(0,  (HLOOKUP(AQ$2,Earnings!$G$2:$BC$81,('Yearly Pension'!$A19)+1, FALSE)) - AQ$1), ((Assumptions!$B$8)*'Yearly Pension'!AQ$1))))</f>
        <v>720</v>
      </c>
      <c r="AR19" s="6">
        <f>(HLOOKUP('Yearly Pension'!AR$2,'Credited Service'!$G$1:$BC$80,$A19+1,FALSE)) * (IF($B19=500, (Assumptions!$B$7)*12, IF((HLOOKUP(AR$2,Earnings!$G$2:$BC$81,('Yearly Pension'!$A19)+1, FALSE)) &gt; AR$1, (Assumptions!$B$8)*(AR$1) + (Assumptions!$B$9)*MAX(0,  (HLOOKUP(AR$2,Earnings!$G$2:$BC$81,('Yearly Pension'!$A19)+1, FALSE)) - AR$1), ((Assumptions!$B$8)*'Yearly Pension'!AR$1))))</f>
        <v>720</v>
      </c>
      <c r="AS19" s="6">
        <f>(HLOOKUP('Yearly Pension'!AS$2,'Credited Service'!$G$1:$BC$80,$A19+1,FALSE)) * (IF($B19=500, (Assumptions!$B$7)*12, IF((HLOOKUP(AS$2,Earnings!$G$2:$BC$81,('Yearly Pension'!$A19)+1, FALSE)) &gt; AS$1, (Assumptions!$B$8)*(AS$1) + (Assumptions!$B$9)*MAX(0,  (HLOOKUP(AS$2,Earnings!$G$2:$BC$81,('Yearly Pension'!$A19)+1, FALSE)) - AS$1), ((Assumptions!$B$8)*'Yearly Pension'!AS$1))))</f>
        <v>720</v>
      </c>
      <c r="AT19" s="6">
        <f>(HLOOKUP('Yearly Pension'!AT$2,'Credited Service'!$G$1:$BC$80,$A19+1,FALSE)) * (IF($B19=500, (Assumptions!$B$7)*12, IF((HLOOKUP(AT$2,Earnings!$G$2:$BC$81,('Yearly Pension'!$A19)+1, FALSE)) &gt; AT$1, (Assumptions!$B$8)*(AT$1) + (Assumptions!$B$9)*MAX(0,  (HLOOKUP(AT$2,Earnings!$G$2:$BC$81,('Yearly Pension'!$A19)+1, FALSE)) - AT$1), ((Assumptions!$B$8)*'Yearly Pension'!AT$1))))</f>
        <v>720</v>
      </c>
      <c r="AU19" s="6">
        <f>(HLOOKUP('Yearly Pension'!AU$2,'Credited Service'!$G$1:$BC$80,$A19+1,FALSE)) * (IF($B19=500, (Assumptions!$B$7)*12, IF((HLOOKUP(AU$2,Earnings!$G$2:$BC$81,('Yearly Pension'!$A19)+1, FALSE)) &gt; AU$1, (Assumptions!$B$8)*(AU$1) + (Assumptions!$B$9)*MAX(0,  (HLOOKUP(AU$2,Earnings!$G$2:$BC$81,('Yearly Pension'!$A19)+1, FALSE)) - AU$1), ((Assumptions!$B$8)*'Yearly Pension'!AU$1))))</f>
        <v>720</v>
      </c>
      <c r="AV19" s="6">
        <f>(HLOOKUP('Yearly Pension'!AV$2,'Credited Service'!$G$1:$BC$80,$A19+1,FALSE)) * (IF($B19=500, (Assumptions!$B$7)*12, IF((HLOOKUP(AV$2,Earnings!$G$2:$BC$81,('Yearly Pension'!$A19)+1, FALSE)) &gt; AV$1, (Assumptions!$B$8)*(AV$1) + (Assumptions!$B$9)*MAX(0,  (HLOOKUP(AV$2,Earnings!$G$2:$BC$81,('Yearly Pension'!$A19)+1, FALSE)) - AV$1), ((Assumptions!$B$8)*'Yearly Pension'!AV$1))))</f>
        <v>720</v>
      </c>
      <c r="AW19" s="6">
        <f>(HLOOKUP('Yearly Pension'!AW$2,'Credited Service'!$G$1:$BC$80,$A19+1,FALSE)) * (IF($B19=500, (Assumptions!$B$7)*12, IF((HLOOKUP(AW$2,Earnings!$G$2:$BC$81,('Yearly Pension'!$A19)+1, FALSE)) &gt; AW$1, (Assumptions!$B$8)*(AW$1) + (Assumptions!$B$9)*MAX(0,  (HLOOKUP(AW$2,Earnings!$G$2:$BC$81,('Yearly Pension'!$A19)+1, FALSE)) - AW$1), ((Assumptions!$B$8)*'Yearly Pension'!AW$1))))</f>
        <v>720</v>
      </c>
      <c r="AX19" s="6">
        <f>(HLOOKUP('Yearly Pension'!AX$2,'Credited Service'!$G$1:$BC$80,$A19+1,FALSE)) * (IF($B19=500, (Assumptions!$B$7)*12, IF((HLOOKUP(AX$2,Earnings!$G$2:$BC$81,('Yearly Pension'!$A19)+1, FALSE)) &gt; AX$1, (Assumptions!$B$8)*(AX$1) + (Assumptions!$B$9)*MAX(0,  (HLOOKUP(AX$2,Earnings!$G$2:$BC$81,('Yearly Pension'!$A19)+1, FALSE)) - AX$1), ((Assumptions!$B$8)*'Yearly Pension'!AX$1))))</f>
        <v>720</v>
      </c>
      <c r="AY19" s="6">
        <f>(HLOOKUP('Yearly Pension'!AY$2,'Credited Service'!$G$1:$BC$80,$A19+1,FALSE)) * (IF($B19=500, (Assumptions!$B$7)*12, IF((HLOOKUP(AY$2,Earnings!$G$2:$BC$81,('Yearly Pension'!$A19)+1, FALSE)) &gt; AY$1, (Assumptions!$B$8)*(AY$1) + (Assumptions!$B$9)*MAX(0,  (HLOOKUP(AY$2,Earnings!$G$2:$BC$81,('Yearly Pension'!$A19)+1, FALSE)) - AY$1), ((Assumptions!$B$8)*'Yearly Pension'!AY$1))))</f>
        <v>720</v>
      </c>
      <c r="AZ19" s="6">
        <f>(HLOOKUP('Yearly Pension'!AZ$2,'Credited Service'!$G$1:$BC$80,$A19+1,FALSE)) * (IF($B19=500, (Assumptions!$B$7)*12, IF((HLOOKUP(AZ$2,Earnings!$G$2:$BC$81,('Yearly Pension'!$A19)+1, FALSE)) &gt; AZ$1, (Assumptions!$B$8)*(AZ$1) + (Assumptions!$B$9)*MAX(0,  (HLOOKUP(AZ$2,Earnings!$G$2:$BC$81,('Yearly Pension'!$A19)+1, FALSE)) - AZ$1), ((Assumptions!$B$8)*'Yearly Pension'!AZ$1))))</f>
        <v>720</v>
      </c>
      <c r="BA19" s="6">
        <f>(HLOOKUP('Yearly Pension'!BA$2,'Credited Service'!$G$1:$BC$80,$A19+1,FALSE)) * (IF($B19=500, (Assumptions!$B$7)*12, IF((HLOOKUP(BA$2,Earnings!$G$2:$BC$81,('Yearly Pension'!$A19)+1, FALSE)) &gt; BA$1, (Assumptions!$B$8)*(BA$1) + (Assumptions!$B$9)*MAX(0,  (HLOOKUP(BA$2,Earnings!$G$2:$BC$81,('Yearly Pension'!$A19)+1, FALSE)) - BA$1), ((Assumptions!$B$8)*'Yearly Pension'!BA$1))))</f>
        <v>720</v>
      </c>
      <c r="BB19" s="6">
        <f>(HLOOKUP('Yearly Pension'!BB$2,'Credited Service'!$G$1:$BC$80,$A19+1,FALSE)) * (IF($B19=500, (Assumptions!$B$7)*12, IF((HLOOKUP(BB$2,Earnings!$G$2:$BC$81,('Yearly Pension'!$A19)+1, FALSE)) &gt; BB$1, (Assumptions!$B$8)*(BB$1) + (Assumptions!$B$9)*MAX(0,  (HLOOKUP(BB$2,Earnings!$G$2:$BC$81,('Yearly Pension'!$A19)+1, FALSE)) - BB$1), ((Assumptions!$B$8)*'Yearly Pension'!BB$1))))</f>
        <v>720</v>
      </c>
      <c r="BC19" s="6">
        <f>(HLOOKUP('Yearly Pension'!BC$2,'Credited Service'!$G$1:$BC$80,$A19+1,FALSE)) * (IF($B19=500, (Assumptions!$B$7)*12, IF((HLOOKUP(BC$2,Earnings!$G$2:$BC$81,('Yearly Pension'!$A19)+1, FALSE)) &gt; BC$1, (Assumptions!$B$8)*(BC$1) + (Assumptions!$B$9)*MAX(0,  (HLOOKUP(BC$2,Earnings!$G$2:$BC$81,('Yearly Pension'!$A19)+1, FALSE)) - BC$1), ((Assumptions!$B$8)*'Yearly Pension'!BC$1))))</f>
        <v>720</v>
      </c>
    </row>
    <row r="20" spans="1:55" x14ac:dyDescent="0.25">
      <c r="A20" s="204">
        <v>18</v>
      </c>
      <c r="B20" s="1">
        <v>500</v>
      </c>
      <c r="C20" s="1">
        <v>771</v>
      </c>
      <c r="D20" s="3">
        <v>38169</v>
      </c>
      <c r="E20" s="3">
        <v>53966</v>
      </c>
      <c r="G20" s="6">
        <f>(HLOOKUP('Yearly Pension'!G$2,'Credited Service'!$G$1:$BC$80,$A20+1,FALSE)) * (IF($B20=500, (Assumptions!$B$7)*12, IF((HLOOKUP(G$2,Earnings!$G$2:$BC$81,('Yearly Pension'!$A20)+1, FALSE)) &gt; G$1, (Assumptions!$B$8)*(G$1) + (Assumptions!$B$9)*MAX(0,  (HLOOKUP(G$2,Earnings!$G$2:$BC$81,('Yearly Pension'!$A20)+1, FALSE)) - G$1), ((Assumptions!$B$8)*'Yearly Pension'!G$1))))</f>
        <v>0</v>
      </c>
      <c r="H20" s="6">
        <f>(HLOOKUP('Yearly Pension'!H$2,'Credited Service'!$G$1:$BC$80,$A20+1,FALSE)) * (IF($B20=500, (Assumptions!$B$7)*12, IF((HLOOKUP(H$2,Earnings!$G$2:$BC$81,('Yearly Pension'!$A20)+1, FALSE)) &gt; H$1, (Assumptions!$B$8)*(H$1) + (Assumptions!$B$9)*MAX(0,  (HLOOKUP(H$2,Earnings!$G$2:$BC$81,('Yearly Pension'!$A20)+1, FALSE)) - H$1), ((Assumptions!$B$8)*'Yearly Pension'!H$1))))</f>
        <v>0</v>
      </c>
      <c r="I20" s="6">
        <f>(HLOOKUP('Yearly Pension'!I$2,'Credited Service'!$G$1:$BC$80,$A20+1,FALSE)) * (IF($B20=500, (Assumptions!$B$7)*12, IF((HLOOKUP(I$2,Earnings!$G$2:$BC$81,('Yearly Pension'!$A20)+1, FALSE)) &gt; I$1, (Assumptions!$B$8)*(I$1) + (Assumptions!$B$9)*MAX(0,  (HLOOKUP(I$2,Earnings!$G$2:$BC$81,('Yearly Pension'!$A20)+1, FALSE)) - I$1), ((Assumptions!$B$8)*'Yearly Pension'!I$1))))</f>
        <v>0</v>
      </c>
      <c r="J20" s="6">
        <f>(HLOOKUP('Yearly Pension'!J$2,'Credited Service'!$G$1:$BC$80,$A20+1,FALSE)) * (IF($B20=500, (Assumptions!$B$7)*12, IF((HLOOKUP(J$2,Earnings!$G$2:$BC$81,('Yearly Pension'!$A20)+1, FALSE)) &gt; J$1, (Assumptions!$B$8)*(J$1) + (Assumptions!$B$9)*MAX(0,  (HLOOKUP(J$2,Earnings!$G$2:$BC$81,('Yearly Pension'!$A20)+1, FALSE)) - J$1), ((Assumptions!$B$8)*'Yearly Pension'!J$1))))</f>
        <v>0</v>
      </c>
      <c r="K20" s="6">
        <f>(HLOOKUP('Yearly Pension'!K$2,'Credited Service'!$G$1:$BC$80,$A20+1,FALSE)) * (IF($B20=500, (Assumptions!$B$7)*12, IF((HLOOKUP(K$2,Earnings!$G$2:$BC$81,('Yearly Pension'!$A20)+1, FALSE)) &gt; K$1, (Assumptions!$B$8)*(K$1) + (Assumptions!$B$9)*MAX(0,  (HLOOKUP(K$2,Earnings!$G$2:$BC$81,('Yearly Pension'!$A20)+1, FALSE)) - K$1), ((Assumptions!$B$8)*'Yearly Pension'!K$1))))</f>
        <v>0</v>
      </c>
      <c r="L20" s="6">
        <f>(HLOOKUP('Yearly Pension'!L$2,'Credited Service'!$G$1:$BC$80,$A20+1,FALSE)) * (IF($B20=500, (Assumptions!$B$7)*12, IF((HLOOKUP(L$2,Earnings!$G$2:$BC$81,('Yearly Pension'!$A20)+1, FALSE)) &gt; L$1, (Assumptions!$B$8)*(L$1) + (Assumptions!$B$9)*MAX(0,  (HLOOKUP(L$2,Earnings!$G$2:$BC$81,('Yearly Pension'!$A20)+1, FALSE)) - L$1), ((Assumptions!$B$8)*'Yearly Pension'!L$1))))</f>
        <v>0</v>
      </c>
      <c r="M20" s="6">
        <f>(HLOOKUP('Yearly Pension'!M$2,'Credited Service'!$G$1:$BC$80,$A20+1,FALSE)) * (IF($B20=500, (Assumptions!$B$7)*12, IF((HLOOKUP(M$2,Earnings!$G$2:$BC$81,('Yearly Pension'!$A20)+1, FALSE)) &gt; M$1, (Assumptions!$B$8)*(M$1) + (Assumptions!$B$9)*MAX(0,  (HLOOKUP(M$2,Earnings!$G$2:$BC$81,('Yearly Pension'!$A20)+1, FALSE)) - M$1), ((Assumptions!$B$8)*'Yearly Pension'!M$1))))</f>
        <v>0</v>
      </c>
      <c r="N20" s="6">
        <f>(HLOOKUP('Yearly Pension'!N$2,'Credited Service'!$G$1:$BC$80,$A20+1,FALSE)) * (IF($B20=500, (Assumptions!$B$7)*12, IF((HLOOKUP(N$2,Earnings!$G$2:$BC$81,('Yearly Pension'!$A20)+1, FALSE)) &gt; N$1, (Assumptions!$B$8)*(N$1) + (Assumptions!$B$9)*MAX(0,  (HLOOKUP(N$2,Earnings!$G$2:$BC$81,('Yearly Pension'!$A20)+1, FALSE)) - N$1), ((Assumptions!$B$8)*'Yearly Pension'!N$1))))</f>
        <v>0</v>
      </c>
      <c r="O20" s="6">
        <f>(HLOOKUP('Yearly Pension'!O$2,'Credited Service'!$G$1:$BC$80,$A20+1,FALSE)) * (IF($B20=500, (Assumptions!$B$7)*12, IF((HLOOKUP(O$2,Earnings!$G$2:$BC$81,('Yearly Pension'!$A20)+1, FALSE)) &gt; O$1, (Assumptions!$B$8)*(O$1) + (Assumptions!$B$9)*MAX(0,  (HLOOKUP(O$2,Earnings!$G$2:$BC$81,('Yearly Pension'!$A20)+1, FALSE)) - O$1), ((Assumptions!$B$8)*'Yearly Pension'!O$1))))</f>
        <v>0</v>
      </c>
      <c r="P20" s="6">
        <f>(HLOOKUP('Yearly Pension'!P$2,'Credited Service'!$G$1:$BC$80,$A20+1,FALSE)) * (IF($B20=500, (Assumptions!$B$7)*12, IF((HLOOKUP(P$2,Earnings!$G$2:$BC$81,('Yearly Pension'!$A20)+1, FALSE)) &gt; P$1, (Assumptions!$B$8)*(P$1) + (Assumptions!$B$9)*MAX(0,  (HLOOKUP(P$2,Earnings!$G$2:$BC$81,('Yearly Pension'!$A20)+1, FALSE)) - P$1), ((Assumptions!$B$8)*'Yearly Pension'!P$1))))</f>
        <v>0</v>
      </c>
      <c r="Q20" s="6">
        <f>(HLOOKUP('Yearly Pension'!Q$2,'Credited Service'!$G$1:$BC$80,$A20+1,FALSE)) * (IF($B20=500, (Assumptions!$B$7)*12, IF((HLOOKUP(Q$2,Earnings!$G$2:$BC$81,('Yearly Pension'!$A20)+1, FALSE)) &gt; Q$1, (Assumptions!$B$8)*(Q$1) + (Assumptions!$B$9)*MAX(0,  (HLOOKUP(Q$2,Earnings!$G$2:$BC$81,('Yearly Pension'!$A20)+1, FALSE)) - Q$1), ((Assumptions!$B$8)*'Yearly Pension'!Q$1))))</f>
        <v>0</v>
      </c>
      <c r="R20" s="6">
        <f>(HLOOKUP('Yearly Pension'!R$2,'Credited Service'!$G$1:$BC$80,$A20+1,FALSE)) * (IF($B20=500, (Assumptions!$B$7)*12, IF((HLOOKUP(R$2,Earnings!$G$2:$BC$81,('Yearly Pension'!$A20)+1, FALSE)) &gt; R$1, (Assumptions!$B$8)*(R$1) + (Assumptions!$B$9)*MAX(0,  (HLOOKUP(R$2,Earnings!$G$2:$BC$81,('Yearly Pension'!$A20)+1, FALSE)) - R$1), ((Assumptions!$B$8)*'Yearly Pension'!R$1))))</f>
        <v>0</v>
      </c>
      <c r="S20" s="6">
        <f>(HLOOKUP('Yearly Pension'!S$2,'Credited Service'!$G$1:$BC$80,$A20+1,FALSE)) * (IF($B20=500, (Assumptions!$B$7)*12, IF((HLOOKUP(S$2,Earnings!$G$2:$BC$81,('Yearly Pension'!$A20)+1, FALSE)) &gt; S$1, (Assumptions!$B$8)*(S$1) + (Assumptions!$B$9)*MAX(0,  (HLOOKUP(S$2,Earnings!$G$2:$BC$81,('Yearly Pension'!$A20)+1, FALSE)) - S$1), ((Assumptions!$B$8)*'Yearly Pension'!S$1))))</f>
        <v>0</v>
      </c>
      <c r="T20" s="6">
        <f>(HLOOKUP('Yearly Pension'!T$2,'Credited Service'!$G$1:$BC$80,$A20+1,FALSE)) * (IF($B20=500, (Assumptions!$B$7)*12, IF((HLOOKUP(T$2,Earnings!$G$2:$BC$81,('Yearly Pension'!$A20)+1, FALSE)) &gt; T$1, (Assumptions!$B$8)*(T$1) + (Assumptions!$B$9)*MAX(0,  (HLOOKUP(T$2,Earnings!$G$2:$BC$81,('Yearly Pension'!$A20)+1, FALSE)) - T$1), ((Assumptions!$B$8)*'Yearly Pension'!T$1))))</f>
        <v>0</v>
      </c>
      <c r="U20" s="6">
        <f>(HLOOKUP('Yearly Pension'!U$2,'Credited Service'!$G$1:$BC$80,$A20+1,FALSE)) * (IF($B20=500, (Assumptions!$B$7)*12, IF((HLOOKUP(U$2,Earnings!$G$2:$BC$81,('Yearly Pension'!$A20)+1, FALSE)) &gt; U$1, (Assumptions!$B$8)*(U$1) + (Assumptions!$B$9)*MAX(0,  (HLOOKUP(U$2,Earnings!$G$2:$BC$81,('Yearly Pension'!$A20)+1, FALSE)) - U$1), ((Assumptions!$B$8)*'Yearly Pension'!U$1))))</f>
        <v>0</v>
      </c>
      <c r="V20" s="6">
        <f>(HLOOKUP('Yearly Pension'!V$2,'Credited Service'!$G$1:$BC$80,$A20+1,FALSE)) * (IF($B20=500, (Assumptions!$B$7)*12, IF((HLOOKUP(V$2,Earnings!$G$2:$BC$81,('Yearly Pension'!$A20)+1, FALSE)) &gt; V$1, (Assumptions!$B$8)*(V$1) + (Assumptions!$B$9)*MAX(0,  (HLOOKUP(V$2,Earnings!$G$2:$BC$81,('Yearly Pension'!$A20)+1, FALSE)) - V$1), ((Assumptions!$B$8)*'Yearly Pension'!V$1))))</f>
        <v>0</v>
      </c>
      <c r="W20" s="6">
        <f>(HLOOKUP('Yearly Pension'!W$2,'Credited Service'!$G$1:$BC$80,$A20+1,FALSE)) * (IF($B20=500, (Assumptions!$B$7)*12, IF((HLOOKUP(W$2,Earnings!$G$2:$BC$81,('Yearly Pension'!$A20)+1, FALSE)) &gt; W$1, (Assumptions!$B$8)*(W$1) + (Assumptions!$B$9)*MAX(0,  (HLOOKUP(W$2,Earnings!$G$2:$BC$81,('Yearly Pension'!$A20)+1, FALSE)) - W$1), ((Assumptions!$B$8)*'Yearly Pension'!W$1))))</f>
        <v>0</v>
      </c>
      <c r="X20" s="6">
        <f>(HLOOKUP('Yearly Pension'!X$2,'Credited Service'!$G$1:$BC$80,$A20+1,FALSE)) * (IF($B20=500, (Assumptions!$B$7)*12, IF((HLOOKUP(X$2,Earnings!$G$2:$BC$81,('Yearly Pension'!$A20)+1, FALSE)) &gt; X$1, (Assumptions!$B$8)*(X$1) + (Assumptions!$B$9)*MAX(0,  (HLOOKUP(X$2,Earnings!$G$2:$BC$81,('Yearly Pension'!$A20)+1, FALSE)) - X$1), ((Assumptions!$B$8)*'Yearly Pension'!X$1))))</f>
        <v>0</v>
      </c>
      <c r="Y20" s="6">
        <f>(HLOOKUP('Yearly Pension'!Y$2,'Credited Service'!$G$1:$BC$80,$A20+1,FALSE)) * (IF($B20=500, (Assumptions!$B$7)*12, IF((HLOOKUP(Y$2,Earnings!$G$2:$BC$81,('Yearly Pension'!$A20)+1, FALSE)) &gt; Y$1, (Assumptions!$B$8)*(Y$1) + (Assumptions!$B$9)*MAX(0,  (HLOOKUP(Y$2,Earnings!$G$2:$BC$81,('Yearly Pension'!$A20)+1, FALSE)) - Y$1), ((Assumptions!$B$8)*'Yearly Pension'!Y$1))))</f>
        <v>0</v>
      </c>
      <c r="Z20" s="6">
        <f>(HLOOKUP('Yearly Pension'!Z$2,'Credited Service'!$G$1:$BC$80,$A20+1,FALSE)) * (IF($B20=500, (Assumptions!$B$7)*12, IF((HLOOKUP(Z$2,Earnings!$G$2:$BC$81,('Yearly Pension'!$A20)+1, FALSE)) &gt; Z$1, (Assumptions!$B$8)*(Z$1) + (Assumptions!$B$9)*MAX(0,  (HLOOKUP(Z$2,Earnings!$G$2:$BC$81,('Yearly Pension'!$A20)+1, FALSE)) - Z$1), ((Assumptions!$B$8)*'Yearly Pension'!Z$1))))</f>
        <v>0</v>
      </c>
      <c r="AA20" s="6">
        <f>(HLOOKUP('Yearly Pension'!AA$2,'Credited Service'!$G$1:$BC$80,$A20+1,FALSE)) * (IF($B20=500, (Assumptions!$B$7)*12, IF((HLOOKUP(AA$2,Earnings!$G$2:$BC$81,('Yearly Pension'!$A20)+1, FALSE)) &gt; AA$1, (Assumptions!$B$8)*(AA$1) + (Assumptions!$B$9)*MAX(0,  (HLOOKUP(AA$2,Earnings!$G$2:$BC$81,('Yearly Pension'!$A20)+1, FALSE)) - AA$1), ((Assumptions!$B$8)*'Yearly Pension'!AA$1))))</f>
        <v>0</v>
      </c>
      <c r="AB20" s="6">
        <f>(HLOOKUP('Yearly Pension'!AB$2,'Credited Service'!$G$1:$BC$80,$A20+1,FALSE)) * (IF($B20=500, (Assumptions!$B$7)*12, IF((HLOOKUP(AB$2,Earnings!$G$2:$BC$81,('Yearly Pension'!$A20)+1, FALSE)) &gt; AB$1, (Assumptions!$B$8)*(AB$1) + (Assumptions!$B$9)*MAX(0,  (HLOOKUP(AB$2,Earnings!$G$2:$BC$81,('Yearly Pension'!$A20)+1, FALSE)) - AB$1), ((Assumptions!$B$8)*'Yearly Pension'!AB$1))))</f>
        <v>0</v>
      </c>
      <c r="AC20" s="6">
        <f>(HLOOKUP('Yearly Pension'!AC$2,'Credited Service'!$G$1:$BC$80,$A20+1,FALSE)) * (IF($B20=500, (Assumptions!$B$7)*12, IF((HLOOKUP(AC$2,Earnings!$G$2:$BC$81,('Yearly Pension'!$A20)+1, FALSE)) &gt; AC$1, (Assumptions!$B$8)*(AC$1) + (Assumptions!$B$9)*MAX(0,  (HLOOKUP(AC$2,Earnings!$G$2:$BC$81,('Yearly Pension'!$A20)+1, FALSE)) - AC$1), ((Assumptions!$B$8)*'Yearly Pension'!AC$1))))</f>
        <v>0</v>
      </c>
      <c r="AD20" s="6">
        <f>(HLOOKUP('Yearly Pension'!AD$2,'Credited Service'!$G$1:$BC$80,$A20+1,FALSE)) * (IF($B20=500, (Assumptions!$B$7)*12, IF((HLOOKUP(AD$2,Earnings!$G$2:$BC$81,('Yearly Pension'!$A20)+1, FALSE)) &gt; AD$1, (Assumptions!$B$8)*(AD$1) + (Assumptions!$B$9)*MAX(0,  (HLOOKUP(AD$2,Earnings!$G$2:$BC$81,('Yearly Pension'!$A20)+1, FALSE)) - AD$1), ((Assumptions!$B$8)*'Yearly Pension'!AD$1))))</f>
        <v>0</v>
      </c>
      <c r="AE20" s="6">
        <f>(HLOOKUP('Yearly Pension'!AE$2,'Credited Service'!$G$1:$BC$80,$A20+1,FALSE)) * (IF($B20=500, (Assumptions!$B$7)*12, IF((HLOOKUP(AE$2,Earnings!$G$2:$BC$81,('Yearly Pension'!$A20)+1, FALSE)) &gt; AE$1, (Assumptions!$B$8)*(AE$1) + (Assumptions!$B$9)*MAX(0,  (HLOOKUP(AE$2,Earnings!$G$2:$BC$81,('Yearly Pension'!$A20)+1, FALSE)) - AE$1), ((Assumptions!$B$8)*'Yearly Pension'!AE$1))))</f>
        <v>0</v>
      </c>
      <c r="AF20" s="6">
        <f>(HLOOKUP('Yearly Pension'!AF$2,'Credited Service'!$G$1:$BC$80,$A20+1,FALSE)) * (IF($B20=500, (Assumptions!$B$7)*12, IF((HLOOKUP(AF$2,Earnings!$G$2:$BC$81,('Yearly Pension'!$A20)+1, FALSE)) &gt; AF$1, (Assumptions!$B$8)*(AF$1) + (Assumptions!$B$9)*MAX(0,  (HLOOKUP(AF$2,Earnings!$G$2:$BC$81,('Yearly Pension'!$A20)+1, FALSE)) - AF$1), ((Assumptions!$B$8)*'Yearly Pension'!AF$1))))</f>
        <v>0</v>
      </c>
      <c r="AG20" s="6">
        <f>(HLOOKUP('Yearly Pension'!AG$2,'Credited Service'!$G$1:$BC$80,$A20+1,FALSE)) * (IF($B20=500, (Assumptions!$B$7)*12, IF((HLOOKUP(AG$2,Earnings!$G$2:$BC$81,('Yearly Pension'!$A20)+1, FALSE)) &gt; AG$1, (Assumptions!$B$8)*(AG$1) + (Assumptions!$B$9)*MAX(0,  (HLOOKUP(AG$2,Earnings!$G$2:$BC$81,('Yearly Pension'!$A20)+1, FALSE)) - AG$1), ((Assumptions!$B$8)*'Yearly Pension'!AG$1))))</f>
        <v>0</v>
      </c>
      <c r="AH20" s="6">
        <f>(HLOOKUP('Yearly Pension'!AH$2,'Credited Service'!$G$1:$BC$80,$A20+1,FALSE)) * (IF($B20=500, (Assumptions!$B$7)*12, IF((HLOOKUP(AH$2,Earnings!$G$2:$BC$81,('Yearly Pension'!$A20)+1, FALSE)) &gt; AH$1, (Assumptions!$B$8)*(AH$1) + (Assumptions!$B$9)*MAX(0,  (HLOOKUP(AH$2,Earnings!$G$2:$BC$81,('Yearly Pension'!$A20)+1, FALSE)) - AH$1), ((Assumptions!$B$8)*'Yearly Pension'!AH$1))))</f>
        <v>360</v>
      </c>
      <c r="AI20" s="6">
        <f>(HLOOKUP('Yearly Pension'!AI$2,'Credited Service'!$G$1:$BC$80,$A20+1,FALSE)) * (IF($B20=500, (Assumptions!$B$7)*12, IF((HLOOKUP(AI$2,Earnings!$G$2:$BC$81,('Yearly Pension'!$A20)+1, FALSE)) &gt; AI$1, (Assumptions!$B$8)*(AI$1) + (Assumptions!$B$9)*MAX(0,  (HLOOKUP(AI$2,Earnings!$G$2:$BC$81,('Yearly Pension'!$A20)+1, FALSE)) - AI$1), ((Assumptions!$B$8)*'Yearly Pension'!AI$1))))</f>
        <v>720</v>
      </c>
      <c r="AJ20" s="6">
        <f>(HLOOKUP('Yearly Pension'!AJ$2,'Credited Service'!$G$1:$BC$80,$A20+1,FALSE)) * (IF($B20=500, (Assumptions!$B$7)*12, IF((HLOOKUP(AJ$2,Earnings!$G$2:$BC$81,('Yearly Pension'!$A20)+1, FALSE)) &gt; AJ$1, (Assumptions!$B$8)*(AJ$1) + (Assumptions!$B$9)*MAX(0,  (HLOOKUP(AJ$2,Earnings!$G$2:$BC$81,('Yearly Pension'!$A20)+1, FALSE)) - AJ$1), ((Assumptions!$B$8)*'Yearly Pension'!AJ$1))))</f>
        <v>720</v>
      </c>
      <c r="AK20" s="6">
        <f>(HLOOKUP('Yearly Pension'!AK$2,'Credited Service'!$G$1:$BC$80,$A20+1,FALSE)) * (IF($B20=500, (Assumptions!$B$7)*12, IF((HLOOKUP(AK$2,Earnings!$G$2:$BC$81,('Yearly Pension'!$A20)+1, FALSE)) &gt; AK$1, (Assumptions!$B$8)*(AK$1) + (Assumptions!$B$9)*MAX(0,  (HLOOKUP(AK$2,Earnings!$G$2:$BC$81,('Yearly Pension'!$A20)+1, FALSE)) - AK$1), ((Assumptions!$B$8)*'Yearly Pension'!AK$1))))</f>
        <v>720</v>
      </c>
      <c r="AL20" s="6">
        <f>(HLOOKUP('Yearly Pension'!AL$2,'Credited Service'!$G$1:$BC$80,$A20+1,FALSE)) * (IF($B20=500, (Assumptions!$B$7)*12, IF((HLOOKUP(AL$2,Earnings!$G$2:$BC$81,('Yearly Pension'!$A20)+1, FALSE)) &gt; AL$1, (Assumptions!$B$8)*(AL$1) + (Assumptions!$B$9)*MAX(0,  (HLOOKUP(AL$2,Earnings!$G$2:$BC$81,('Yearly Pension'!$A20)+1, FALSE)) - AL$1), ((Assumptions!$B$8)*'Yearly Pension'!AL$1))))</f>
        <v>720</v>
      </c>
      <c r="AM20" s="6">
        <f>(HLOOKUP('Yearly Pension'!AM$2,'Credited Service'!$G$1:$BC$80,$A20+1,FALSE)) * (IF($B20=500, (Assumptions!$B$7)*12, IF((HLOOKUP(AM$2,Earnings!$G$2:$BC$81,('Yearly Pension'!$A20)+1, FALSE)) &gt; AM$1, (Assumptions!$B$8)*(AM$1) + (Assumptions!$B$9)*MAX(0,  (HLOOKUP(AM$2,Earnings!$G$2:$BC$81,('Yearly Pension'!$A20)+1, FALSE)) - AM$1), ((Assumptions!$B$8)*'Yearly Pension'!AM$1))))</f>
        <v>720</v>
      </c>
      <c r="AN20" s="6">
        <f>(HLOOKUP('Yearly Pension'!AN$2,'Credited Service'!$G$1:$BC$80,$A20+1,FALSE)) * (IF($B20=500, (Assumptions!$B$7)*12, IF((HLOOKUP(AN$2,Earnings!$G$2:$BC$81,('Yearly Pension'!$A20)+1, FALSE)) &gt; AN$1, (Assumptions!$B$8)*(AN$1) + (Assumptions!$B$9)*MAX(0,  (HLOOKUP(AN$2,Earnings!$G$2:$BC$81,('Yearly Pension'!$A20)+1, FALSE)) - AN$1), ((Assumptions!$B$8)*'Yearly Pension'!AN$1))))</f>
        <v>720</v>
      </c>
      <c r="AO20" s="6">
        <f>(HLOOKUP('Yearly Pension'!AO$2,'Credited Service'!$G$1:$BC$80,$A20+1,FALSE)) * (IF($B20=500, (Assumptions!$B$7)*12, IF((HLOOKUP(AO$2,Earnings!$G$2:$BC$81,('Yearly Pension'!$A20)+1, FALSE)) &gt; AO$1, (Assumptions!$B$8)*(AO$1) + (Assumptions!$B$9)*MAX(0,  (HLOOKUP(AO$2,Earnings!$G$2:$BC$81,('Yearly Pension'!$A20)+1, FALSE)) - AO$1), ((Assumptions!$B$8)*'Yearly Pension'!AO$1))))</f>
        <v>720</v>
      </c>
      <c r="AP20" s="6">
        <f>(HLOOKUP('Yearly Pension'!AP$2,'Credited Service'!$G$1:$BC$80,$A20+1,FALSE)) * (IF($B20=500, (Assumptions!$B$7)*12, IF((HLOOKUP(AP$2,Earnings!$G$2:$BC$81,('Yearly Pension'!$A20)+1, FALSE)) &gt; AP$1, (Assumptions!$B$8)*(AP$1) + (Assumptions!$B$9)*MAX(0,  (HLOOKUP(AP$2,Earnings!$G$2:$BC$81,('Yearly Pension'!$A20)+1, FALSE)) - AP$1), ((Assumptions!$B$8)*'Yearly Pension'!AP$1))))</f>
        <v>720</v>
      </c>
      <c r="AQ20" s="6">
        <f>(HLOOKUP('Yearly Pension'!AQ$2,'Credited Service'!$G$1:$BC$80,$A20+1,FALSE)) * (IF($B20=500, (Assumptions!$B$7)*12, IF((HLOOKUP(AQ$2,Earnings!$G$2:$BC$81,('Yearly Pension'!$A20)+1, FALSE)) &gt; AQ$1, (Assumptions!$B$8)*(AQ$1) + (Assumptions!$B$9)*MAX(0,  (HLOOKUP(AQ$2,Earnings!$G$2:$BC$81,('Yearly Pension'!$A20)+1, FALSE)) - AQ$1), ((Assumptions!$B$8)*'Yearly Pension'!AQ$1))))</f>
        <v>720</v>
      </c>
      <c r="AR20" s="6">
        <f>(HLOOKUP('Yearly Pension'!AR$2,'Credited Service'!$G$1:$BC$80,$A20+1,FALSE)) * (IF($B20=500, (Assumptions!$B$7)*12, IF((HLOOKUP(AR$2,Earnings!$G$2:$BC$81,('Yearly Pension'!$A20)+1, FALSE)) &gt; AR$1, (Assumptions!$B$8)*(AR$1) + (Assumptions!$B$9)*MAX(0,  (HLOOKUP(AR$2,Earnings!$G$2:$BC$81,('Yearly Pension'!$A20)+1, FALSE)) - AR$1), ((Assumptions!$B$8)*'Yearly Pension'!AR$1))))</f>
        <v>720</v>
      </c>
      <c r="AS20" s="6">
        <f>(HLOOKUP('Yearly Pension'!AS$2,'Credited Service'!$G$1:$BC$80,$A20+1,FALSE)) * (IF($B20=500, (Assumptions!$B$7)*12, IF((HLOOKUP(AS$2,Earnings!$G$2:$BC$81,('Yearly Pension'!$A20)+1, FALSE)) &gt; AS$1, (Assumptions!$B$8)*(AS$1) + (Assumptions!$B$9)*MAX(0,  (HLOOKUP(AS$2,Earnings!$G$2:$BC$81,('Yearly Pension'!$A20)+1, FALSE)) - AS$1), ((Assumptions!$B$8)*'Yearly Pension'!AS$1))))</f>
        <v>720</v>
      </c>
      <c r="AT20" s="6">
        <f>(HLOOKUP('Yearly Pension'!AT$2,'Credited Service'!$G$1:$BC$80,$A20+1,FALSE)) * (IF($B20=500, (Assumptions!$B$7)*12, IF((HLOOKUP(AT$2,Earnings!$G$2:$BC$81,('Yearly Pension'!$A20)+1, FALSE)) &gt; AT$1, (Assumptions!$B$8)*(AT$1) + (Assumptions!$B$9)*MAX(0,  (HLOOKUP(AT$2,Earnings!$G$2:$BC$81,('Yearly Pension'!$A20)+1, FALSE)) - AT$1), ((Assumptions!$B$8)*'Yearly Pension'!AT$1))))</f>
        <v>720</v>
      </c>
      <c r="AU20" s="6">
        <f>(HLOOKUP('Yearly Pension'!AU$2,'Credited Service'!$G$1:$BC$80,$A20+1,FALSE)) * (IF($B20=500, (Assumptions!$B$7)*12, IF((HLOOKUP(AU$2,Earnings!$G$2:$BC$81,('Yearly Pension'!$A20)+1, FALSE)) &gt; AU$1, (Assumptions!$B$8)*(AU$1) + (Assumptions!$B$9)*MAX(0,  (HLOOKUP(AU$2,Earnings!$G$2:$BC$81,('Yearly Pension'!$A20)+1, FALSE)) - AU$1), ((Assumptions!$B$8)*'Yearly Pension'!AU$1))))</f>
        <v>720</v>
      </c>
      <c r="AV20" s="6">
        <f>(HLOOKUP('Yearly Pension'!AV$2,'Credited Service'!$G$1:$BC$80,$A20+1,FALSE)) * (IF($B20=500, (Assumptions!$B$7)*12, IF((HLOOKUP(AV$2,Earnings!$G$2:$BC$81,('Yearly Pension'!$A20)+1, FALSE)) &gt; AV$1, (Assumptions!$B$8)*(AV$1) + (Assumptions!$B$9)*MAX(0,  (HLOOKUP(AV$2,Earnings!$G$2:$BC$81,('Yearly Pension'!$A20)+1, FALSE)) - AV$1), ((Assumptions!$B$8)*'Yearly Pension'!AV$1))))</f>
        <v>720</v>
      </c>
      <c r="AW20" s="6">
        <f>(HLOOKUP('Yearly Pension'!AW$2,'Credited Service'!$G$1:$BC$80,$A20+1,FALSE)) * (IF($B20=500, (Assumptions!$B$7)*12, IF((HLOOKUP(AW$2,Earnings!$G$2:$BC$81,('Yearly Pension'!$A20)+1, FALSE)) &gt; AW$1, (Assumptions!$B$8)*(AW$1) + (Assumptions!$B$9)*MAX(0,  (HLOOKUP(AW$2,Earnings!$G$2:$BC$81,('Yearly Pension'!$A20)+1, FALSE)) - AW$1), ((Assumptions!$B$8)*'Yearly Pension'!AW$1))))</f>
        <v>720</v>
      </c>
      <c r="AX20" s="6">
        <f>(HLOOKUP('Yearly Pension'!AX$2,'Credited Service'!$G$1:$BC$80,$A20+1,FALSE)) * (IF($B20=500, (Assumptions!$B$7)*12, IF((HLOOKUP(AX$2,Earnings!$G$2:$BC$81,('Yearly Pension'!$A20)+1, FALSE)) &gt; AX$1, (Assumptions!$B$8)*(AX$1) + (Assumptions!$B$9)*MAX(0,  (HLOOKUP(AX$2,Earnings!$G$2:$BC$81,('Yearly Pension'!$A20)+1, FALSE)) - AX$1), ((Assumptions!$B$8)*'Yearly Pension'!AX$1))))</f>
        <v>720</v>
      </c>
      <c r="AY20" s="6">
        <f>(HLOOKUP('Yearly Pension'!AY$2,'Credited Service'!$G$1:$BC$80,$A20+1,FALSE)) * (IF($B20=500, (Assumptions!$B$7)*12, IF((HLOOKUP(AY$2,Earnings!$G$2:$BC$81,('Yearly Pension'!$A20)+1, FALSE)) &gt; AY$1, (Assumptions!$B$8)*(AY$1) + (Assumptions!$B$9)*MAX(0,  (HLOOKUP(AY$2,Earnings!$G$2:$BC$81,('Yearly Pension'!$A20)+1, FALSE)) - AY$1), ((Assumptions!$B$8)*'Yearly Pension'!AY$1))))</f>
        <v>720</v>
      </c>
      <c r="AZ20" s="6">
        <f>(HLOOKUP('Yearly Pension'!AZ$2,'Credited Service'!$G$1:$BC$80,$A20+1,FALSE)) * (IF($B20=500, (Assumptions!$B$7)*12, IF((HLOOKUP(AZ$2,Earnings!$G$2:$BC$81,('Yearly Pension'!$A20)+1, FALSE)) &gt; AZ$1, (Assumptions!$B$8)*(AZ$1) + (Assumptions!$B$9)*MAX(0,  (HLOOKUP(AZ$2,Earnings!$G$2:$BC$81,('Yearly Pension'!$A20)+1, FALSE)) - AZ$1), ((Assumptions!$B$8)*'Yearly Pension'!AZ$1))))</f>
        <v>720</v>
      </c>
      <c r="BA20" s="6">
        <f>(HLOOKUP('Yearly Pension'!BA$2,'Credited Service'!$G$1:$BC$80,$A20+1,FALSE)) * (IF($B20=500, (Assumptions!$B$7)*12, IF((HLOOKUP(BA$2,Earnings!$G$2:$BC$81,('Yearly Pension'!$A20)+1, FALSE)) &gt; BA$1, (Assumptions!$B$8)*(BA$1) + (Assumptions!$B$9)*MAX(0,  (HLOOKUP(BA$2,Earnings!$G$2:$BC$81,('Yearly Pension'!$A20)+1, FALSE)) - BA$1), ((Assumptions!$B$8)*'Yearly Pension'!BA$1))))</f>
        <v>720</v>
      </c>
      <c r="BB20" s="6">
        <f>(HLOOKUP('Yearly Pension'!BB$2,'Credited Service'!$G$1:$BC$80,$A20+1,FALSE)) * (IF($B20=500, (Assumptions!$B$7)*12, IF((HLOOKUP(BB$2,Earnings!$G$2:$BC$81,('Yearly Pension'!$A20)+1, FALSE)) &gt; BB$1, (Assumptions!$B$8)*(BB$1) + (Assumptions!$B$9)*MAX(0,  (HLOOKUP(BB$2,Earnings!$G$2:$BC$81,('Yearly Pension'!$A20)+1, FALSE)) - BB$1), ((Assumptions!$B$8)*'Yearly Pension'!BB$1))))</f>
        <v>720</v>
      </c>
      <c r="BC20" s="6">
        <f>(HLOOKUP('Yearly Pension'!BC$2,'Credited Service'!$G$1:$BC$80,$A20+1,FALSE)) * (IF($B20=500, (Assumptions!$B$7)*12, IF((HLOOKUP(BC$2,Earnings!$G$2:$BC$81,('Yearly Pension'!$A20)+1, FALSE)) &gt; BC$1, (Assumptions!$B$8)*(BC$1) + (Assumptions!$B$9)*MAX(0,  (HLOOKUP(BC$2,Earnings!$G$2:$BC$81,('Yearly Pension'!$A20)+1, FALSE)) - BC$1), ((Assumptions!$B$8)*'Yearly Pension'!BC$1))))</f>
        <v>720</v>
      </c>
    </row>
    <row r="21" spans="1:55" x14ac:dyDescent="0.25">
      <c r="A21" s="204">
        <v>19</v>
      </c>
      <c r="B21" s="1">
        <v>500</v>
      </c>
      <c r="C21" s="1">
        <v>768</v>
      </c>
      <c r="D21" s="3">
        <v>38110</v>
      </c>
      <c r="E21" s="3">
        <v>47088</v>
      </c>
      <c r="G21" s="6">
        <f>(HLOOKUP('Yearly Pension'!G$2,'Credited Service'!$G$1:$BC$80,$A21+1,FALSE)) * (IF($B21=500, (Assumptions!$B$7)*12, IF((HLOOKUP(G$2,Earnings!$G$2:$BC$81,('Yearly Pension'!$A21)+1, FALSE)) &gt; G$1, (Assumptions!$B$8)*(G$1) + (Assumptions!$B$9)*MAX(0,  (HLOOKUP(G$2,Earnings!$G$2:$BC$81,('Yearly Pension'!$A21)+1, FALSE)) - G$1), ((Assumptions!$B$8)*'Yearly Pension'!G$1))))</f>
        <v>0</v>
      </c>
      <c r="H21" s="6">
        <f>(HLOOKUP('Yearly Pension'!H$2,'Credited Service'!$G$1:$BC$80,$A21+1,FALSE)) * (IF($B21=500, (Assumptions!$B$7)*12, IF((HLOOKUP(H$2,Earnings!$G$2:$BC$81,('Yearly Pension'!$A21)+1, FALSE)) &gt; H$1, (Assumptions!$B$8)*(H$1) + (Assumptions!$B$9)*MAX(0,  (HLOOKUP(H$2,Earnings!$G$2:$BC$81,('Yearly Pension'!$A21)+1, FALSE)) - H$1), ((Assumptions!$B$8)*'Yearly Pension'!H$1))))</f>
        <v>0</v>
      </c>
      <c r="I21" s="6">
        <f>(HLOOKUP('Yearly Pension'!I$2,'Credited Service'!$G$1:$BC$80,$A21+1,FALSE)) * (IF($B21=500, (Assumptions!$B$7)*12, IF((HLOOKUP(I$2,Earnings!$G$2:$BC$81,('Yearly Pension'!$A21)+1, FALSE)) &gt; I$1, (Assumptions!$B$8)*(I$1) + (Assumptions!$B$9)*MAX(0,  (HLOOKUP(I$2,Earnings!$G$2:$BC$81,('Yearly Pension'!$A21)+1, FALSE)) - I$1), ((Assumptions!$B$8)*'Yearly Pension'!I$1))))</f>
        <v>0</v>
      </c>
      <c r="J21" s="6">
        <f>(HLOOKUP('Yearly Pension'!J$2,'Credited Service'!$G$1:$BC$80,$A21+1,FALSE)) * (IF($B21=500, (Assumptions!$B$7)*12, IF((HLOOKUP(J$2,Earnings!$G$2:$BC$81,('Yearly Pension'!$A21)+1, FALSE)) &gt; J$1, (Assumptions!$B$8)*(J$1) + (Assumptions!$B$9)*MAX(0,  (HLOOKUP(J$2,Earnings!$G$2:$BC$81,('Yearly Pension'!$A21)+1, FALSE)) - J$1), ((Assumptions!$B$8)*'Yearly Pension'!J$1))))</f>
        <v>0</v>
      </c>
      <c r="K21" s="6">
        <f>(HLOOKUP('Yearly Pension'!K$2,'Credited Service'!$G$1:$BC$80,$A21+1,FALSE)) * (IF($B21=500, (Assumptions!$B$7)*12, IF((HLOOKUP(K$2,Earnings!$G$2:$BC$81,('Yearly Pension'!$A21)+1, FALSE)) &gt; K$1, (Assumptions!$B$8)*(K$1) + (Assumptions!$B$9)*MAX(0,  (HLOOKUP(K$2,Earnings!$G$2:$BC$81,('Yearly Pension'!$A21)+1, FALSE)) - K$1), ((Assumptions!$B$8)*'Yearly Pension'!K$1))))</f>
        <v>0</v>
      </c>
      <c r="L21" s="6">
        <f>(HLOOKUP('Yearly Pension'!L$2,'Credited Service'!$G$1:$BC$80,$A21+1,FALSE)) * (IF($B21=500, (Assumptions!$B$7)*12, IF((HLOOKUP(L$2,Earnings!$G$2:$BC$81,('Yearly Pension'!$A21)+1, FALSE)) &gt; L$1, (Assumptions!$B$8)*(L$1) + (Assumptions!$B$9)*MAX(0,  (HLOOKUP(L$2,Earnings!$G$2:$BC$81,('Yearly Pension'!$A21)+1, FALSE)) - L$1), ((Assumptions!$B$8)*'Yearly Pension'!L$1))))</f>
        <v>0</v>
      </c>
      <c r="M21" s="6">
        <f>(HLOOKUP('Yearly Pension'!M$2,'Credited Service'!$G$1:$BC$80,$A21+1,FALSE)) * (IF($B21=500, (Assumptions!$B$7)*12, IF((HLOOKUP(M$2,Earnings!$G$2:$BC$81,('Yearly Pension'!$A21)+1, FALSE)) &gt; M$1, (Assumptions!$B$8)*(M$1) + (Assumptions!$B$9)*MAX(0,  (HLOOKUP(M$2,Earnings!$G$2:$BC$81,('Yearly Pension'!$A21)+1, FALSE)) - M$1), ((Assumptions!$B$8)*'Yearly Pension'!M$1))))</f>
        <v>0</v>
      </c>
      <c r="N21" s="6">
        <f>(HLOOKUP('Yearly Pension'!N$2,'Credited Service'!$G$1:$BC$80,$A21+1,FALSE)) * (IF($B21=500, (Assumptions!$B$7)*12, IF((HLOOKUP(N$2,Earnings!$G$2:$BC$81,('Yearly Pension'!$A21)+1, FALSE)) &gt; N$1, (Assumptions!$B$8)*(N$1) + (Assumptions!$B$9)*MAX(0,  (HLOOKUP(N$2,Earnings!$G$2:$BC$81,('Yearly Pension'!$A21)+1, FALSE)) - N$1), ((Assumptions!$B$8)*'Yearly Pension'!N$1))))</f>
        <v>0</v>
      </c>
      <c r="O21" s="6">
        <f>(HLOOKUP('Yearly Pension'!O$2,'Credited Service'!$G$1:$BC$80,$A21+1,FALSE)) * (IF($B21=500, (Assumptions!$B$7)*12, IF((HLOOKUP(O$2,Earnings!$G$2:$BC$81,('Yearly Pension'!$A21)+1, FALSE)) &gt; O$1, (Assumptions!$B$8)*(O$1) + (Assumptions!$B$9)*MAX(0,  (HLOOKUP(O$2,Earnings!$G$2:$BC$81,('Yearly Pension'!$A21)+1, FALSE)) - O$1), ((Assumptions!$B$8)*'Yearly Pension'!O$1))))</f>
        <v>0</v>
      </c>
      <c r="P21" s="6">
        <f>(HLOOKUP('Yearly Pension'!P$2,'Credited Service'!$G$1:$BC$80,$A21+1,FALSE)) * (IF($B21=500, (Assumptions!$B$7)*12, IF((HLOOKUP(P$2,Earnings!$G$2:$BC$81,('Yearly Pension'!$A21)+1, FALSE)) &gt; P$1, (Assumptions!$B$8)*(P$1) + (Assumptions!$B$9)*MAX(0,  (HLOOKUP(P$2,Earnings!$G$2:$BC$81,('Yearly Pension'!$A21)+1, FALSE)) - P$1), ((Assumptions!$B$8)*'Yearly Pension'!P$1))))</f>
        <v>0</v>
      </c>
      <c r="Q21" s="6">
        <f>(HLOOKUP('Yearly Pension'!Q$2,'Credited Service'!$G$1:$BC$80,$A21+1,FALSE)) * (IF($B21=500, (Assumptions!$B$7)*12, IF((HLOOKUP(Q$2,Earnings!$G$2:$BC$81,('Yearly Pension'!$A21)+1, FALSE)) &gt; Q$1, (Assumptions!$B$8)*(Q$1) + (Assumptions!$B$9)*MAX(0,  (HLOOKUP(Q$2,Earnings!$G$2:$BC$81,('Yearly Pension'!$A21)+1, FALSE)) - Q$1), ((Assumptions!$B$8)*'Yearly Pension'!Q$1))))</f>
        <v>0</v>
      </c>
      <c r="R21" s="6">
        <f>(HLOOKUP('Yearly Pension'!R$2,'Credited Service'!$G$1:$BC$80,$A21+1,FALSE)) * (IF($B21=500, (Assumptions!$B$7)*12, IF((HLOOKUP(R$2,Earnings!$G$2:$BC$81,('Yearly Pension'!$A21)+1, FALSE)) &gt; R$1, (Assumptions!$B$8)*(R$1) + (Assumptions!$B$9)*MAX(0,  (HLOOKUP(R$2,Earnings!$G$2:$BC$81,('Yearly Pension'!$A21)+1, FALSE)) - R$1), ((Assumptions!$B$8)*'Yearly Pension'!R$1))))</f>
        <v>0</v>
      </c>
      <c r="S21" s="6">
        <f>(HLOOKUP('Yearly Pension'!S$2,'Credited Service'!$G$1:$BC$80,$A21+1,FALSE)) * (IF($B21=500, (Assumptions!$B$7)*12, IF((HLOOKUP(S$2,Earnings!$G$2:$BC$81,('Yearly Pension'!$A21)+1, FALSE)) &gt; S$1, (Assumptions!$B$8)*(S$1) + (Assumptions!$B$9)*MAX(0,  (HLOOKUP(S$2,Earnings!$G$2:$BC$81,('Yearly Pension'!$A21)+1, FALSE)) - S$1), ((Assumptions!$B$8)*'Yearly Pension'!S$1))))</f>
        <v>0</v>
      </c>
      <c r="T21" s="6">
        <f>(HLOOKUP('Yearly Pension'!T$2,'Credited Service'!$G$1:$BC$80,$A21+1,FALSE)) * (IF($B21=500, (Assumptions!$B$7)*12, IF((HLOOKUP(T$2,Earnings!$G$2:$BC$81,('Yearly Pension'!$A21)+1, FALSE)) &gt; T$1, (Assumptions!$B$8)*(T$1) + (Assumptions!$B$9)*MAX(0,  (HLOOKUP(T$2,Earnings!$G$2:$BC$81,('Yearly Pension'!$A21)+1, FALSE)) - T$1), ((Assumptions!$B$8)*'Yearly Pension'!T$1))))</f>
        <v>0</v>
      </c>
      <c r="U21" s="6">
        <f>(HLOOKUP('Yearly Pension'!U$2,'Credited Service'!$G$1:$BC$80,$A21+1,FALSE)) * (IF($B21=500, (Assumptions!$B$7)*12, IF((HLOOKUP(U$2,Earnings!$G$2:$BC$81,('Yearly Pension'!$A21)+1, FALSE)) &gt; U$1, (Assumptions!$B$8)*(U$1) + (Assumptions!$B$9)*MAX(0,  (HLOOKUP(U$2,Earnings!$G$2:$BC$81,('Yearly Pension'!$A21)+1, FALSE)) - U$1), ((Assumptions!$B$8)*'Yearly Pension'!U$1))))</f>
        <v>0</v>
      </c>
      <c r="V21" s="6">
        <f>(HLOOKUP('Yearly Pension'!V$2,'Credited Service'!$G$1:$BC$80,$A21+1,FALSE)) * (IF($B21=500, (Assumptions!$B$7)*12, IF((HLOOKUP(V$2,Earnings!$G$2:$BC$81,('Yearly Pension'!$A21)+1, FALSE)) &gt; V$1, (Assumptions!$B$8)*(V$1) + (Assumptions!$B$9)*MAX(0,  (HLOOKUP(V$2,Earnings!$G$2:$BC$81,('Yearly Pension'!$A21)+1, FALSE)) - V$1), ((Assumptions!$B$8)*'Yearly Pension'!V$1))))</f>
        <v>0</v>
      </c>
      <c r="W21" s="6">
        <f>(HLOOKUP('Yearly Pension'!W$2,'Credited Service'!$G$1:$BC$80,$A21+1,FALSE)) * (IF($B21=500, (Assumptions!$B$7)*12, IF((HLOOKUP(W$2,Earnings!$G$2:$BC$81,('Yearly Pension'!$A21)+1, FALSE)) &gt; W$1, (Assumptions!$B$8)*(W$1) + (Assumptions!$B$9)*MAX(0,  (HLOOKUP(W$2,Earnings!$G$2:$BC$81,('Yearly Pension'!$A21)+1, FALSE)) - W$1), ((Assumptions!$B$8)*'Yearly Pension'!W$1))))</f>
        <v>0</v>
      </c>
      <c r="X21" s="6">
        <f>(HLOOKUP('Yearly Pension'!X$2,'Credited Service'!$G$1:$BC$80,$A21+1,FALSE)) * (IF($B21=500, (Assumptions!$B$7)*12, IF((HLOOKUP(X$2,Earnings!$G$2:$BC$81,('Yearly Pension'!$A21)+1, FALSE)) &gt; X$1, (Assumptions!$B$8)*(X$1) + (Assumptions!$B$9)*MAX(0,  (HLOOKUP(X$2,Earnings!$G$2:$BC$81,('Yearly Pension'!$A21)+1, FALSE)) - X$1), ((Assumptions!$B$8)*'Yearly Pension'!X$1))))</f>
        <v>0</v>
      </c>
      <c r="Y21" s="6">
        <f>(HLOOKUP('Yearly Pension'!Y$2,'Credited Service'!$G$1:$BC$80,$A21+1,FALSE)) * (IF($B21=500, (Assumptions!$B$7)*12, IF((HLOOKUP(Y$2,Earnings!$G$2:$BC$81,('Yearly Pension'!$A21)+1, FALSE)) &gt; Y$1, (Assumptions!$B$8)*(Y$1) + (Assumptions!$B$9)*MAX(0,  (HLOOKUP(Y$2,Earnings!$G$2:$BC$81,('Yearly Pension'!$A21)+1, FALSE)) - Y$1), ((Assumptions!$B$8)*'Yearly Pension'!Y$1))))</f>
        <v>0</v>
      </c>
      <c r="Z21" s="6">
        <f>(HLOOKUP('Yearly Pension'!Z$2,'Credited Service'!$G$1:$BC$80,$A21+1,FALSE)) * (IF($B21=500, (Assumptions!$B$7)*12, IF((HLOOKUP(Z$2,Earnings!$G$2:$BC$81,('Yearly Pension'!$A21)+1, FALSE)) &gt; Z$1, (Assumptions!$B$8)*(Z$1) + (Assumptions!$B$9)*MAX(0,  (HLOOKUP(Z$2,Earnings!$G$2:$BC$81,('Yearly Pension'!$A21)+1, FALSE)) - Z$1), ((Assumptions!$B$8)*'Yearly Pension'!Z$1))))</f>
        <v>0</v>
      </c>
      <c r="AA21" s="6">
        <f>(HLOOKUP('Yearly Pension'!AA$2,'Credited Service'!$G$1:$BC$80,$A21+1,FALSE)) * (IF($B21=500, (Assumptions!$B$7)*12, IF((HLOOKUP(AA$2,Earnings!$G$2:$BC$81,('Yearly Pension'!$A21)+1, FALSE)) &gt; AA$1, (Assumptions!$B$8)*(AA$1) + (Assumptions!$B$9)*MAX(0,  (HLOOKUP(AA$2,Earnings!$G$2:$BC$81,('Yearly Pension'!$A21)+1, FALSE)) - AA$1), ((Assumptions!$B$8)*'Yearly Pension'!AA$1))))</f>
        <v>0</v>
      </c>
      <c r="AB21" s="6">
        <f>(HLOOKUP('Yearly Pension'!AB$2,'Credited Service'!$G$1:$BC$80,$A21+1,FALSE)) * (IF($B21=500, (Assumptions!$B$7)*12, IF((HLOOKUP(AB$2,Earnings!$G$2:$BC$81,('Yearly Pension'!$A21)+1, FALSE)) &gt; AB$1, (Assumptions!$B$8)*(AB$1) + (Assumptions!$B$9)*MAX(0,  (HLOOKUP(AB$2,Earnings!$G$2:$BC$81,('Yearly Pension'!$A21)+1, FALSE)) - AB$1), ((Assumptions!$B$8)*'Yearly Pension'!AB$1))))</f>
        <v>0</v>
      </c>
      <c r="AC21" s="6">
        <f>(HLOOKUP('Yearly Pension'!AC$2,'Credited Service'!$G$1:$BC$80,$A21+1,FALSE)) * (IF($B21=500, (Assumptions!$B$7)*12, IF((HLOOKUP(AC$2,Earnings!$G$2:$BC$81,('Yearly Pension'!$A21)+1, FALSE)) &gt; AC$1, (Assumptions!$B$8)*(AC$1) + (Assumptions!$B$9)*MAX(0,  (HLOOKUP(AC$2,Earnings!$G$2:$BC$81,('Yearly Pension'!$A21)+1, FALSE)) - AC$1), ((Assumptions!$B$8)*'Yearly Pension'!AC$1))))</f>
        <v>0</v>
      </c>
      <c r="AD21" s="6">
        <f>(HLOOKUP('Yearly Pension'!AD$2,'Credited Service'!$G$1:$BC$80,$A21+1,FALSE)) * (IF($B21=500, (Assumptions!$B$7)*12, IF((HLOOKUP(AD$2,Earnings!$G$2:$BC$81,('Yearly Pension'!$A21)+1, FALSE)) &gt; AD$1, (Assumptions!$B$8)*(AD$1) + (Assumptions!$B$9)*MAX(0,  (HLOOKUP(AD$2,Earnings!$G$2:$BC$81,('Yearly Pension'!$A21)+1, FALSE)) - AD$1), ((Assumptions!$B$8)*'Yearly Pension'!AD$1))))</f>
        <v>0</v>
      </c>
      <c r="AE21" s="6">
        <f>(HLOOKUP('Yearly Pension'!AE$2,'Credited Service'!$G$1:$BC$80,$A21+1,FALSE)) * (IF($B21=500, (Assumptions!$B$7)*12, IF((HLOOKUP(AE$2,Earnings!$G$2:$BC$81,('Yearly Pension'!$A21)+1, FALSE)) &gt; AE$1, (Assumptions!$B$8)*(AE$1) + (Assumptions!$B$9)*MAX(0,  (HLOOKUP(AE$2,Earnings!$G$2:$BC$81,('Yearly Pension'!$A21)+1, FALSE)) - AE$1), ((Assumptions!$B$8)*'Yearly Pension'!AE$1))))</f>
        <v>0</v>
      </c>
      <c r="AF21" s="6">
        <f>(HLOOKUP('Yearly Pension'!AF$2,'Credited Service'!$G$1:$BC$80,$A21+1,FALSE)) * (IF($B21=500, (Assumptions!$B$7)*12, IF((HLOOKUP(AF$2,Earnings!$G$2:$BC$81,('Yearly Pension'!$A21)+1, FALSE)) &gt; AF$1, (Assumptions!$B$8)*(AF$1) + (Assumptions!$B$9)*MAX(0,  (HLOOKUP(AF$2,Earnings!$G$2:$BC$81,('Yearly Pension'!$A21)+1, FALSE)) - AF$1), ((Assumptions!$B$8)*'Yearly Pension'!AF$1))))</f>
        <v>0</v>
      </c>
      <c r="AG21" s="6">
        <f>(HLOOKUP('Yearly Pension'!AG$2,'Credited Service'!$G$1:$BC$80,$A21+1,FALSE)) * (IF($B21=500, (Assumptions!$B$7)*12, IF((HLOOKUP(AG$2,Earnings!$G$2:$BC$81,('Yearly Pension'!$A21)+1, FALSE)) &gt; AG$1, (Assumptions!$B$8)*(AG$1) + (Assumptions!$B$9)*MAX(0,  (HLOOKUP(AG$2,Earnings!$G$2:$BC$81,('Yearly Pension'!$A21)+1, FALSE)) - AG$1), ((Assumptions!$B$8)*'Yearly Pension'!AG$1))))</f>
        <v>0</v>
      </c>
      <c r="AH21" s="6">
        <f>(HLOOKUP('Yearly Pension'!AH$2,'Credited Service'!$G$1:$BC$80,$A21+1,FALSE)) * (IF($B21=500, (Assumptions!$B$7)*12, IF((HLOOKUP(AH$2,Earnings!$G$2:$BC$81,('Yearly Pension'!$A21)+1, FALSE)) &gt; AH$1, (Assumptions!$B$8)*(AH$1) + (Assumptions!$B$9)*MAX(0,  (HLOOKUP(AH$2,Earnings!$G$2:$BC$81,('Yearly Pension'!$A21)+1, FALSE)) - AH$1), ((Assumptions!$B$8)*'Yearly Pension'!AH$1))))</f>
        <v>480</v>
      </c>
      <c r="AI21" s="6">
        <f>(HLOOKUP('Yearly Pension'!AI$2,'Credited Service'!$G$1:$BC$80,$A21+1,FALSE)) * (IF($B21=500, (Assumptions!$B$7)*12, IF((HLOOKUP(AI$2,Earnings!$G$2:$BC$81,('Yearly Pension'!$A21)+1, FALSE)) &gt; AI$1, (Assumptions!$B$8)*(AI$1) + (Assumptions!$B$9)*MAX(0,  (HLOOKUP(AI$2,Earnings!$G$2:$BC$81,('Yearly Pension'!$A21)+1, FALSE)) - AI$1), ((Assumptions!$B$8)*'Yearly Pension'!AI$1))))</f>
        <v>720</v>
      </c>
      <c r="AJ21" s="6">
        <f>(HLOOKUP('Yearly Pension'!AJ$2,'Credited Service'!$G$1:$BC$80,$A21+1,FALSE)) * (IF($B21=500, (Assumptions!$B$7)*12, IF((HLOOKUP(AJ$2,Earnings!$G$2:$BC$81,('Yearly Pension'!$A21)+1, FALSE)) &gt; AJ$1, (Assumptions!$B$8)*(AJ$1) + (Assumptions!$B$9)*MAX(0,  (HLOOKUP(AJ$2,Earnings!$G$2:$BC$81,('Yearly Pension'!$A21)+1, FALSE)) - AJ$1), ((Assumptions!$B$8)*'Yearly Pension'!AJ$1))))</f>
        <v>720</v>
      </c>
      <c r="AK21" s="6">
        <f>(HLOOKUP('Yearly Pension'!AK$2,'Credited Service'!$G$1:$BC$80,$A21+1,FALSE)) * (IF($B21=500, (Assumptions!$B$7)*12, IF((HLOOKUP(AK$2,Earnings!$G$2:$BC$81,('Yearly Pension'!$A21)+1, FALSE)) &gt; AK$1, (Assumptions!$B$8)*(AK$1) + (Assumptions!$B$9)*MAX(0,  (HLOOKUP(AK$2,Earnings!$G$2:$BC$81,('Yearly Pension'!$A21)+1, FALSE)) - AK$1), ((Assumptions!$B$8)*'Yearly Pension'!AK$1))))</f>
        <v>720</v>
      </c>
      <c r="AL21" s="6">
        <f>(HLOOKUP('Yearly Pension'!AL$2,'Credited Service'!$G$1:$BC$80,$A21+1,FALSE)) * (IF($B21=500, (Assumptions!$B$7)*12, IF((HLOOKUP(AL$2,Earnings!$G$2:$BC$81,('Yearly Pension'!$A21)+1, FALSE)) &gt; AL$1, (Assumptions!$B$8)*(AL$1) + (Assumptions!$B$9)*MAX(0,  (HLOOKUP(AL$2,Earnings!$G$2:$BC$81,('Yearly Pension'!$A21)+1, FALSE)) - AL$1), ((Assumptions!$B$8)*'Yearly Pension'!AL$1))))</f>
        <v>720</v>
      </c>
      <c r="AM21" s="6">
        <f>(HLOOKUP('Yearly Pension'!AM$2,'Credited Service'!$G$1:$BC$80,$A21+1,FALSE)) * (IF($B21=500, (Assumptions!$B$7)*12, IF((HLOOKUP(AM$2,Earnings!$G$2:$BC$81,('Yearly Pension'!$A21)+1, FALSE)) &gt; AM$1, (Assumptions!$B$8)*(AM$1) + (Assumptions!$B$9)*MAX(0,  (HLOOKUP(AM$2,Earnings!$G$2:$BC$81,('Yearly Pension'!$A21)+1, FALSE)) - AM$1), ((Assumptions!$B$8)*'Yearly Pension'!AM$1))))</f>
        <v>720</v>
      </c>
      <c r="AN21" s="6">
        <f>(HLOOKUP('Yearly Pension'!AN$2,'Credited Service'!$G$1:$BC$80,$A21+1,FALSE)) * (IF($B21=500, (Assumptions!$B$7)*12, IF((HLOOKUP(AN$2,Earnings!$G$2:$BC$81,('Yearly Pension'!$A21)+1, FALSE)) &gt; AN$1, (Assumptions!$B$8)*(AN$1) + (Assumptions!$B$9)*MAX(0,  (HLOOKUP(AN$2,Earnings!$G$2:$BC$81,('Yearly Pension'!$A21)+1, FALSE)) - AN$1), ((Assumptions!$B$8)*'Yearly Pension'!AN$1))))</f>
        <v>720</v>
      </c>
      <c r="AO21" s="6">
        <f>(HLOOKUP('Yearly Pension'!AO$2,'Credited Service'!$G$1:$BC$80,$A21+1,FALSE)) * (IF($B21=500, (Assumptions!$B$7)*12, IF((HLOOKUP(AO$2,Earnings!$G$2:$BC$81,('Yearly Pension'!$A21)+1, FALSE)) &gt; AO$1, (Assumptions!$B$8)*(AO$1) + (Assumptions!$B$9)*MAX(0,  (HLOOKUP(AO$2,Earnings!$G$2:$BC$81,('Yearly Pension'!$A21)+1, FALSE)) - AO$1), ((Assumptions!$B$8)*'Yearly Pension'!AO$1))))</f>
        <v>720</v>
      </c>
      <c r="AP21" s="6">
        <f>(HLOOKUP('Yearly Pension'!AP$2,'Credited Service'!$G$1:$BC$80,$A21+1,FALSE)) * (IF($B21=500, (Assumptions!$B$7)*12, IF((HLOOKUP(AP$2,Earnings!$G$2:$BC$81,('Yearly Pension'!$A21)+1, FALSE)) &gt; AP$1, (Assumptions!$B$8)*(AP$1) + (Assumptions!$B$9)*MAX(0,  (HLOOKUP(AP$2,Earnings!$G$2:$BC$81,('Yearly Pension'!$A21)+1, FALSE)) - AP$1), ((Assumptions!$B$8)*'Yearly Pension'!AP$1))))</f>
        <v>720</v>
      </c>
      <c r="AQ21" s="6">
        <f>(HLOOKUP('Yearly Pension'!AQ$2,'Credited Service'!$G$1:$BC$80,$A21+1,FALSE)) * (IF($B21=500, (Assumptions!$B$7)*12, IF((HLOOKUP(AQ$2,Earnings!$G$2:$BC$81,('Yearly Pension'!$A21)+1, FALSE)) &gt; AQ$1, (Assumptions!$B$8)*(AQ$1) + (Assumptions!$B$9)*MAX(0,  (HLOOKUP(AQ$2,Earnings!$G$2:$BC$81,('Yearly Pension'!$A21)+1, FALSE)) - AQ$1), ((Assumptions!$B$8)*'Yearly Pension'!AQ$1))))</f>
        <v>720</v>
      </c>
      <c r="AR21" s="6">
        <f>(HLOOKUP('Yearly Pension'!AR$2,'Credited Service'!$G$1:$BC$80,$A21+1,FALSE)) * (IF($B21=500, (Assumptions!$B$7)*12, IF((HLOOKUP(AR$2,Earnings!$G$2:$BC$81,('Yearly Pension'!$A21)+1, FALSE)) &gt; AR$1, (Assumptions!$B$8)*(AR$1) + (Assumptions!$B$9)*MAX(0,  (HLOOKUP(AR$2,Earnings!$G$2:$BC$81,('Yearly Pension'!$A21)+1, FALSE)) - AR$1), ((Assumptions!$B$8)*'Yearly Pension'!AR$1))))</f>
        <v>720</v>
      </c>
      <c r="AS21" s="6">
        <f>(HLOOKUP('Yearly Pension'!AS$2,'Credited Service'!$G$1:$BC$80,$A21+1,FALSE)) * (IF($B21=500, (Assumptions!$B$7)*12, IF((HLOOKUP(AS$2,Earnings!$G$2:$BC$81,('Yearly Pension'!$A21)+1, FALSE)) &gt; AS$1, (Assumptions!$B$8)*(AS$1) + (Assumptions!$B$9)*MAX(0,  (HLOOKUP(AS$2,Earnings!$G$2:$BC$81,('Yearly Pension'!$A21)+1, FALSE)) - AS$1), ((Assumptions!$B$8)*'Yearly Pension'!AS$1))))</f>
        <v>720</v>
      </c>
      <c r="AT21" s="6">
        <f>(HLOOKUP('Yearly Pension'!AT$2,'Credited Service'!$G$1:$BC$80,$A21+1,FALSE)) * (IF($B21=500, (Assumptions!$B$7)*12, IF((HLOOKUP(AT$2,Earnings!$G$2:$BC$81,('Yearly Pension'!$A21)+1, FALSE)) &gt; AT$1, (Assumptions!$B$8)*(AT$1) + (Assumptions!$B$9)*MAX(0,  (HLOOKUP(AT$2,Earnings!$G$2:$BC$81,('Yearly Pension'!$A21)+1, FALSE)) - AT$1), ((Assumptions!$B$8)*'Yearly Pension'!AT$1))))</f>
        <v>720</v>
      </c>
      <c r="AU21" s="6">
        <f>(HLOOKUP('Yearly Pension'!AU$2,'Credited Service'!$G$1:$BC$80,$A21+1,FALSE)) * (IF($B21=500, (Assumptions!$B$7)*12, IF((HLOOKUP(AU$2,Earnings!$G$2:$BC$81,('Yearly Pension'!$A21)+1, FALSE)) &gt; AU$1, (Assumptions!$B$8)*(AU$1) + (Assumptions!$B$9)*MAX(0,  (HLOOKUP(AU$2,Earnings!$G$2:$BC$81,('Yearly Pension'!$A21)+1, FALSE)) - AU$1), ((Assumptions!$B$8)*'Yearly Pension'!AU$1))))</f>
        <v>720</v>
      </c>
      <c r="AV21" s="6">
        <f>(HLOOKUP('Yearly Pension'!AV$2,'Credited Service'!$G$1:$BC$80,$A21+1,FALSE)) * (IF($B21=500, (Assumptions!$B$7)*12, IF((HLOOKUP(AV$2,Earnings!$G$2:$BC$81,('Yearly Pension'!$A21)+1, FALSE)) &gt; AV$1, (Assumptions!$B$8)*(AV$1) + (Assumptions!$B$9)*MAX(0,  (HLOOKUP(AV$2,Earnings!$G$2:$BC$81,('Yearly Pension'!$A21)+1, FALSE)) - AV$1), ((Assumptions!$B$8)*'Yearly Pension'!AV$1))))</f>
        <v>720</v>
      </c>
      <c r="AW21" s="6">
        <f>(HLOOKUP('Yearly Pension'!AW$2,'Credited Service'!$G$1:$BC$80,$A21+1,FALSE)) * (IF($B21=500, (Assumptions!$B$7)*12, IF((HLOOKUP(AW$2,Earnings!$G$2:$BC$81,('Yearly Pension'!$A21)+1, FALSE)) &gt; AW$1, (Assumptions!$B$8)*(AW$1) + (Assumptions!$B$9)*MAX(0,  (HLOOKUP(AW$2,Earnings!$G$2:$BC$81,('Yearly Pension'!$A21)+1, FALSE)) - AW$1), ((Assumptions!$B$8)*'Yearly Pension'!AW$1))))</f>
        <v>720</v>
      </c>
      <c r="AX21" s="6">
        <f>(HLOOKUP('Yearly Pension'!AX$2,'Credited Service'!$G$1:$BC$80,$A21+1,FALSE)) * (IF($B21=500, (Assumptions!$B$7)*12, IF((HLOOKUP(AX$2,Earnings!$G$2:$BC$81,('Yearly Pension'!$A21)+1, FALSE)) &gt; AX$1, (Assumptions!$B$8)*(AX$1) + (Assumptions!$B$9)*MAX(0,  (HLOOKUP(AX$2,Earnings!$G$2:$BC$81,('Yearly Pension'!$A21)+1, FALSE)) - AX$1), ((Assumptions!$B$8)*'Yearly Pension'!AX$1))))</f>
        <v>720</v>
      </c>
      <c r="AY21" s="6">
        <f>(HLOOKUP('Yearly Pension'!AY$2,'Credited Service'!$G$1:$BC$80,$A21+1,FALSE)) * (IF($B21=500, (Assumptions!$B$7)*12, IF((HLOOKUP(AY$2,Earnings!$G$2:$BC$81,('Yearly Pension'!$A21)+1, FALSE)) &gt; AY$1, (Assumptions!$B$8)*(AY$1) + (Assumptions!$B$9)*MAX(0,  (HLOOKUP(AY$2,Earnings!$G$2:$BC$81,('Yearly Pension'!$A21)+1, FALSE)) - AY$1), ((Assumptions!$B$8)*'Yearly Pension'!AY$1))))</f>
        <v>720</v>
      </c>
      <c r="AZ21" s="6">
        <f>(HLOOKUP('Yearly Pension'!AZ$2,'Credited Service'!$G$1:$BC$80,$A21+1,FALSE)) * (IF($B21=500, (Assumptions!$B$7)*12, IF((HLOOKUP(AZ$2,Earnings!$G$2:$BC$81,('Yearly Pension'!$A21)+1, FALSE)) &gt; AZ$1, (Assumptions!$B$8)*(AZ$1) + (Assumptions!$B$9)*MAX(0,  (HLOOKUP(AZ$2,Earnings!$G$2:$BC$81,('Yearly Pension'!$A21)+1, FALSE)) - AZ$1), ((Assumptions!$B$8)*'Yearly Pension'!AZ$1))))</f>
        <v>720</v>
      </c>
      <c r="BA21" s="6">
        <f>(HLOOKUP('Yearly Pension'!BA$2,'Credited Service'!$G$1:$BC$80,$A21+1,FALSE)) * (IF($B21=500, (Assumptions!$B$7)*12, IF((HLOOKUP(BA$2,Earnings!$G$2:$BC$81,('Yearly Pension'!$A21)+1, FALSE)) &gt; BA$1, (Assumptions!$B$8)*(BA$1) + (Assumptions!$B$9)*MAX(0,  (HLOOKUP(BA$2,Earnings!$G$2:$BC$81,('Yearly Pension'!$A21)+1, FALSE)) - BA$1), ((Assumptions!$B$8)*'Yearly Pension'!BA$1))))</f>
        <v>720</v>
      </c>
      <c r="BB21" s="6">
        <f>(HLOOKUP('Yearly Pension'!BB$2,'Credited Service'!$G$1:$BC$80,$A21+1,FALSE)) * (IF($B21=500, (Assumptions!$B$7)*12, IF((HLOOKUP(BB$2,Earnings!$G$2:$BC$81,('Yearly Pension'!$A21)+1, FALSE)) &gt; BB$1, (Assumptions!$B$8)*(BB$1) + (Assumptions!$B$9)*MAX(0,  (HLOOKUP(BB$2,Earnings!$G$2:$BC$81,('Yearly Pension'!$A21)+1, FALSE)) - BB$1), ((Assumptions!$B$8)*'Yearly Pension'!BB$1))))</f>
        <v>720</v>
      </c>
      <c r="BC21" s="6">
        <f>(HLOOKUP('Yearly Pension'!BC$2,'Credited Service'!$G$1:$BC$80,$A21+1,FALSE)) * (IF($B21=500, (Assumptions!$B$7)*12, IF((HLOOKUP(BC$2,Earnings!$G$2:$BC$81,('Yearly Pension'!$A21)+1, FALSE)) &gt; BC$1, (Assumptions!$B$8)*(BC$1) + (Assumptions!$B$9)*MAX(0,  (HLOOKUP(BC$2,Earnings!$G$2:$BC$81,('Yearly Pension'!$A21)+1, FALSE)) - BC$1), ((Assumptions!$B$8)*'Yearly Pension'!BC$1))))</f>
        <v>720</v>
      </c>
    </row>
    <row r="22" spans="1:55" x14ac:dyDescent="0.25">
      <c r="A22" s="204">
        <v>20</v>
      </c>
      <c r="B22" s="1">
        <v>500</v>
      </c>
      <c r="C22" s="1">
        <v>767</v>
      </c>
      <c r="D22" s="3">
        <v>38061</v>
      </c>
      <c r="E22" s="3">
        <v>51653</v>
      </c>
      <c r="G22" s="6">
        <f>(HLOOKUP('Yearly Pension'!G$2,'Credited Service'!$G$1:$BC$80,$A22+1,FALSE)) * (IF($B22=500, (Assumptions!$B$7)*12, IF((HLOOKUP(G$2,Earnings!$G$2:$BC$81,('Yearly Pension'!$A22)+1, FALSE)) &gt; G$1, (Assumptions!$B$8)*(G$1) + (Assumptions!$B$9)*MAX(0,  (HLOOKUP(G$2,Earnings!$G$2:$BC$81,('Yearly Pension'!$A22)+1, FALSE)) - G$1), ((Assumptions!$B$8)*'Yearly Pension'!G$1))))</f>
        <v>0</v>
      </c>
      <c r="H22" s="6">
        <f>(HLOOKUP('Yearly Pension'!H$2,'Credited Service'!$G$1:$BC$80,$A22+1,FALSE)) * (IF($B22=500, (Assumptions!$B$7)*12, IF((HLOOKUP(H$2,Earnings!$G$2:$BC$81,('Yearly Pension'!$A22)+1, FALSE)) &gt; H$1, (Assumptions!$B$8)*(H$1) + (Assumptions!$B$9)*MAX(0,  (HLOOKUP(H$2,Earnings!$G$2:$BC$81,('Yearly Pension'!$A22)+1, FALSE)) - H$1), ((Assumptions!$B$8)*'Yearly Pension'!H$1))))</f>
        <v>0</v>
      </c>
      <c r="I22" s="6">
        <f>(HLOOKUP('Yearly Pension'!I$2,'Credited Service'!$G$1:$BC$80,$A22+1,FALSE)) * (IF($B22=500, (Assumptions!$B$7)*12, IF((HLOOKUP(I$2,Earnings!$G$2:$BC$81,('Yearly Pension'!$A22)+1, FALSE)) &gt; I$1, (Assumptions!$B$8)*(I$1) + (Assumptions!$B$9)*MAX(0,  (HLOOKUP(I$2,Earnings!$G$2:$BC$81,('Yearly Pension'!$A22)+1, FALSE)) - I$1), ((Assumptions!$B$8)*'Yearly Pension'!I$1))))</f>
        <v>0</v>
      </c>
      <c r="J22" s="6">
        <f>(HLOOKUP('Yearly Pension'!J$2,'Credited Service'!$G$1:$BC$80,$A22+1,FALSE)) * (IF($B22=500, (Assumptions!$B$7)*12, IF((HLOOKUP(J$2,Earnings!$G$2:$BC$81,('Yearly Pension'!$A22)+1, FALSE)) &gt; J$1, (Assumptions!$B$8)*(J$1) + (Assumptions!$B$9)*MAX(0,  (HLOOKUP(J$2,Earnings!$G$2:$BC$81,('Yearly Pension'!$A22)+1, FALSE)) - J$1), ((Assumptions!$B$8)*'Yearly Pension'!J$1))))</f>
        <v>0</v>
      </c>
      <c r="K22" s="6">
        <f>(HLOOKUP('Yearly Pension'!K$2,'Credited Service'!$G$1:$BC$80,$A22+1,FALSE)) * (IF($B22=500, (Assumptions!$B$7)*12, IF((HLOOKUP(K$2,Earnings!$G$2:$BC$81,('Yearly Pension'!$A22)+1, FALSE)) &gt; K$1, (Assumptions!$B$8)*(K$1) + (Assumptions!$B$9)*MAX(0,  (HLOOKUP(K$2,Earnings!$G$2:$BC$81,('Yearly Pension'!$A22)+1, FALSE)) - K$1), ((Assumptions!$B$8)*'Yearly Pension'!K$1))))</f>
        <v>0</v>
      </c>
      <c r="L22" s="6">
        <f>(HLOOKUP('Yearly Pension'!L$2,'Credited Service'!$G$1:$BC$80,$A22+1,FALSE)) * (IF($B22=500, (Assumptions!$B$7)*12, IF((HLOOKUP(L$2,Earnings!$G$2:$BC$81,('Yearly Pension'!$A22)+1, FALSE)) &gt; L$1, (Assumptions!$B$8)*(L$1) + (Assumptions!$B$9)*MAX(0,  (HLOOKUP(L$2,Earnings!$G$2:$BC$81,('Yearly Pension'!$A22)+1, FALSE)) - L$1), ((Assumptions!$B$8)*'Yearly Pension'!L$1))))</f>
        <v>0</v>
      </c>
      <c r="M22" s="6">
        <f>(HLOOKUP('Yearly Pension'!M$2,'Credited Service'!$G$1:$BC$80,$A22+1,FALSE)) * (IF($B22=500, (Assumptions!$B$7)*12, IF((HLOOKUP(M$2,Earnings!$G$2:$BC$81,('Yearly Pension'!$A22)+1, FALSE)) &gt; M$1, (Assumptions!$B$8)*(M$1) + (Assumptions!$B$9)*MAX(0,  (HLOOKUP(M$2,Earnings!$G$2:$BC$81,('Yearly Pension'!$A22)+1, FALSE)) - M$1), ((Assumptions!$B$8)*'Yearly Pension'!M$1))))</f>
        <v>0</v>
      </c>
      <c r="N22" s="6">
        <f>(HLOOKUP('Yearly Pension'!N$2,'Credited Service'!$G$1:$BC$80,$A22+1,FALSE)) * (IF($B22=500, (Assumptions!$B$7)*12, IF((HLOOKUP(N$2,Earnings!$G$2:$BC$81,('Yearly Pension'!$A22)+1, FALSE)) &gt; N$1, (Assumptions!$B$8)*(N$1) + (Assumptions!$B$9)*MAX(0,  (HLOOKUP(N$2,Earnings!$G$2:$BC$81,('Yearly Pension'!$A22)+1, FALSE)) - N$1), ((Assumptions!$B$8)*'Yearly Pension'!N$1))))</f>
        <v>0</v>
      </c>
      <c r="O22" s="6">
        <f>(HLOOKUP('Yearly Pension'!O$2,'Credited Service'!$G$1:$BC$80,$A22+1,FALSE)) * (IF($B22=500, (Assumptions!$B$7)*12, IF((HLOOKUP(O$2,Earnings!$G$2:$BC$81,('Yearly Pension'!$A22)+1, FALSE)) &gt; O$1, (Assumptions!$B$8)*(O$1) + (Assumptions!$B$9)*MAX(0,  (HLOOKUP(O$2,Earnings!$G$2:$BC$81,('Yearly Pension'!$A22)+1, FALSE)) - O$1), ((Assumptions!$B$8)*'Yearly Pension'!O$1))))</f>
        <v>0</v>
      </c>
      <c r="P22" s="6">
        <f>(HLOOKUP('Yearly Pension'!P$2,'Credited Service'!$G$1:$BC$80,$A22+1,FALSE)) * (IF($B22=500, (Assumptions!$B$7)*12, IF((HLOOKUP(P$2,Earnings!$G$2:$BC$81,('Yearly Pension'!$A22)+1, FALSE)) &gt; P$1, (Assumptions!$B$8)*(P$1) + (Assumptions!$B$9)*MAX(0,  (HLOOKUP(P$2,Earnings!$G$2:$BC$81,('Yearly Pension'!$A22)+1, FALSE)) - P$1), ((Assumptions!$B$8)*'Yearly Pension'!P$1))))</f>
        <v>0</v>
      </c>
      <c r="Q22" s="6">
        <f>(HLOOKUP('Yearly Pension'!Q$2,'Credited Service'!$G$1:$BC$80,$A22+1,FALSE)) * (IF($B22=500, (Assumptions!$B$7)*12, IF((HLOOKUP(Q$2,Earnings!$G$2:$BC$81,('Yearly Pension'!$A22)+1, FALSE)) &gt; Q$1, (Assumptions!$B$8)*(Q$1) + (Assumptions!$B$9)*MAX(0,  (HLOOKUP(Q$2,Earnings!$G$2:$BC$81,('Yearly Pension'!$A22)+1, FALSE)) - Q$1), ((Assumptions!$B$8)*'Yearly Pension'!Q$1))))</f>
        <v>0</v>
      </c>
      <c r="R22" s="6">
        <f>(HLOOKUP('Yearly Pension'!R$2,'Credited Service'!$G$1:$BC$80,$A22+1,FALSE)) * (IF($B22=500, (Assumptions!$B$7)*12, IF((HLOOKUP(R$2,Earnings!$G$2:$BC$81,('Yearly Pension'!$A22)+1, FALSE)) &gt; R$1, (Assumptions!$B$8)*(R$1) + (Assumptions!$B$9)*MAX(0,  (HLOOKUP(R$2,Earnings!$G$2:$BC$81,('Yearly Pension'!$A22)+1, FALSE)) - R$1), ((Assumptions!$B$8)*'Yearly Pension'!R$1))))</f>
        <v>0</v>
      </c>
      <c r="S22" s="6">
        <f>(HLOOKUP('Yearly Pension'!S$2,'Credited Service'!$G$1:$BC$80,$A22+1,FALSE)) * (IF($B22=500, (Assumptions!$B$7)*12, IF((HLOOKUP(S$2,Earnings!$G$2:$BC$81,('Yearly Pension'!$A22)+1, FALSE)) &gt; S$1, (Assumptions!$B$8)*(S$1) + (Assumptions!$B$9)*MAX(0,  (HLOOKUP(S$2,Earnings!$G$2:$BC$81,('Yearly Pension'!$A22)+1, FALSE)) - S$1), ((Assumptions!$B$8)*'Yearly Pension'!S$1))))</f>
        <v>0</v>
      </c>
      <c r="T22" s="6">
        <f>(HLOOKUP('Yearly Pension'!T$2,'Credited Service'!$G$1:$BC$80,$A22+1,FALSE)) * (IF($B22=500, (Assumptions!$B$7)*12, IF((HLOOKUP(T$2,Earnings!$G$2:$BC$81,('Yearly Pension'!$A22)+1, FALSE)) &gt; T$1, (Assumptions!$B$8)*(T$1) + (Assumptions!$B$9)*MAX(0,  (HLOOKUP(T$2,Earnings!$G$2:$BC$81,('Yearly Pension'!$A22)+1, FALSE)) - T$1), ((Assumptions!$B$8)*'Yearly Pension'!T$1))))</f>
        <v>0</v>
      </c>
      <c r="U22" s="6">
        <f>(HLOOKUP('Yearly Pension'!U$2,'Credited Service'!$G$1:$BC$80,$A22+1,FALSE)) * (IF($B22=500, (Assumptions!$B$7)*12, IF((HLOOKUP(U$2,Earnings!$G$2:$BC$81,('Yearly Pension'!$A22)+1, FALSE)) &gt; U$1, (Assumptions!$B$8)*(U$1) + (Assumptions!$B$9)*MAX(0,  (HLOOKUP(U$2,Earnings!$G$2:$BC$81,('Yearly Pension'!$A22)+1, FALSE)) - U$1), ((Assumptions!$B$8)*'Yearly Pension'!U$1))))</f>
        <v>0</v>
      </c>
      <c r="V22" s="6">
        <f>(HLOOKUP('Yearly Pension'!V$2,'Credited Service'!$G$1:$BC$80,$A22+1,FALSE)) * (IF($B22=500, (Assumptions!$B$7)*12, IF((HLOOKUP(V$2,Earnings!$G$2:$BC$81,('Yearly Pension'!$A22)+1, FALSE)) &gt; V$1, (Assumptions!$B$8)*(V$1) + (Assumptions!$B$9)*MAX(0,  (HLOOKUP(V$2,Earnings!$G$2:$BC$81,('Yearly Pension'!$A22)+1, FALSE)) - V$1), ((Assumptions!$B$8)*'Yearly Pension'!V$1))))</f>
        <v>0</v>
      </c>
      <c r="W22" s="6">
        <f>(HLOOKUP('Yearly Pension'!W$2,'Credited Service'!$G$1:$BC$80,$A22+1,FALSE)) * (IF($B22=500, (Assumptions!$B$7)*12, IF((HLOOKUP(W$2,Earnings!$G$2:$BC$81,('Yearly Pension'!$A22)+1, FALSE)) &gt; W$1, (Assumptions!$B$8)*(W$1) + (Assumptions!$B$9)*MAX(0,  (HLOOKUP(W$2,Earnings!$G$2:$BC$81,('Yearly Pension'!$A22)+1, FALSE)) - W$1), ((Assumptions!$B$8)*'Yearly Pension'!W$1))))</f>
        <v>0</v>
      </c>
      <c r="X22" s="6">
        <f>(HLOOKUP('Yearly Pension'!X$2,'Credited Service'!$G$1:$BC$80,$A22+1,FALSE)) * (IF($B22=500, (Assumptions!$B$7)*12, IF((HLOOKUP(X$2,Earnings!$G$2:$BC$81,('Yearly Pension'!$A22)+1, FALSE)) &gt; X$1, (Assumptions!$B$8)*(X$1) + (Assumptions!$B$9)*MAX(0,  (HLOOKUP(X$2,Earnings!$G$2:$BC$81,('Yearly Pension'!$A22)+1, FALSE)) - X$1), ((Assumptions!$B$8)*'Yearly Pension'!X$1))))</f>
        <v>0</v>
      </c>
      <c r="Y22" s="6">
        <f>(HLOOKUP('Yearly Pension'!Y$2,'Credited Service'!$G$1:$BC$80,$A22+1,FALSE)) * (IF($B22=500, (Assumptions!$B$7)*12, IF((HLOOKUP(Y$2,Earnings!$G$2:$BC$81,('Yearly Pension'!$A22)+1, FALSE)) &gt; Y$1, (Assumptions!$B$8)*(Y$1) + (Assumptions!$B$9)*MAX(0,  (HLOOKUP(Y$2,Earnings!$G$2:$BC$81,('Yearly Pension'!$A22)+1, FALSE)) - Y$1), ((Assumptions!$B$8)*'Yearly Pension'!Y$1))))</f>
        <v>0</v>
      </c>
      <c r="Z22" s="6">
        <f>(HLOOKUP('Yearly Pension'!Z$2,'Credited Service'!$G$1:$BC$80,$A22+1,FALSE)) * (IF($B22=500, (Assumptions!$B$7)*12, IF((HLOOKUP(Z$2,Earnings!$G$2:$BC$81,('Yearly Pension'!$A22)+1, FALSE)) &gt; Z$1, (Assumptions!$B$8)*(Z$1) + (Assumptions!$B$9)*MAX(0,  (HLOOKUP(Z$2,Earnings!$G$2:$BC$81,('Yearly Pension'!$A22)+1, FALSE)) - Z$1), ((Assumptions!$B$8)*'Yearly Pension'!Z$1))))</f>
        <v>0</v>
      </c>
      <c r="AA22" s="6">
        <f>(HLOOKUP('Yearly Pension'!AA$2,'Credited Service'!$G$1:$BC$80,$A22+1,FALSE)) * (IF($B22=500, (Assumptions!$B$7)*12, IF((HLOOKUP(AA$2,Earnings!$G$2:$BC$81,('Yearly Pension'!$A22)+1, FALSE)) &gt; AA$1, (Assumptions!$B$8)*(AA$1) + (Assumptions!$B$9)*MAX(0,  (HLOOKUP(AA$2,Earnings!$G$2:$BC$81,('Yearly Pension'!$A22)+1, FALSE)) - AA$1), ((Assumptions!$B$8)*'Yearly Pension'!AA$1))))</f>
        <v>0</v>
      </c>
      <c r="AB22" s="6">
        <f>(HLOOKUP('Yearly Pension'!AB$2,'Credited Service'!$G$1:$BC$80,$A22+1,FALSE)) * (IF($B22=500, (Assumptions!$B$7)*12, IF((HLOOKUP(AB$2,Earnings!$G$2:$BC$81,('Yearly Pension'!$A22)+1, FALSE)) &gt; AB$1, (Assumptions!$B$8)*(AB$1) + (Assumptions!$B$9)*MAX(0,  (HLOOKUP(AB$2,Earnings!$G$2:$BC$81,('Yearly Pension'!$A22)+1, FALSE)) - AB$1), ((Assumptions!$B$8)*'Yearly Pension'!AB$1))))</f>
        <v>0</v>
      </c>
      <c r="AC22" s="6">
        <f>(HLOOKUP('Yearly Pension'!AC$2,'Credited Service'!$G$1:$BC$80,$A22+1,FALSE)) * (IF($B22=500, (Assumptions!$B$7)*12, IF((HLOOKUP(AC$2,Earnings!$G$2:$BC$81,('Yearly Pension'!$A22)+1, FALSE)) &gt; AC$1, (Assumptions!$B$8)*(AC$1) + (Assumptions!$B$9)*MAX(0,  (HLOOKUP(AC$2,Earnings!$G$2:$BC$81,('Yearly Pension'!$A22)+1, FALSE)) - AC$1), ((Assumptions!$B$8)*'Yearly Pension'!AC$1))))</f>
        <v>0</v>
      </c>
      <c r="AD22" s="6">
        <f>(HLOOKUP('Yearly Pension'!AD$2,'Credited Service'!$G$1:$BC$80,$A22+1,FALSE)) * (IF($B22=500, (Assumptions!$B$7)*12, IF((HLOOKUP(AD$2,Earnings!$G$2:$BC$81,('Yearly Pension'!$A22)+1, FALSE)) &gt; AD$1, (Assumptions!$B$8)*(AD$1) + (Assumptions!$B$9)*MAX(0,  (HLOOKUP(AD$2,Earnings!$G$2:$BC$81,('Yearly Pension'!$A22)+1, FALSE)) - AD$1), ((Assumptions!$B$8)*'Yearly Pension'!AD$1))))</f>
        <v>0</v>
      </c>
      <c r="AE22" s="6">
        <f>(HLOOKUP('Yearly Pension'!AE$2,'Credited Service'!$G$1:$BC$80,$A22+1,FALSE)) * (IF($B22=500, (Assumptions!$B$7)*12, IF((HLOOKUP(AE$2,Earnings!$G$2:$BC$81,('Yearly Pension'!$A22)+1, FALSE)) &gt; AE$1, (Assumptions!$B$8)*(AE$1) + (Assumptions!$B$9)*MAX(0,  (HLOOKUP(AE$2,Earnings!$G$2:$BC$81,('Yearly Pension'!$A22)+1, FALSE)) - AE$1), ((Assumptions!$B$8)*'Yearly Pension'!AE$1))))</f>
        <v>0</v>
      </c>
      <c r="AF22" s="6">
        <f>(HLOOKUP('Yearly Pension'!AF$2,'Credited Service'!$G$1:$BC$80,$A22+1,FALSE)) * (IF($B22=500, (Assumptions!$B$7)*12, IF((HLOOKUP(AF$2,Earnings!$G$2:$BC$81,('Yearly Pension'!$A22)+1, FALSE)) &gt; AF$1, (Assumptions!$B$8)*(AF$1) + (Assumptions!$B$9)*MAX(0,  (HLOOKUP(AF$2,Earnings!$G$2:$BC$81,('Yearly Pension'!$A22)+1, FALSE)) - AF$1), ((Assumptions!$B$8)*'Yearly Pension'!AF$1))))</f>
        <v>0</v>
      </c>
      <c r="AG22" s="6">
        <f>(HLOOKUP('Yearly Pension'!AG$2,'Credited Service'!$G$1:$BC$80,$A22+1,FALSE)) * (IF($B22=500, (Assumptions!$B$7)*12, IF((HLOOKUP(AG$2,Earnings!$G$2:$BC$81,('Yearly Pension'!$A22)+1, FALSE)) &gt; AG$1, (Assumptions!$B$8)*(AG$1) + (Assumptions!$B$9)*MAX(0,  (HLOOKUP(AG$2,Earnings!$G$2:$BC$81,('Yearly Pension'!$A22)+1, FALSE)) - AG$1), ((Assumptions!$B$8)*'Yearly Pension'!AG$1))))</f>
        <v>0</v>
      </c>
      <c r="AH22" s="6">
        <f>(HLOOKUP('Yearly Pension'!AH$2,'Credited Service'!$G$1:$BC$80,$A22+1,FALSE)) * (IF($B22=500, (Assumptions!$B$7)*12, IF((HLOOKUP(AH$2,Earnings!$G$2:$BC$81,('Yearly Pension'!$A22)+1, FALSE)) &gt; AH$1, (Assumptions!$B$8)*(AH$1) + (Assumptions!$B$9)*MAX(0,  (HLOOKUP(AH$2,Earnings!$G$2:$BC$81,('Yearly Pension'!$A22)+1, FALSE)) - AH$1), ((Assumptions!$B$8)*'Yearly Pension'!AH$1))))</f>
        <v>540</v>
      </c>
      <c r="AI22" s="6">
        <f>(HLOOKUP('Yearly Pension'!AI$2,'Credited Service'!$G$1:$BC$80,$A22+1,FALSE)) * (IF($B22=500, (Assumptions!$B$7)*12, IF((HLOOKUP(AI$2,Earnings!$G$2:$BC$81,('Yearly Pension'!$A22)+1, FALSE)) &gt; AI$1, (Assumptions!$B$8)*(AI$1) + (Assumptions!$B$9)*MAX(0,  (HLOOKUP(AI$2,Earnings!$G$2:$BC$81,('Yearly Pension'!$A22)+1, FALSE)) - AI$1), ((Assumptions!$B$8)*'Yearly Pension'!AI$1))))</f>
        <v>720</v>
      </c>
      <c r="AJ22" s="6">
        <f>(HLOOKUP('Yearly Pension'!AJ$2,'Credited Service'!$G$1:$BC$80,$A22+1,FALSE)) * (IF($B22=500, (Assumptions!$B$7)*12, IF((HLOOKUP(AJ$2,Earnings!$G$2:$BC$81,('Yearly Pension'!$A22)+1, FALSE)) &gt; AJ$1, (Assumptions!$B$8)*(AJ$1) + (Assumptions!$B$9)*MAX(0,  (HLOOKUP(AJ$2,Earnings!$G$2:$BC$81,('Yearly Pension'!$A22)+1, FALSE)) - AJ$1), ((Assumptions!$B$8)*'Yearly Pension'!AJ$1))))</f>
        <v>720</v>
      </c>
      <c r="AK22" s="6">
        <f>(HLOOKUP('Yearly Pension'!AK$2,'Credited Service'!$G$1:$BC$80,$A22+1,FALSE)) * (IF($B22=500, (Assumptions!$B$7)*12, IF((HLOOKUP(AK$2,Earnings!$G$2:$BC$81,('Yearly Pension'!$A22)+1, FALSE)) &gt; AK$1, (Assumptions!$B$8)*(AK$1) + (Assumptions!$B$9)*MAX(0,  (HLOOKUP(AK$2,Earnings!$G$2:$BC$81,('Yearly Pension'!$A22)+1, FALSE)) - AK$1), ((Assumptions!$B$8)*'Yearly Pension'!AK$1))))</f>
        <v>720</v>
      </c>
      <c r="AL22" s="6">
        <f>(HLOOKUP('Yearly Pension'!AL$2,'Credited Service'!$G$1:$BC$80,$A22+1,FALSE)) * (IF($B22=500, (Assumptions!$B$7)*12, IF((HLOOKUP(AL$2,Earnings!$G$2:$BC$81,('Yearly Pension'!$A22)+1, FALSE)) &gt; AL$1, (Assumptions!$B$8)*(AL$1) + (Assumptions!$B$9)*MAX(0,  (HLOOKUP(AL$2,Earnings!$G$2:$BC$81,('Yearly Pension'!$A22)+1, FALSE)) - AL$1), ((Assumptions!$B$8)*'Yearly Pension'!AL$1))))</f>
        <v>720</v>
      </c>
      <c r="AM22" s="6">
        <f>(HLOOKUP('Yearly Pension'!AM$2,'Credited Service'!$G$1:$BC$80,$A22+1,FALSE)) * (IF($B22=500, (Assumptions!$B$7)*12, IF((HLOOKUP(AM$2,Earnings!$G$2:$BC$81,('Yearly Pension'!$A22)+1, FALSE)) &gt; AM$1, (Assumptions!$B$8)*(AM$1) + (Assumptions!$B$9)*MAX(0,  (HLOOKUP(AM$2,Earnings!$G$2:$BC$81,('Yearly Pension'!$A22)+1, FALSE)) - AM$1), ((Assumptions!$B$8)*'Yearly Pension'!AM$1))))</f>
        <v>720</v>
      </c>
      <c r="AN22" s="6">
        <f>(HLOOKUP('Yearly Pension'!AN$2,'Credited Service'!$G$1:$BC$80,$A22+1,FALSE)) * (IF($B22=500, (Assumptions!$B$7)*12, IF((HLOOKUP(AN$2,Earnings!$G$2:$BC$81,('Yearly Pension'!$A22)+1, FALSE)) &gt; AN$1, (Assumptions!$B$8)*(AN$1) + (Assumptions!$B$9)*MAX(0,  (HLOOKUP(AN$2,Earnings!$G$2:$BC$81,('Yearly Pension'!$A22)+1, FALSE)) - AN$1), ((Assumptions!$B$8)*'Yearly Pension'!AN$1))))</f>
        <v>720</v>
      </c>
      <c r="AO22" s="6">
        <f>(HLOOKUP('Yearly Pension'!AO$2,'Credited Service'!$G$1:$BC$80,$A22+1,FALSE)) * (IF($B22=500, (Assumptions!$B$7)*12, IF((HLOOKUP(AO$2,Earnings!$G$2:$BC$81,('Yearly Pension'!$A22)+1, FALSE)) &gt; AO$1, (Assumptions!$B$8)*(AO$1) + (Assumptions!$B$9)*MAX(0,  (HLOOKUP(AO$2,Earnings!$G$2:$BC$81,('Yearly Pension'!$A22)+1, FALSE)) - AO$1), ((Assumptions!$B$8)*'Yearly Pension'!AO$1))))</f>
        <v>720</v>
      </c>
      <c r="AP22" s="6">
        <f>(HLOOKUP('Yearly Pension'!AP$2,'Credited Service'!$G$1:$BC$80,$A22+1,FALSE)) * (IF($B22=500, (Assumptions!$B$7)*12, IF((HLOOKUP(AP$2,Earnings!$G$2:$BC$81,('Yearly Pension'!$A22)+1, FALSE)) &gt; AP$1, (Assumptions!$B$8)*(AP$1) + (Assumptions!$B$9)*MAX(0,  (HLOOKUP(AP$2,Earnings!$G$2:$BC$81,('Yearly Pension'!$A22)+1, FALSE)) - AP$1), ((Assumptions!$B$8)*'Yearly Pension'!AP$1))))</f>
        <v>720</v>
      </c>
      <c r="AQ22" s="6">
        <f>(HLOOKUP('Yearly Pension'!AQ$2,'Credited Service'!$G$1:$BC$80,$A22+1,FALSE)) * (IF($B22=500, (Assumptions!$B$7)*12, IF((HLOOKUP(AQ$2,Earnings!$G$2:$BC$81,('Yearly Pension'!$A22)+1, FALSE)) &gt; AQ$1, (Assumptions!$B$8)*(AQ$1) + (Assumptions!$B$9)*MAX(0,  (HLOOKUP(AQ$2,Earnings!$G$2:$BC$81,('Yearly Pension'!$A22)+1, FALSE)) - AQ$1), ((Assumptions!$B$8)*'Yearly Pension'!AQ$1))))</f>
        <v>720</v>
      </c>
      <c r="AR22" s="6">
        <f>(HLOOKUP('Yearly Pension'!AR$2,'Credited Service'!$G$1:$BC$80,$A22+1,FALSE)) * (IF($B22=500, (Assumptions!$B$7)*12, IF((HLOOKUP(AR$2,Earnings!$G$2:$BC$81,('Yearly Pension'!$A22)+1, FALSE)) &gt; AR$1, (Assumptions!$B$8)*(AR$1) + (Assumptions!$B$9)*MAX(0,  (HLOOKUP(AR$2,Earnings!$G$2:$BC$81,('Yearly Pension'!$A22)+1, FALSE)) - AR$1), ((Assumptions!$B$8)*'Yearly Pension'!AR$1))))</f>
        <v>720</v>
      </c>
      <c r="AS22" s="6">
        <f>(HLOOKUP('Yearly Pension'!AS$2,'Credited Service'!$G$1:$BC$80,$A22+1,FALSE)) * (IF($B22=500, (Assumptions!$B$7)*12, IF((HLOOKUP(AS$2,Earnings!$G$2:$BC$81,('Yearly Pension'!$A22)+1, FALSE)) &gt; AS$1, (Assumptions!$B$8)*(AS$1) + (Assumptions!$B$9)*MAX(0,  (HLOOKUP(AS$2,Earnings!$G$2:$BC$81,('Yearly Pension'!$A22)+1, FALSE)) - AS$1), ((Assumptions!$B$8)*'Yearly Pension'!AS$1))))</f>
        <v>720</v>
      </c>
      <c r="AT22" s="6">
        <f>(HLOOKUP('Yearly Pension'!AT$2,'Credited Service'!$G$1:$BC$80,$A22+1,FALSE)) * (IF($B22=500, (Assumptions!$B$7)*12, IF((HLOOKUP(AT$2,Earnings!$G$2:$BC$81,('Yearly Pension'!$A22)+1, FALSE)) &gt; AT$1, (Assumptions!$B$8)*(AT$1) + (Assumptions!$B$9)*MAX(0,  (HLOOKUP(AT$2,Earnings!$G$2:$BC$81,('Yearly Pension'!$A22)+1, FALSE)) - AT$1), ((Assumptions!$B$8)*'Yearly Pension'!AT$1))))</f>
        <v>720</v>
      </c>
      <c r="AU22" s="6">
        <f>(HLOOKUP('Yearly Pension'!AU$2,'Credited Service'!$G$1:$BC$80,$A22+1,FALSE)) * (IF($B22=500, (Assumptions!$B$7)*12, IF((HLOOKUP(AU$2,Earnings!$G$2:$BC$81,('Yearly Pension'!$A22)+1, FALSE)) &gt; AU$1, (Assumptions!$B$8)*(AU$1) + (Assumptions!$B$9)*MAX(0,  (HLOOKUP(AU$2,Earnings!$G$2:$BC$81,('Yearly Pension'!$A22)+1, FALSE)) - AU$1), ((Assumptions!$B$8)*'Yearly Pension'!AU$1))))</f>
        <v>720</v>
      </c>
      <c r="AV22" s="6">
        <f>(HLOOKUP('Yearly Pension'!AV$2,'Credited Service'!$G$1:$BC$80,$A22+1,FALSE)) * (IF($B22=500, (Assumptions!$B$7)*12, IF((HLOOKUP(AV$2,Earnings!$G$2:$BC$81,('Yearly Pension'!$A22)+1, FALSE)) &gt; AV$1, (Assumptions!$B$8)*(AV$1) + (Assumptions!$B$9)*MAX(0,  (HLOOKUP(AV$2,Earnings!$G$2:$BC$81,('Yearly Pension'!$A22)+1, FALSE)) - AV$1), ((Assumptions!$B$8)*'Yearly Pension'!AV$1))))</f>
        <v>720</v>
      </c>
      <c r="AW22" s="6">
        <f>(HLOOKUP('Yearly Pension'!AW$2,'Credited Service'!$G$1:$BC$80,$A22+1,FALSE)) * (IF($B22=500, (Assumptions!$B$7)*12, IF((HLOOKUP(AW$2,Earnings!$G$2:$BC$81,('Yearly Pension'!$A22)+1, FALSE)) &gt; AW$1, (Assumptions!$B$8)*(AW$1) + (Assumptions!$B$9)*MAX(0,  (HLOOKUP(AW$2,Earnings!$G$2:$BC$81,('Yearly Pension'!$A22)+1, FALSE)) - AW$1), ((Assumptions!$B$8)*'Yearly Pension'!AW$1))))</f>
        <v>720</v>
      </c>
      <c r="AX22" s="6">
        <f>(HLOOKUP('Yearly Pension'!AX$2,'Credited Service'!$G$1:$BC$80,$A22+1,FALSE)) * (IF($B22=500, (Assumptions!$B$7)*12, IF((HLOOKUP(AX$2,Earnings!$G$2:$BC$81,('Yearly Pension'!$A22)+1, FALSE)) &gt; AX$1, (Assumptions!$B$8)*(AX$1) + (Assumptions!$B$9)*MAX(0,  (HLOOKUP(AX$2,Earnings!$G$2:$BC$81,('Yearly Pension'!$A22)+1, FALSE)) - AX$1), ((Assumptions!$B$8)*'Yearly Pension'!AX$1))))</f>
        <v>720</v>
      </c>
      <c r="AY22" s="6">
        <f>(HLOOKUP('Yearly Pension'!AY$2,'Credited Service'!$G$1:$BC$80,$A22+1,FALSE)) * (IF($B22=500, (Assumptions!$B$7)*12, IF((HLOOKUP(AY$2,Earnings!$G$2:$BC$81,('Yearly Pension'!$A22)+1, FALSE)) &gt; AY$1, (Assumptions!$B$8)*(AY$1) + (Assumptions!$B$9)*MAX(0,  (HLOOKUP(AY$2,Earnings!$G$2:$BC$81,('Yearly Pension'!$A22)+1, FALSE)) - AY$1), ((Assumptions!$B$8)*'Yearly Pension'!AY$1))))</f>
        <v>720</v>
      </c>
      <c r="AZ22" s="6">
        <f>(HLOOKUP('Yearly Pension'!AZ$2,'Credited Service'!$G$1:$BC$80,$A22+1,FALSE)) * (IF($B22=500, (Assumptions!$B$7)*12, IF((HLOOKUP(AZ$2,Earnings!$G$2:$BC$81,('Yearly Pension'!$A22)+1, FALSE)) &gt; AZ$1, (Assumptions!$B$8)*(AZ$1) + (Assumptions!$B$9)*MAX(0,  (HLOOKUP(AZ$2,Earnings!$G$2:$BC$81,('Yearly Pension'!$A22)+1, FALSE)) - AZ$1), ((Assumptions!$B$8)*'Yearly Pension'!AZ$1))))</f>
        <v>720</v>
      </c>
      <c r="BA22" s="6">
        <f>(HLOOKUP('Yearly Pension'!BA$2,'Credited Service'!$G$1:$BC$80,$A22+1,FALSE)) * (IF($B22=500, (Assumptions!$B$7)*12, IF((HLOOKUP(BA$2,Earnings!$G$2:$BC$81,('Yearly Pension'!$A22)+1, FALSE)) &gt; BA$1, (Assumptions!$B$8)*(BA$1) + (Assumptions!$B$9)*MAX(0,  (HLOOKUP(BA$2,Earnings!$G$2:$BC$81,('Yearly Pension'!$A22)+1, FALSE)) - BA$1), ((Assumptions!$B$8)*'Yearly Pension'!BA$1))))</f>
        <v>720</v>
      </c>
      <c r="BB22" s="6">
        <f>(HLOOKUP('Yearly Pension'!BB$2,'Credited Service'!$G$1:$BC$80,$A22+1,FALSE)) * (IF($B22=500, (Assumptions!$B$7)*12, IF((HLOOKUP(BB$2,Earnings!$G$2:$BC$81,('Yearly Pension'!$A22)+1, FALSE)) &gt; BB$1, (Assumptions!$B$8)*(BB$1) + (Assumptions!$B$9)*MAX(0,  (HLOOKUP(BB$2,Earnings!$G$2:$BC$81,('Yearly Pension'!$A22)+1, FALSE)) - BB$1), ((Assumptions!$B$8)*'Yearly Pension'!BB$1))))</f>
        <v>720</v>
      </c>
      <c r="BC22" s="6">
        <f>(HLOOKUP('Yearly Pension'!BC$2,'Credited Service'!$G$1:$BC$80,$A22+1,FALSE)) * (IF($B22=500, (Assumptions!$B$7)*12, IF((HLOOKUP(BC$2,Earnings!$G$2:$BC$81,('Yearly Pension'!$A22)+1, FALSE)) &gt; BC$1, (Assumptions!$B$8)*(BC$1) + (Assumptions!$B$9)*MAX(0,  (HLOOKUP(BC$2,Earnings!$G$2:$BC$81,('Yearly Pension'!$A22)+1, FALSE)) - BC$1), ((Assumptions!$B$8)*'Yearly Pension'!BC$1))))</f>
        <v>720</v>
      </c>
    </row>
    <row r="23" spans="1:55" x14ac:dyDescent="0.25">
      <c r="A23" s="204">
        <v>21</v>
      </c>
      <c r="B23" s="1">
        <v>500</v>
      </c>
      <c r="C23" s="1">
        <v>766</v>
      </c>
      <c r="D23" s="3">
        <v>37991</v>
      </c>
      <c r="E23" s="3">
        <v>47270</v>
      </c>
      <c r="G23" s="6">
        <f>(HLOOKUP('Yearly Pension'!G$2,'Credited Service'!$G$1:$BC$80,$A23+1,FALSE)) * (IF($B23=500, (Assumptions!$B$7)*12, IF((HLOOKUP(G$2,Earnings!$G$2:$BC$81,('Yearly Pension'!$A23)+1, FALSE)) &gt; G$1, (Assumptions!$B$8)*(G$1) + (Assumptions!$B$9)*MAX(0,  (HLOOKUP(G$2,Earnings!$G$2:$BC$81,('Yearly Pension'!$A23)+1, FALSE)) - G$1), ((Assumptions!$B$8)*'Yearly Pension'!G$1))))</f>
        <v>0</v>
      </c>
      <c r="H23" s="6">
        <f>(HLOOKUP('Yearly Pension'!H$2,'Credited Service'!$G$1:$BC$80,$A23+1,FALSE)) * (IF($B23=500, (Assumptions!$B$7)*12, IF((HLOOKUP(H$2,Earnings!$G$2:$BC$81,('Yearly Pension'!$A23)+1, FALSE)) &gt; H$1, (Assumptions!$B$8)*(H$1) + (Assumptions!$B$9)*MAX(0,  (HLOOKUP(H$2,Earnings!$G$2:$BC$81,('Yearly Pension'!$A23)+1, FALSE)) - H$1), ((Assumptions!$B$8)*'Yearly Pension'!H$1))))</f>
        <v>0</v>
      </c>
      <c r="I23" s="6">
        <f>(HLOOKUP('Yearly Pension'!I$2,'Credited Service'!$G$1:$BC$80,$A23+1,FALSE)) * (IF($B23=500, (Assumptions!$B$7)*12, IF((HLOOKUP(I$2,Earnings!$G$2:$BC$81,('Yearly Pension'!$A23)+1, FALSE)) &gt; I$1, (Assumptions!$B$8)*(I$1) + (Assumptions!$B$9)*MAX(0,  (HLOOKUP(I$2,Earnings!$G$2:$BC$81,('Yearly Pension'!$A23)+1, FALSE)) - I$1), ((Assumptions!$B$8)*'Yearly Pension'!I$1))))</f>
        <v>0</v>
      </c>
      <c r="J23" s="6">
        <f>(HLOOKUP('Yearly Pension'!J$2,'Credited Service'!$G$1:$BC$80,$A23+1,FALSE)) * (IF($B23=500, (Assumptions!$B$7)*12, IF((HLOOKUP(J$2,Earnings!$G$2:$BC$81,('Yearly Pension'!$A23)+1, FALSE)) &gt; J$1, (Assumptions!$B$8)*(J$1) + (Assumptions!$B$9)*MAX(0,  (HLOOKUP(J$2,Earnings!$G$2:$BC$81,('Yearly Pension'!$A23)+1, FALSE)) - J$1), ((Assumptions!$B$8)*'Yearly Pension'!J$1))))</f>
        <v>0</v>
      </c>
      <c r="K23" s="6">
        <f>(HLOOKUP('Yearly Pension'!K$2,'Credited Service'!$G$1:$BC$80,$A23+1,FALSE)) * (IF($B23=500, (Assumptions!$B$7)*12, IF((HLOOKUP(K$2,Earnings!$G$2:$BC$81,('Yearly Pension'!$A23)+1, FALSE)) &gt; K$1, (Assumptions!$B$8)*(K$1) + (Assumptions!$B$9)*MAX(0,  (HLOOKUP(K$2,Earnings!$G$2:$BC$81,('Yearly Pension'!$A23)+1, FALSE)) - K$1), ((Assumptions!$B$8)*'Yearly Pension'!K$1))))</f>
        <v>0</v>
      </c>
      <c r="L23" s="6">
        <f>(HLOOKUP('Yearly Pension'!L$2,'Credited Service'!$G$1:$BC$80,$A23+1,FALSE)) * (IF($B23=500, (Assumptions!$B$7)*12, IF((HLOOKUP(L$2,Earnings!$G$2:$BC$81,('Yearly Pension'!$A23)+1, FALSE)) &gt; L$1, (Assumptions!$B$8)*(L$1) + (Assumptions!$B$9)*MAX(0,  (HLOOKUP(L$2,Earnings!$G$2:$BC$81,('Yearly Pension'!$A23)+1, FALSE)) - L$1), ((Assumptions!$B$8)*'Yearly Pension'!L$1))))</f>
        <v>0</v>
      </c>
      <c r="M23" s="6">
        <f>(HLOOKUP('Yearly Pension'!M$2,'Credited Service'!$G$1:$BC$80,$A23+1,FALSE)) * (IF($B23=500, (Assumptions!$B$7)*12, IF((HLOOKUP(M$2,Earnings!$G$2:$BC$81,('Yearly Pension'!$A23)+1, FALSE)) &gt; M$1, (Assumptions!$B$8)*(M$1) + (Assumptions!$B$9)*MAX(0,  (HLOOKUP(M$2,Earnings!$G$2:$BC$81,('Yearly Pension'!$A23)+1, FALSE)) - M$1), ((Assumptions!$B$8)*'Yearly Pension'!M$1))))</f>
        <v>0</v>
      </c>
      <c r="N23" s="6">
        <f>(HLOOKUP('Yearly Pension'!N$2,'Credited Service'!$G$1:$BC$80,$A23+1,FALSE)) * (IF($B23=500, (Assumptions!$B$7)*12, IF((HLOOKUP(N$2,Earnings!$G$2:$BC$81,('Yearly Pension'!$A23)+1, FALSE)) &gt; N$1, (Assumptions!$B$8)*(N$1) + (Assumptions!$B$9)*MAX(0,  (HLOOKUP(N$2,Earnings!$G$2:$BC$81,('Yearly Pension'!$A23)+1, FALSE)) - N$1), ((Assumptions!$B$8)*'Yearly Pension'!N$1))))</f>
        <v>0</v>
      </c>
      <c r="O23" s="6">
        <f>(HLOOKUP('Yearly Pension'!O$2,'Credited Service'!$G$1:$BC$80,$A23+1,FALSE)) * (IF($B23=500, (Assumptions!$B$7)*12, IF((HLOOKUP(O$2,Earnings!$G$2:$BC$81,('Yearly Pension'!$A23)+1, FALSE)) &gt; O$1, (Assumptions!$B$8)*(O$1) + (Assumptions!$B$9)*MAX(0,  (HLOOKUP(O$2,Earnings!$G$2:$BC$81,('Yearly Pension'!$A23)+1, FALSE)) - O$1), ((Assumptions!$B$8)*'Yearly Pension'!O$1))))</f>
        <v>0</v>
      </c>
      <c r="P23" s="6">
        <f>(HLOOKUP('Yearly Pension'!P$2,'Credited Service'!$G$1:$BC$80,$A23+1,FALSE)) * (IF($B23=500, (Assumptions!$B$7)*12, IF((HLOOKUP(P$2,Earnings!$G$2:$BC$81,('Yearly Pension'!$A23)+1, FALSE)) &gt; P$1, (Assumptions!$B$8)*(P$1) + (Assumptions!$B$9)*MAX(0,  (HLOOKUP(P$2,Earnings!$G$2:$BC$81,('Yearly Pension'!$A23)+1, FALSE)) - P$1), ((Assumptions!$B$8)*'Yearly Pension'!P$1))))</f>
        <v>0</v>
      </c>
      <c r="Q23" s="6">
        <f>(HLOOKUP('Yearly Pension'!Q$2,'Credited Service'!$G$1:$BC$80,$A23+1,FALSE)) * (IF($B23=500, (Assumptions!$B$7)*12, IF((HLOOKUP(Q$2,Earnings!$G$2:$BC$81,('Yearly Pension'!$A23)+1, FALSE)) &gt; Q$1, (Assumptions!$B$8)*(Q$1) + (Assumptions!$B$9)*MAX(0,  (HLOOKUP(Q$2,Earnings!$G$2:$BC$81,('Yearly Pension'!$A23)+1, FALSE)) - Q$1), ((Assumptions!$B$8)*'Yearly Pension'!Q$1))))</f>
        <v>0</v>
      </c>
      <c r="R23" s="6">
        <f>(HLOOKUP('Yearly Pension'!R$2,'Credited Service'!$G$1:$BC$80,$A23+1,FALSE)) * (IF($B23=500, (Assumptions!$B$7)*12, IF((HLOOKUP(R$2,Earnings!$G$2:$BC$81,('Yearly Pension'!$A23)+1, FALSE)) &gt; R$1, (Assumptions!$B$8)*(R$1) + (Assumptions!$B$9)*MAX(0,  (HLOOKUP(R$2,Earnings!$G$2:$BC$81,('Yearly Pension'!$A23)+1, FALSE)) - R$1), ((Assumptions!$B$8)*'Yearly Pension'!R$1))))</f>
        <v>0</v>
      </c>
      <c r="S23" s="6">
        <f>(HLOOKUP('Yearly Pension'!S$2,'Credited Service'!$G$1:$BC$80,$A23+1,FALSE)) * (IF($B23=500, (Assumptions!$B$7)*12, IF((HLOOKUP(S$2,Earnings!$G$2:$BC$81,('Yearly Pension'!$A23)+1, FALSE)) &gt; S$1, (Assumptions!$B$8)*(S$1) + (Assumptions!$B$9)*MAX(0,  (HLOOKUP(S$2,Earnings!$G$2:$BC$81,('Yearly Pension'!$A23)+1, FALSE)) - S$1), ((Assumptions!$B$8)*'Yearly Pension'!S$1))))</f>
        <v>0</v>
      </c>
      <c r="T23" s="6">
        <f>(HLOOKUP('Yearly Pension'!T$2,'Credited Service'!$G$1:$BC$80,$A23+1,FALSE)) * (IF($B23=500, (Assumptions!$B$7)*12, IF((HLOOKUP(T$2,Earnings!$G$2:$BC$81,('Yearly Pension'!$A23)+1, FALSE)) &gt; T$1, (Assumptions!$B$8)*(T$1) + (Assumptions!$B$9)*MAX(0,  (HLOOKUP(T$2,Earnings!$G$2:$BC$81,('Yearly Pension'!$A23)+1, FALSE)) - T$1), ((Assumptions!$B$8)*'Yearly Pension'!T$1))))</f>
        <v>0</v>
      </c>
      <c r="U23" s="6">
        <f>(HLOOKUP('Yearly Pension'!U$2,'Credited Service'!$G$1:$BC$80,$A23+1,FALSE)) * (IF($B23=500, (Assumptions!$B$7)*12, IF((HLOOKUP(U$2,Earnings!$G$2:$BC$81,('Yearly Pension'!$A23)+1, FALSE)) &gt; U$1, (Assumptions!$B$8)*(U$1) + (Assumptions!$B$9)*MAX(0,  (HLOOKUP(U$2,Earnings!$G$2:$BC$81,('Yearly Pension'!$A23)+1, FALSE)) - U$1), ((Assumptions!$B$8)*'Yearly Pension'!U$1))))</f>
        <v>0</v>
      </c>
      <c r="V23" s="6">
        <f>(HLOOKUP('Yearly Pension'!V$2,'Credited Service'!$G$1:$BC$80,$A23+1,FALSE)) * (IF($B23=500, (Assumptions!$B$7)*12, IF((HLOOKUP(V$2,Earnings!$G$2:$BC$81,('Yearly Pension'!$A23)+1, FALSE)) &gt; V$1, (Assumptions!$B$8)*(V$1) + (Assumptions!$B$9)*MAX(0,  (HLOOKUP(V$2,Earnings!$G$2:$BC$81,('Yearly Pension'!$A23)+1, FALSE)) - V$1), ((Assumptions!$B$8)*'Yearly Pension'!V$1))))</f>
        <v>0</v>
      </c>
      <c r="W23" s="6">
        <f>(HLOOKUP('Yearly Pension'!W$2,'Credited Service'!$G$1:$BC$80,$A23+1,FALSE)) * (IF($B23=500, (Assumptions!$B$7)*12, IF((HLOOKUP(W$2,Earnings!$G$2:$BC$81,('Yearly Pension'!$A23)+1, FALSE)) &gt; W$1, (Assumptions!$B$8)*(W$1) + (Assumptions!$B$9)*MAX(0,  (HLOOKUP(W$2,Earnings!$G$2:$BC$81,('Yearly Pension'!$A23)+1, FALSE)) - W$1), ((Assumptions!$B$8)*'Yearly Pension'!W$1))))</f>
        <v>0</v>
      </c>
      <c r="X23" s="6">
        <f>(HLOOKUP('Yearly Pension'!X$2,'Credited Service'!$G$1:$BC$80,$A23+1,FALSE)) * (IF($B23=500, (Assumptions!$B$7)*12, IF((HLOOKUP(X$2,Earnings!$G$2:$BC$81,('Yearly Pension'!$A23)+1, FALSE)) &gt; X$1, (Assumptions!$B$8)*(X$1) + (Assumptions!$B$9)*MAX(0,  (HLOOKUP(X$2,Earnings!$G$2:$BC$81,('Yearly Pension'!$A23)+1, FALSE)) - X$1), ((Assumptions!$B$8)*'Yearly Pension'!X$1))))</f>
        <v>0</v>
      </c>
      <c r="Y23" s="6">
        <f>(HLOOKUP('Yearly Pension'!Y$2,'Credited Service'!$G$1:$BC$80,$A23+1,FALSE)) * (IF($B23=500, (Assumptions!$B$7)*12, IF((HLOOKUP(Y$2,Earnings!$G$2:$BC$81,('Yearly Pension'!$A23)+1, FALSE)) &gt; Y$1, (Assumptions!$B$8)*(Y$1) + (Assumptions!$B$9)*MAX(0,  (HLOOKUP(Y$2,Earnings!$G$2:$BC$81,('Yearly Pension'!$A23)+1, FALSE)) - Y$1), ((Assumptions!$B$8)*'Yearly Pension'!Y$1))))</f>
        <v>0</v>
      </c>
      <c r="Z23" s="6">
        <f>(HLOOKUP('Yearly Pension'!Z$2,'Credited Service'!$G$1:$BC$80,$A23+1,FALSE)) * (IF($B23=500, (Assumptions!$B$7)*12, IF((HLOOKUP(Z$2,Earnings!$G$2:$BC$81,('Yearly Pension'!$A23)+1, FALSE)) &gt; Z$1, (Assumptions!$B$8)*(Z$1) + (Assumptions!$B$9)*MAX(0,  (HLOOKUP(Z$2,Earnings!$G$2:$BC$81,('Yearly Pension'!$A23)+1, FALSE)) - Z$1), ((Assumptions!$B$8)*'Yearly Pension'!Z$1))))</f>
        <v>0</v>
      </c>
      <c r="AA23" s="6">
        <f>(HLOOKUP('Yearly Pension'!AA$2,'Credited Service'!$G$1:$BC$80,$A23+1,FALSE)) * (IF($B23=500, (Assumptions!$B$7)*12, IF((HLOOKUP(AA$2,Earnings!$G$2:$BC$81,('Yearly Pension'!$A23)+1, FALSE)) &gt; AA$1, (Assumptions!$B$8)*(AA$1) + (Assumptions!$B$9)*MAX(0,  (HLOOKUP(AA$2,Earnings!$G$2:$BC$81,('Yearly Pension'!$A23)+1, FALSE)) - AA$1), ((Assumptions!$B$8)*'Yearly Pension'!AA$1))))</f>
        <v>0</v>
      </c>
      <c r="AB23" s="6">
        <f>(HLOOKUP('Yearly Pension'!AB$2,'Credited Service'!$G$1:$BC$80,$A23+1,FALSE)) * (IF($B23=500, (Assumptions!$B$7)*12, IF((HLOOKUP(AB$2,Earnings!$G$2:$BC$81,('Yearly Pension'!$A23)+1, FALSE)) &gt; AB$1, (Assumptions!$B$8)*(AB$1) + (Assumptions!$B$9)*MAX(0,  (HLOOKUP(AB$2,Earnings!$G$2:$BC$81,('Yearly Pension'!$A23)+1, FALSE)) - AB$1), ((Assumptions!$B$8)*'Yearly Pension'!AB$1))))</f>
        <v>0</v>
      </c>
      <c r="AC23" s="6">
        <f>(HLOOKUP('Yearly Pension'!AC$2,'Credited Service'!$G$1:$BC$80,$A23+1,FALSE)) * (IF($B23=500, (Assumptions!$B$7)*12, IF((HLOOKUP(AC$2,Earnings!$G$2:$BC$81,('Yearly Pension'!$A23)+1, FALSE)) &gt; AC$1, (Assumptions!$B$8)*(AC$1) + (Assumptions!$B$9)*MAX(0,  (HLOOKUP(AC$2,Earnings!$G$2:$BC$81,('Yearly Pension'!$A23)+1, FALSE)) - AC$1), ((Assumptions!$B$8)*'Yearly Pension'!AC$1))))</f>
        <v>0</v>
      </c>
      <c r="AD23" s="6">
        <f>(HLOOKUP('Yearly Pension'!AD$2,'Credited Service'!$G$1:$BC$80,$A23+1,FALSE)) * (IF($B23=500, (Assumptions!$B$7)*12, IF((HLOOKUP(AD$2,Earnings!$G$2:$BC$81,('Yearly Pension'!$A23)+1, FALSE)) &gt; AD$1, (Assumptions!$B$8)*(AD$1) + (Assumptions!$B$9)*MAX(0,  (HLOOKUP(AD$2,Earnings!$G$2:$BC$81,('Yearly Pension'!$A23)+1, FALSE)) - AD$1), ((Assumptions!$B$8)*'Yearly Pension'!AD$1))))</f>
        <v>0</v>
      </c>
      <c r="AE23" s="6">
        <f>(HLOOKUP('Yearly Pension'!AE$2,'Credited Service'!$G$1:$BC$80,$A23+1,FALSE)) * (IF($B23=500, (Assumptions!$B$7)*12, IF((HLOOKUP(AE$2,Earnings!$G$2:$BC$81,('Yearly Pension'!$A23)+1, FALSE)) &gt; AE$1, (Assumptions!$B$8)*(AE$1) + (Assumptions!$B$9)*MAX(0,  (HLOOKUP(AE$2,Earnings!$G$2:$BC$81,('Yearly Pension'!$A23)+1, FALSE)) - AE$1), ((Assumptions!$B$8)*'Yearly Pension'!AE$1))))</f>
        <v>0</v>
      </c>
      <c r="AF23" s="6">
        <f>(HLOOKUP('Yearly Pension'!AF$2,'Credited Service'!$G$1:$BC$80,$A23+1,FALSE)) * (IF($B23=500, (Assumptions!$B$7)*12, IF((HLOOKUP(AF$2,Earnings!$G$2:$BC$81,('Yearly Pension'!$A23)+1, FALSE)) &gt; AF$1, (Assumptions!$B$8)*(AF$1) + (Assumptions!$B$9)*MAX(0,  (HLOOKUP(AF$2,Earnings!$G$2:$BC$81,('Yearly Pension'!$A23)+1, FALSE)) - AF$1), ((Assumptions!$B$8)*'Yearly Pension'!AF$1))))</f>
        <v>0</v>
      </c>
      <c r="AG23" s="6">
        <f>(HLOOKUP('Yearly Pension'!AG$2,'Credited Service'!$G$1:$BC$80,$A23+1,FALSE)) * (IF($B23=500, (Assumptions!$B$7)*12, IF((HLOOKUP(AG$2,Earnings!$G$2:$BC$81,('Yearly Pension'!$A23)+1, FALSE)) &gt; AG$1, (Assumptions!$B$8)*(AG$1) + (Assumptions!$B$9)*MAX(0,  (HLOOKUP(AG$2,Earnings!$G$2:$BC$81,('Yearly Pension'!$A23)+1, FALSE)) - AG$1), ((Assumptions!$B$8)*'Yearly Pension'!AG$1))))</f>
        <v>0</v>
      </c>
      <c r="AH23" s="6">
        <f>(HLOOKUP('Yearly Pension'!AH$2,'Credited Service'!$G$1:$BC$80,$A23+1,FALSE)) * (IF($B23=500, (Assumptions!$B$7)*12, IF((HLOOKUP(AH$2,Earnings!$G$2:$BC$81,('Yearly Pension'!$A23)+1, FALSE)) &gt; AH$1, (Assumptions!$B$8)*(AH$1) + (Assumptions!$B$9)*MAX(0,  (HLOOKUP(AH$2,Earnings!$G$2:$BC$81,('Yearly Pension'!$A23)+1, FALSE)) - AH$1), ((Assumptions!$B$8)*'Yearly Pension'!AH$1))))</f>
        <v>660</v>
      </c>
      <c r="AI23" s="6">
        <f>(HLOOKUP('Yearly Pension'!AI$2,'Credited Service'!$G$1:$BC$80,$A23+1,FALSE)) * (IF($B23=500, (Assumptions!$B$7)*12, IF((HLOOKUP(AI$2,Earnings!$G$2:$BC$81,('Yearly Pension'!$A23)+1, FALSE)) &gt; AI$1, (Assumptions!$B$8)*(AI$1) + (Assumptions!$B$9)*MAX(0,  (HLOOKUP(AI$2,Earnings!$G$2:$BC$81,('Yearly Pension'!$A23)+1, FALSE)) - AI$1), ((Assumptions!$B$8)*'Yearly Pension'!AI$1))))</f>
        <v>720</v>
      </c>
      <c r="AJ23" s="6">
        <f>(HLOOKUP('Yearly Pension'!AJ$2,'Credited Service'!$G$1:$BC$80,$A23+1,FALSE)) * (IF($B23=500, (Assumptions!$B$7)*12, IF((HLOOKUP(AJ$2,Earnings!$G$2:$BC$81,('Yearly Pension'!$A23)+1, FALSE)) &gt; AJ$1, (Assumptions!$B$8)*(AJ$1) + (Assumptions!$B$9)*MAX(0,  (HLOOKUP(AJ$2,Earnings!$G$2:$BC$81,('Yearly Pension'!$A23)+1, FALSE)) - AJ$1), ((Assumptions!$B$8)*'Yearly Pension'!AJ$1))))</f>
        <v>720</v>
      </c>
      <c r="AK23" s="6">
        <f>(HLOOKUP('Yearly Pension'!AK$2,'Credited Service'!$G$1:$BC$80,$A23+1,FALSE)) * (IF($B23=500, (Assumptions!$B$7)*12, IF((HLOOKUP(AK$2,Earnings!$G$2:$BC$81,('Yearly Pension'!$A23)+1, FALSE)) &gt; AK$1, (Assumptions!$B$8)*(AK$1) + (Assumptions!$B$9)*MAX(0,  (HLOOKUP(AK$2,Earnings!$G$2:$BC$81,('Yearly Pension'!$A23)+1, FALSE)) - AK$1), ((Assumptions!$B$8)*'Yearly Pension'!AK$1))))</f>
        <v>720</v>
      </c>
      <c r="AL23" s="6">
        <f>(HLOOKUP('Yearly Pension'!AL$2,'Credited Service'!$G$1:$BC$80,$A23+1,FALSE)) * (IF($B23=500, (Assumptions!$B$7)*12, IF((HLOOKUP(AL$2,Earnings!$G$2:$BC$81,('Yearly Pension'!$A23)+1, FALSE)) &gt; AL$1, (Assumptions!$B$8)*(AL$1) + (Assumptions!$B$9)*MAX(0,  (HLOOKUP(AL$2,Earnings!$G$2:$BC$81,('Yearly Pension'!$A23)+1, FALSE)) - AL$1), ((Assumptions!$B$8)*'Yearly Pension'!AL$1))))</f>
        <v>720</v>
      </c>
      <c r="AM23" s="6">
        <f>(HLOOKUP('Yearly Pension'!AM$2,'Credited Service'!$G$1:$BC$80,$A23+1,FALSE)) * (IF($B23=500, (Assumptions!$B$7)*12, IF((HLOOKUP(AM$2,Earnings!$G$2:$BC$81,('Yearly Pension'!$A23)+1, FALSE)) &gt; AM$1, (Assumptions!$B$8)*(AM$1) + (Assumptions!$B$9)*MAX(0,  (HLOOKUP(AM$2,Earnings!$G$2:$BC$81,('Yearly Pension'!$A23)+1, FALSE)) - AM$1), ((Assumptions!$B$8)*'Yearly Pension'!AM$1))))</f>
        <v>720</v>
      </c>
      <c r="AN23" s="6">
        <f>(HLOOKUP('Yearly Pension'!AN$2,'Credited Service'!$G$1:$BC$80,$A23+1,FALSE)) * (IF($B23=500, (Assumptions!$B$7)*12, IF((HLOOKUP(AN$2,Earnings!$G$2:$BC$81,('Yearly Pension'!$A23)+1, FALSE)) &gt; AN$1, (Assumptions!$B$8)*(AN$1) + (Assumptions!$B$9)*MAX(0,  (HLOOKUP(AN$2,Earnings!$G$2:$BC$81,('Yearly Pension'!$A23)+1, FALSE)) - AN$1), ((Assumptions!$B$8)*'Yearly Pension'!AN$1))))</f>
        <v>720</v>
      </c>
      <c r="AO23" s="6">
        <f>(HLOOKUP('Yearly Pension'!AO$2,'Credited Service'!$G$1:$BC$80,$A23+1,FALSE)) * (IF($B23=500, (Assumptions!$B$7)*12, IF((HLOOKUP(AO$2,Earnings!$G$2:$BC$81,('Yearly Pension'!$A23)+1, FALSE)) &gt; AO$1, (Assumptions!$B$8)*(AO$1) + (Assumptions!$B$9)*MAX(0,  (HLOOKUP(AO$2,Earnings!$G$2:$BC$81,('Yearly Pension'!$A23)+1, FALSE)) - AO$1), ((Assumptions!$B$8)*'Yearly Pension'!AO$1))))</f>
        <v>720</v>
      </c>
      <c r="AP23" s="6">
        <f>(HLOOKUP('Yearly Pension'!AP$2,'Credited Service'!$G$1:$BC$80,$A23+1,FALSE)) * (IF($B23=500, (Assumptions!$B$7)*12, IF((HLOOKUP(AP$2,Earnings!$G$2:$BC$81,('Yearly Pension'!$A23)+1, FALSE)) &gt; AP$1, (Assumptions!$B$8)*(AP$1) + (Assumptions!$B$9)*MAX(0,  (HLOOKUP(AP$2,Earnings!$G$2:$BC$81,('Yearly Pension'!$A23)+1, FALSE)) - AP$1), ((Assumptions!$B$8)*'Yearly Pension'!AP$1))))</f>
        <v>720</v>
      </c>
      <c r="AQ23" s="6">
        <f>(HLOOKUP('Yearly Pension'!AQ$2,'Credited Service'!$G$1:$BC$80,$A23+1,FALSE)) * (IF($B23=500, (Assumptions!$B$7)*12, IF((HLOOKUP(AQ$2,Earnings!$G$2:$BC$81,('Yearly Pension'!$A23)+1, FALSE)) &gt; AQ$1, (Assumptions!$B$8)*(AQ$1) + (Assumptions!$B$9)*MAX(0,  (HLOOKUP(AQ$2,Earnings!$G$2:$BC$81,('Yearly Pension'!$A23)+1, FALSE)) - AQ$1), ((Assumptions!$B$8)*'Yearly Pension'!AQ$1))))</f>
        <v>720</v>
      </c>
      <c r="AR23" s="6">
        <f>(HLOOKUP('Yearly Pension'!AR$2,'Credited Service'!$G$1:$BC$80,$A23+1,FALSE)) * (IF($B23=500, (Assumptions!$B$7)*12, IF((HLOOKUP(AR$2,Earnings!$G$2:$BC$81,('Yearly Pension'!$A23)+1, FALSE)) &gt; AR$1, (Assumptions!$B$8)*(AR$1) + (Assumptions!$B$9)*MAX(0,  (HLOOKUP(AR$2,Earnings!$G$2:$BC$81,('Yearly Pension'!$A23)+1, FALSE)) - AR$1), ((Assumptions!$B$8)*'Yearly Pension'!AR$1))))</f>
        <v>720</v>
      </c>
      <c r="AS23" s="6">
        <f>(HLOOKUP('Yearly Pension'!AS$2,'Credited Service'!$G$1:$BC$80,$A23+1,FALSE)) * (IF($B23=500, (Assumptions!$B$7)*12, IF((HLOOKUP(AS$2,Earnings!$G$2:$BC$81,('Yearly Pension'!$A23)+1, FALSE)) &gt; AS$1, (Assumptions!$B$8)*(AS$1) + (Assumptions!$B$9)*MAX(0,  (HLOOKUP(AS$2,Earnings!$G$2:$BC$81,('Yearly Pension'!$A23)+1, FALSE)) - AS$1), ((Assumptions!$B$8)*'Yearly Pension'!AS$1))))</f>
        <v>720</v>
      </c>
      <c r="AT23" s="6">
        <f>(HLOOKUP('Yearly Pension'!AT$2,'Credited Service'!$G$1:$BC$80,$A23+1,FALSE)) * (IF($B23=500, (Assumptions!$B$7)*12, IF((HLOOKUP(AT$2,Earnings!$G$2:$BC$81,('Yearly Pension'!$A23)+1, FALSE)) &gt; AT$1, (Assumptions!$B$8)*(AT$1) + (Assumptions!$B$9)*MAX(0,  (HLOOKUP(AT$2,Earnings!$G$2:$BC$81,('Yearly Pension'!$A23)+1, FALSE)) - AT$1), ((Assumptions!$B$8)*'Yearly Pension'!AT$1))))</f>
        <v>720</v>
      </c>
      <c r="AU23" s="6">
        <f>(HLOOKUP('Yearly Pension'!AU$2,'Credited Service'!$G$1:$BC$80,$A23+1,FALSE)) * (IF($B23=500, (Assumptions!$B$7)*12, IF((HLOOKUP(AU$2,Earnings!$G$2:$BC$81,('Yearly Pension'!$A23)+1, FALSE)) &gt; AU$1, (Assumptions!$B$8)*(AU$1) + (Assumptions!$B$9)*MAX(0,  (HLOOKUP(AU$2,Earnings!$G$2:$BC$81,('Yearly Pension'!$A23)+1, FALSE)) - AU$1), ((Assumptions!$B$8)*'Yearly Pension'!AU$1))))</f>
        <v>720</v>
      </c>
      <c r="AV23" s="6">
        <f>(HLOOKUP('Yearly Pension'!AV$2,'Credited Service'!$G$1:$BC$80,$A23+1,FALSE)) * (IF($B23=500, (Assumptions!$B$7)*12, IF((HLOOKUP(AV$2,Earnings!$G$2:$BC$81,('Yearly Pension'!$A23)+1, FALSE)) &gt; AV$1, (Assumptions!$B$8)*(AV$1) + (Assumptions!$B$9)*MAX(0,  (HLOOKUP(AV$2,Earnings!$G$2:$BC$81,('Yearly Pension'!$A23)+1, FALSE)) - AV$1), ((Assumptions!$B$8)*'Yearly Pension'!AV$1))))</f>
        <v>720</v>
      </c>
      <c r="AW23" s="6">
        <f>(HLOOKUP('Yearly Pension'!AW$2,'Credited Service'!$G$1:$BC$80,$A23+1,FALSE)) * (IF($B23=500, (Assumptions!$B$7)*12, IF((HLOOKUP(AW$2,Earnings!$G$2:$BC$81,('Yearly Pension'!$A23)+1, FALSE)) &gt; AW$1, (Assumptions!$B$8)*(AW$1) + (Assumptions!$B$9)*MAX(0,  (HLOOKUP(AW$2,Earnings!$G$2:$BC$81,('Yearly Pension'!$A23)+1, FALSE)) - AW$1), ((Assumptions!$B$8)*'Yearly Pension'!AW$1))))</f>
        <v>720</v>
      </c>
      <c r="AX23" s="6">
        <f>(HLOOKUP('Yearly Pension'!AX$2,'Credited Service'!$G$1:$BC$80,$A23+1,FALSE)) * (IF($B23=500, (Assumptions!$B$7)*12, IF((HLOOKUP(AX$2,Earnings!$G$2:$BC$81,('Yearly Pension'!$A23)+1, FALSE)) &gt; AX$1, (Assumptions!$B$8)*(AX$1) + (Assumptions!$B$9)*MAX(0,  (HLOOKUP(AX$2,Earnings!$G$2:$BC$81,('Yearly Pension'!$A23)+1, FALSE)) - AX$1), ((Assumptions!$B$8)*'Yearly Pension'!AX$1))))</f>
        <v>720</v>
      </c>
      <c r="AY23" s="6">
        <f>(HLOOKUP('Yearly Pension'!AY$2,'Credited Service'!$G$1:$BC$80,$A23+1,FALSE)) * (IF($B23=500, (Assumptions!$B$7)*12, IF((HLOOKUP(AY$2,Earnings!$G$2:$BC$81,('Yearly Pension'!$A23)+1, FALSE)) &gt; AY$1, (Assumptions!$B$8)*(AY$1) + (Assumptions!$B$9)*MAX(0,  (HLOOKUP(AY$2,Earnings!$G$2:$BC$81,('Yearly Pension'!$A23)+1, FALSE)) - AY$1), ((Assumptions!$B$8)*'Yearly Pension'!AY$1))))</f>
        <v>720</v>
      </c>
      <c r="AZ23" s="6">
        <f>(HLOOKUP('Yearly Pension'!AZ$2,'Credited Service'!$G$1:$BC$80,$A23+1,FALSE)) * (IF($B23=500, (Assumptions!$B$7)*12, IF((HLOOKUP(AZ$2,Earnings!$G$2:$BC$81,('Yearly Pension'!$A23)+1, FALSE)) &gt; AZ$1, (Assumptions!$B$8)*(AZ$1) + (Assumptions!$B$9)*MAX(0,  (HLOOKUP(AZ$2,Earnings!$G$2:$BC$81,('Yearly Pension'!$A23)+1, FALSE)) - AZ$1), ((Assumptions!$B$8)*'Yearly Pension'!AZ$1))))</f>
        <v>720</v>
      </c>
      <c r="BA23" s="6">
        <f>(HLOOKUP('Yearly Pension'!BA$2,'Credited Service'!$G$1:$BC$80,$A23+1,FALSE)) * (IF($B23=500, (Assumptions!$B$7)*12, IF((HLOOKUP(BA$2,Earnings!$G$2:$BC$81,('Yearly Pension'!$A23)+1, FALSE)) &gt; BA$1, (Assumptions!$B$8)*(BA$1) + (Assumptions!$B$9)*MAX(0,  (HLOOKUP(BA$2,Earnings!$G$2:$BC$81,('Yearly Pension'!$A23)+1, FALSE)) - BA$1), ((Assumptions!$B$8)*'Yearly Pension'!BA$1))))</f>
        <v>720</v>
      </c>
      <c r="BB23" s="6">
        <f>(HLOOKUP('Yearly Pension'!BB$2,'Credited Service'!$G$1:$BC$80,$A23+1,FALSE)) * (IF($B23=500, (Assumptions!$B$7)*12, IF((HLOOKUP(BB$2,Earnings!$G$2:$BC$81,('Yearly Pension'!$A23)+1, FALSE)) &gt; BB$1, (Assumptions!$B$8)*(BB$1) + (Assumptions!$B$9)*MAX(0,  (HLOOKUP(BB$2,Earnings!$G$2:$BC$81,('Yearly Pension'!$A23)+1, FALSE)) - BB$1), ((Assumptions!$B$8)*'Yearly Pension'!BB$1))))</f>
        <v>720</v>
      </c>
      <c r="BC23" s="6">
        <f>(HLOOKUP('Yearly Pension'!BC$2,'Credited Service'!$G$1:$BC$80,$A23+1,FALSE)) * (IF($B23=500, (Assumptions!$B$7)*12, IF((HLOOKUP(BC$2,Earnings!$G$2:$BC$81,('Yearly Pension'!$A23)+1, FALSE)) &gt; BC$1, (Assumptions!$B$8)*(BC$1) + (Assumptions!$B$9)*MAX(0,  (HLOOKUP(BC$2,Earnings!$G$2:$BC$81,('Yearly Pension'!$A23)+1, FALSE)) - BC$1), ((Assumptions!$B$8)*'Yearly Pension'!BC$1))))</f>
        <v>720</v>
      </c>
    </row>
    <row r="24" spans="1:55" x14ac:dyDescent="0.25">
      <c r="A24" s="204">
        <v>22</v>
      </c>
      <c r="B24" s="1">
        <v>500</v>
      </c>
      <c r="C24" s="1">
        <v>765</v>
      </c>
      <c r="D24" s="3">
        <v>37742</v>
      </c>
      <c r="E24" s="3">
        <v>43922</v>
      </c>
      <c r="G24" s="6">
        <f>(HLOOKUP('Yearly Pension'!G$2,'Credited Service'!$G$1:$BC$80,$A24+1,FALSE)) * (IF($B24=500, (Assumptions!$B$7)*12, IF((HLOOKUP(G$2,Earnings!$G$2:$BC$81,('Yearly Pension'!$A24)+1, FALSE)) &gt; G$1, (Assumptions!$B$8)*(G$1) + (Assumptions!$B$9)*MAX(0,  (HLOOKUP(G$2,Earnings!$G$2:$BC$81,('Yearly Pension'!$A24)+1, FALSE)) - G$1), ((Assumptions!$B$8)*'Yearly Pension'!G$1))))</f>
        <v>0</v>
      </c>
      <c r="H24" s="6">
        <f>(HLOOKUP('Yearly Pension'!H$2,'Credited Service'!$G$1:$BC$80,$A24+1,FALSE)) * (IF($B24=500, (Assumptions!$B$7)*12, IF((HLOOKUP(H$2,Earnings!$G$2:$BC$81,('Yearly Pension'!$A24)+1, FALSE)) &gt; H$1, (Assumptions!$B$8)*(H$1) + (Assumptions!$B$9)*MAX(0,  (HLOOKUP(H$2,Earnings!$G$2:$BC$81,('Yearly Pension'!$A24)+1, FALSE)) - H$1), ((Assumptions!$B$8)*'Yearly Pension'!H$1))))</f>
        <v>0</v>
      </c>
      <c r="I24" s="6">
        <f>(HLOOKUP('Yearly Pension'!I$2,'Credited Service'!$G$1:$BC$80,$A24+1,FALSE)) * (IF($B24=500, (Assumptions!$B$7)*12, IF((HLOOKUP(I$2,Earnings!$G$2:$BC$81,('Yearly Pension'!$A24)+1, FALSE)) &gt; I$1, (Assumptions!$B$8)*(I$1) + (Assumptions!$B$9)*MAX(0,  (HLOOKUP(I$2,Earnings!$G$2:$BC$81,('Yearly Pension'!$A24)+1, FALSE)) - I$1), ((Assumptions!$B$8)*'Yearly Pension'!I$1))))</f>
        <v>0</v>
      </c>
      <c r="J24" s="6">
        <f>(HLOOKUP('Yearly Pension'!J$2,'Credited Service'!$G$1:$BC$80,$A24+1,FALSE)) * (IF($B24=500, (Assumptions!$B$7)*12, IF((HLOOKUP(J$2,Earnings!$G$2:$BC$81,('Yearly Pension'!$A24)+1, FALSE)) &gt; J$1, (Assumptions!$B$8)*(J$1) + (Assumptions!$B$9)*MAX(0,  (HLOOKUP(J$2,Earnings!$G$2:$BC$81,('Yearly Pension'!$A24)+1, FALSE)) - J$1), ((Assumptions!$B$8)*'Yearly Pension'!J$1))))</f>
        <v>0</v>
      </c>
      <c r="K24" s="6">
        <f>(HLOOKUP('Yearly Pension'!K$2,'Credited Service'!$G$1:$BC$80,$A24+1,FALSE)) * (IF($B24=500, (Assumptions!$B$7)*12, IF((HLOOKUP(K$2,Earnings!$G$2:$BC$81,('Yearly Pension'!$A24)+1, FALSE)) &gt; K$1, (Assumptions!$B$8)*(K$1) + (Assumptions!$B$9)*MAX(0,  (HLOOKUP(K$2,Earnings!$G$2:$BC$81,('Yearly Pension'!$A24)+1, FALSE)) - K$1), ((Assumptions!$B$8)*'Yearly Pension'!K$1))))</f>
        <v>0</v>
      </c>
      <c r="L24" s="6">
        <f>(HLOOKUP('Yearly Pension'!L$2,'Credited Service'!$G$1:$BC$80,$A24+1,FALSE)) * (IF($B24=500, (Assumptions!$B$7)*12, IF((HLOOKUP(L$2,Earnings!$G$2:$BC$81,('Yearly Pension'!$A24)+1, FALSE)) &gt; L$1, (Assumptions!$B$8)*(L$1) + (Assumptions!$B$9)*MAX(0,  (HLOOKUP(L$2,Earnings!$G$2:$BC$81,('Yearly Pension'!$A24)+1, FALSE)) - L$1), ((Assumptions!$B$8)*'Yearly Pension'!L$1))))</f>
        <v>0</v>
      </c>
      <c r="M24" s="6">
        <f>(HLOOKUP('Yearly Pension'!M$2,'Credited Service'!$G$1:$BC$80,$A24+1,FALSE)) * (IF($B24=500, (Assumptions!$B$7)*12, IF((HLOOKUP(M$2,Earnings!$G$2:$BC$81,('Yearly Pension'!$A24)+1, FALSE)) &gt; M$1, (Assumptions!$B$8)*(M$1) + (Assumptions!$B$9)*MAX(0,  (HLOOKUP(M$2,Earnings!$G$2:$BC$81,('Yearly Pension'!$A24)+1, FALSE)) - M$1), ((Assumptions!$B$8)*'Yearly Pension'!M$1))))</f>
        <v>0</v>
      </c>
      <c r="N24" s="6">
        <f>(HLOOKUP('Yearly Pension'!N$2,'Credited Service'!$G$1:$BC$80,$A24+1,FALSE)) * (IF($B24=500, (Assumptions!$B$7)*12, IF((HLOOKUP(N$2,Earnings!$G$2:$BC$81,('Yearly Pension'!$A24)+1, FALSE)) &gt; N$1, (Assumptions!$B$8)*(N$1) + (Assumptions!$B$9)*MAX(0,  (HLOOKUP(N$2,Earnings!$G$2:$BC$81,('Yearly Pension'!$A24)+1, FALSE)) - N$1), ((Assumptions!$B$8)*'Yearly Pension'!N$1))))</f>
        <v>0</v>
      </c>
      <c r="O24" s="6">
        <f>(HLOOKUP('Yearly Pension'!O$2,'Credited Service'!$G$1:$BC$80,$A24+1,FALSE)) * (IF($B24=500, (Assumptions!$B$7)*12, IF((HLOOKUP(O$2,Earnings!$G$2:$BC$81,('Yearly Pension'!$A24)+1, FALSE)) &gt; O$1, (Assumptions!$B$8)*(O$1) + (Assumptions!$B$9)*MAX(0,  (HLOOKUP(O$2,Earnings!$G$2:$BC$81,('Yearly Pension'!$A24)+1, FALSE)) - O$1), ((Assumptions!$B$8)*'Yearly Pension'!O$1))))</f>
        <v>0</v>
      </c>
      <c r="P24" s="6">
        <f>(HLOOKUP('Yearly Pension'!P$2,'Credited Service'!$G$1:$BC$80,$A24+1,FALSE)) * (IF($B24=500, (Assumptions!$B$7)*12, IF((HLOOKUP(P$2,Earnings!$G$2:$BC$81,('Yearly Pension'!$A24)+1, FALSE)) &gt; P$1, (Assumptions!$B$8)*(P$1) + (Assumptions!$B$9)*MAX(0,  (HLOOKUP(P$2,Earnings!$G$2:$BC$81,('Yearly Pension'!$A24)+1, FALSE)) - P$1), ((Assumptions!$B$8)*'Yearly Pension'!P$1))))</f>
        <v>0</v>
      </c>
      <c r="Q24" s="6">
        <f>(HLOOKUP('Yearly Pension'!Q$2,'Credited Service'!$G$1:$BC$80,$A24+1,FALSE)) * (IF($B24=500, (Assumptions!$B$7)*12, IF((HLOOKUP(Q$2,Earnings!$G$2:$BC$81,('Yearly Pension'!$A24)+1, FALSE)) &gt; Q$1, (Assumptions!$B$8)*(Q$1) + (Assumptions!$B$9)*MAX(0,  (HLOOKUP(Q$2,Earnings!$G$2:$BC$81,('Yearly Pension'!$A24)+1, FALSE)) - Q$1), ((Assumptions!$B$8)*'Yearly Pension'!Q$1))))</f>
        <v>0</v>
      </c>
      <c r="R24" s="6">
        <f>(HLOOKUP('Yearly Pension'!R$2,'Credited Service'!$G$1:$BC$80,$A24+1,FALSE)) * (IF($B24=500, (Assumptions!$B$7)*12, IF((HLOOKUP(R$2,Earnings!$G$2:$BC$81,('Yearly Pension'!$A24)+1, FALSE)) &gt; R$1, (Assumptions!$B$8)*(R$1) + (Assumptions!$B$9)*MAX(0,  (HLOOKUP(R$2,Earnings!$G$2:$BC$81,('Yearly Pension'!$A24)+1, FALSE)) - R$1), ((Assumptions!$B$8)*'Yearly Pension'!R$1))))</f>
        <v>0</v>
      </c>
      <c r="S24" s="6">
        <f>(HLOOKUP('Yearly Pension'!S$2,'Credited Service'!$G$1:$BC$80,$A24+1,FALSE)) * (IF($B24=500, (Assumptions!$B$7)*12, IF((HLOOKUP(S$2,Earnings!$G$2:$BC$81,('Yearly Pension'!$A24)+1, FALSE)) &gt; S$1, (Assumptions!$B$8)*(S$1) + (Assumptions!$B$9)*MAX(0,  (HLOOKUP(S$2,Earnings!$G$2:$BC$81,('Yearly Pension'!$A24)+1, FALSE)) - S$1), ((Assumptions!$B$8)*'Yearly Pension'!S$1))))</f>
        <v>0</v>
      </c>
      <c r="T24" s="6">
        <f>(HLOOKUP('Yearly Pension'!T$2,'Credited Service'!$G$1:$BC$80,$A24+1,FALSE)) * (IF($B24=500, (Assumptions!$B$7)*12, IF((HLOOKUP(T$2,Earnings!$G$2:$BC$81,('Yearly Pension'!$A24)+1, FALSE)) &gt; T$1, (Assumptions!$B$8)*(T$1) + (Assumptions!$B$9)*MAX(0,  (HLOOKUP(T$2,Earnings!$G$2:$BC$81,('Yearly Pension'!$A24)+1, FALSE)) - T$1), ((Assumptions!$B$8)*'Yearly Pension'!T$1))))</f>
        <v>0</v>
      </c>
      <c r="U24" s="6">
        <f>(HLOOKUP('Yearly Pension'!U$2,'Credited Service'!$G$1:$BC$80,$A24+1,FALSE)) * (IF($B24=500, (Assumptions!$B$7)*12, IF((HLOOKUP(U$2,Earnings!$G$2:$BC$81,('Yearly Pension'!$A24)+1, FALSE)) &gt; U$1, (Assumptions!$B$8)*(U$1) + (Assumptions!$B$9)*MAX(0,  (HLOOKUP(U$2,Earnings!$G$2:$BC$81,('Yearly Pension'!$A24)+1, FALSE)) - U$1), ((Assumptions!$B$8)*'Yearly Pension'!U$1))))</f>
        <v>0</v>
      </c>
      <c r="V24" s="6">
        <f>(HLOOKUP('Yearly Pension'!V$2,'Credited Service'!$G$1:$BC$80,$A24+1,FALSE)) * (IF($B24=500, (Assumptions!$B$7)*12, IF((HLOOKUP(V$2,Earnings!$G$2:$BC$81,('Yearly Pension'!$A24)+1, FALSE)) &gt; V$1, (Assumptions!$B$8)*(V$1) + (Assumptions!$B$9)*MAX(0,  (HLOOKUP(V$2,Earnings!$G$2:$BC$81,('Yearly Pension'!$A24)+1, FALSE)) - V$1), ((Assumptions!$B$8)*'Yearly Pension'!V$1))))</f>
        <v>0</v>
      </c>
      <c r="W24" s="6">
        <f>(HLOOKUP('Yearly Pension'!W$2,'Credited Service'!$G$1:$BC$80,$A24+1,FALSE)) * (IF($B24=500, (Assumptions!$B$7)*12, IF((HLOOKUP(W$2,Earnings!$G$2:$BC$81,('Yearly Pension'!$A24)+1, FALSE)) &gt; W$1, (Assumptions!$B$8)*(W$1) + (Assumptions!$B$9)*MAX(0,  (HLOOKUP(W$2,Earnings!$G$2:$BC$81,('Yearly Pension'!$A24)+1, FALSE)) - W$1), ((Assumptions!$B$8)*'Yearly Pension'!W$1))))</f>
        <v>0</v>
      </c>
      <c r="X24" s="6">
        <f>(HLOOKUP('Yearly Pension'!X$2,'Credited Service'!$G$1:$BC$80,$A24+1,FALSE)) * (IF($B24=500, (Assumptions!$B$7)*12, IF((HLOOKUP(X$2,Earnings!$G$2:$BC$81,('Yearly Pension'!$A24)+1, FALSE)) &gt; X$1, (Assumptions!$B$8)*(X$1) + (Assumptions!$B$9)*MAX(0,  (HLOOKUP(X$2,Earnings!$G$2:$BC$81,('Yearly Pension'!$A24)+1, FALSE)) - X$1), ((Assumptions!$B$8)*'Yearly Pension'!X$1))))</f>
        <v>0</v>
      </c>
      <c r="Y24" s="6">
        <f>(HLOOKUP('Yearly Pension'!Y$2,'Credited Service'!$G$1:$BC$80,$A24+1,FALSE)) * (IF($B24=500, (Assumptions!$B$7)*12, IF((HLOOKUP(Y$2,Earnings!$G$2:$BC$81,('Yearly Pension'!$A24)+1, FALSE)) &gt; Y$1, (Assumptions!$B$8)*(Y$1) + (Assumptions!$B$9)*MAX(0,  (HLOOKUP(Y$2,Earnings!$G$2:$BC$81,('Yearly Pension'!$A24)+1, FALSE)) - Y$1), ((Assumptions!$B$8)*'Yearly Pension'!Y$1))))</f>
        <v>0</v>
      </c>
      <c r="Z24" s="6">
        <f>(HLOOKUP('Yearly Pension'!Z$2,'Credited Service'!$G$1:$BC$80,$A24+1,FALSE)) * (IF($B24=500, (Assumptions!$B$7)*12, IF((HLOOKUP(Z$2,Earnings!$G$2:$BC$81,('Yearly Pension'!$A24)+1, FALSE)) &gt; Z$1, (Assumptions!$B$8)*(Z$1) + (Assumptions!$B$9)*MAX(0,  (HLOOKUP(Z$2,Earnings!$G$2:$BC$81,('Yearly Pension'!$A24)+1, FALSE)) - Z$1), ((Assumptions!$B$8)*'Yearly Pension'!Z$1))))</f>
        <v>0</v>
      </c>
      <c r="AA24" s="6">
        <f>(HLOOKUP('Yearly Pension'!AA$2,'Credited Service'!$G$1:$BC$80,$A24+1,FALSE)) * (IF($B24=500, (Assumptions!$B$7)*12, IF((HLOOKUP(AA$2,Earnings!$G$2:$BC$81,('Yearly Pension'!$A24)+1, FALSE)) &gt; AA$1, (Assumptions!$B$8)*(AA$1) + (Assumptions!$B$9)*MAX(0,  (HLOOKUP(AA$2,Earnings!$G$2:$BC$81,('Yearly Pension'!$A24)+1, FALSE)) - AA$1), ((Assumptions!$B$8)*'Yearly Pension'!AA$1))))</f>
        <v>0</v>
      </c>
      <c r="AB24" s="6">
        <f>(HLOOKUP('Yearly Pension'!AB$2,'Credited Service'!$G$1:$BC$80,$A24+1,FALSE)) * (IF($B24=500, (Assumptions!$B$7)*12, IF((HLOOKUP(AB$2,Earnings!$G$2:$BC$81,('Yearly Pension'!$A24)+1, FALSE)) &gt; AB$1, (Assumptions!$B$8)*(AB$1) + (Assumptions!$B$9)*MAX(0,  (HLOOKUP(AB$2,Earnings!$G$2:$BC$81,('Yearly Pension'!$A24)+1, FALSE)) - AB$1), ((Assumptions!$B$8)*'Yearly Pension'!AB$1))))</f>
        <v>0</v>
      </c>
      <c r="AC24" s="6">
        <f>(HLOOKUP('Yearly Pension'!AC$2,'Credited Service'!$G$1:$BC$80,$A24+1,FALSE)) * (IF($B24=500, (Assumptions!$B$7)*12, IF((HLOOKUP(AC$2,Earnings!$G$2:$BC$81,('Yearly Pension'!$A24)+1, FALSE)) &gt; AC$1, (Assumptions!$B$8)*(AC$1) + (Assumptions!$B$9)*MAX(0,  (HLOOKUP(AC$2,Earnings!$G$2:$BC$81,('Yearly Pension'!$A24)+1, FALSE)) - AC$1), ((Assumptions!$B$8)*'Yearly Pension'!AC$1))))</f>
        <v>0</v>
      </c>
      <c r="AD24" s="6">
        <f>(HLOOKUP('Yearly Pension'!AD$2,'Credited Service'!$G$1:$BC$80,$A24+1,FALSE)) * (IF($B24=500, (Assumptions!$B$7)*12, IF((HLOOKUP(AD$2,Earnings!$G$2:$BC$81,('Yearly Pension'!$A24)+1, FALSE)) &gt; AD$1, (Assumptions!$B$8)*(AD$1) + (Assumptions!$B$9)*MAX(0,  (HLOOKUP(AD$2,Earnings!$G$2:$BC$81,('Yearly Pension'!$A24)+1, FALSE)) - AD$1), ((Assumptions!$B$8)*'Yearly Pension'!AD$1))))</f>
        <v>0</v>
      </c>
      <c r="AE24" s="6">
        <f>(HLOOKUP('Yearly Pension'!AE$2,'Credited Service'!$G$1:$BC$80,$A24+1,FALSE)) * (IF($B24=500, (Assumptions!$B$7)*12, IF((HLOOKUP(AE$2,Earnings!$G$2:$BC$81,('Yearly Pension'!$A24)+1, FALSE)) &gt; AE$1, (Assumptions!$B$8)*(AE$1) + (Assumptions!$B$9)*MAX(0,  (HLOOKUP(AE$2,Earnings!$G$2:$BC$81,('Yearly Pension'!$A24)+1, FALSE)) - AE$1), ((Assumptions!$B$8)*'Yearly Pension'!AE$1))))</f>
        <v>0</v>
      </c>
      <c r="AF24" s="6">
        <f>(HLOOKUP('Yearly Pension'!AF$2,'Credited Service'!$G$1:$BC$80,$A24+1,FALSE)) * (IF($B24=500, (Assumptions!$B$7)*12, IF((HLOOKUP(AF$2,Earnings!$G$2:$BC$81,('Yearly Pension'!$A24)+1, FALSE)) &gt; AF$1, (Assumptions!$B$8)*(AF$1) + (Assumptions!$B$9)*MAX(0,  (HLOOKUP(AF$2,Earnings!$G$2:$BC$81,('Yearly Pension'!$A24)+1, FALSE)) - AF$1), ((Assumptions!$B$8)*'Yearly Pension'!AF$1))))</f>
        <v>0</v>
      </c>
      <c r="AG24" s="6">
        <f>(HLOOKUP('Yearly Pension'!AG$2,'Credited Service'!$G$1:$BC$80,$A24+1,FALSE)) * (IF($B24=500, (Assumptions!$B$7)*12, IF((HLOOKUP(AG$2,Earnings!$G$2:$BC$81,('Yearly Pension'!$A24)+1, FALSE)) &gt; AG$1, (Assumptions!$B$8)*(AG$1) + (Assumptions!$B$9)*MAX(0,  (HLOOKUP(AG$2,Earnings!$G$2:$BC$81,('Yearly Pension'!$A24)+1, FALSE)) - AG$1), ((Assumptions!$B$8)*'Yearly Pension'!AG$1))))</f>
        <v>480</v>
      </c>
      <c r="AH24" s="6">
        <f>(HLOOKUP('Yearly Pension'!AH$2,'Credited Service'!$G$1:$BC$80,$A24+1,FALSE)) * (IF($B24=500, (Assumptions!$B$7)*12, IF((HLOOKUP(AH$2,Earnings!$G$2:$BC$81,('Yearly Pension'!$A24)+1, FALSE)) &gt; AH$1, (Assumptions!$B$8)*(AH$1) + (Assumptions!$B$9)*MAX(0,  (HLOOKUP(AH$2,Earnings!$G$2:$BC$81,('Yearly Pension'!$A24)+1, FALSE)) - AH$1), ((Assumptions!$B$8)*'Yearly Pension'!AH$1))))</f>
        <v>720</v>
      </c>
      <c r="AI24" s="6">
        <f>(HLOOKUP('Yearly Pension'!AI$2,'Credited Service'!$G$1:$BC$80,$A24+1,FALSE)) * (IF($B24=500, (Assumptions!$B$7)*12, IF((HLOOKUP(AI$2,Earnings!$G$2:$BC$81,('Yearly Pension'!$A24)+1, FALSE)) &gt; AI$1, (Assumptions!$B$8)*(AI$1) + (Assumptions!$B$9)*MAX(0,  (HLOOKUP(AI$2,Earnings!$G$2:$BC$81,('Yearly Pension'!$A24)+1, FALSE)) - AI$1), ((Assumptions!$B$8)*'Yearly Pension'!AI$1))))</f>
        <v>720</v>
      </c>
      <c r="AJ24" s="6">
        <f>(HLOOKUP('Yearly Pension'!AJ$2,'Credited Service'!$G$1:$BC$80,$A24+1,FALSE)) * (IF($B24=500, (Assumptions!$B$7)*12, IF((HLOOKUP(AJ$2,Earnings!$G$2:$BC$81,('Yearly Pension'!$A24)+1, FALSE)) &gt; AJ$1, (Assumptions!$B$8)*(AJ$1) + (Assumptions!$B$9)*MAX(0,  (HLOOKUP(AJ$2,Earnings!$G$2:$BC$81,('Yearly Pension'!$A24)+1, FALSE)) - AJ$1), ((Assumptions!$B$8)*'Yearly Pension'!AJ$1))))</f>
        <v>720</v>
      </c>
      <c r="AK24" s="6">
        <f>(HLOOKUP('Yearly Pension'!AK$2,'Credited Service'!$G$1:$BC$80,$A24+1,FALSE)) * (IF($B24=500, (Assumptions!$B$7)*12, IF((HLOOKUP(AK$2,Earnings!$G$2:$BC$81,('Yearly Pension'!$A24)+1, FALSE)) &gt; AK$1, (Assumptions!$B$8)*(AK$1) + (Assumptions!$B$9)*MAX(0,  (HLOOKUP(AK$2,Earnings!$G$2:$BC$81,('Yearly Pension'!$A24)+1, FALSE)) - AK$1), ((Assumptions!$B$8)*'Yearly Pension'!AK$1))))</f>
        <v>720</v>
      </c>
      <c r="AL24" s="6">
        <f>(HLOOKUP('Yearly Pension'!AL$2,'Credited Service'!$G$1:$BC$80,$A24+1,FALSE)) * (IF($B24=500, (Assumptions!$B$7)*12, IF((HLOOKUP(AL$2,Earnings!$G$2:$BC$81,('Yearly Pension'!$A24)+1, FALSE)) &gt; AL$1, (Assumptions!$B$8)*(AL$1) + (Assumptions!$B$9)*MAX(0,  (HLOOKUP(AL$2,Earnings!$G$2:$BC$81,('Yearly Pension'!$A24)+1, FALSE)) - AL$1), ((Assumptions!$B$8)*'Yearly Pension'!AL$1))))</f>
        <v>720</v>
      </c>
      <c r="AM24" s="6">
        <f>(HLOOKUP('Yearly Pension'!AM$2,'Credited Service'!$G$1:$BC$80,$A24+1,FALSE)) * (IF($B24=500, (Assumptions!$B$7)*12, IF((HLOOKUP(AM$2,Earnings!$G$2:$BC$81,('Yearly Pension'!$A24)+1, FALSE)) &gt; AM$1, (Assumptions!$B$8)*(AM$1) + (Assumptions!$B$9)*MAX(0,  (HLOOKUP(AM$2,Earnings!$G$2:$BC$81,('Yearly Pension'!$A24)+1, FALSE)) - AM$1), ((Assumptions!$B$8)*'Yearly Pension'!AM$1))))</f>
        <v>720</v>
      </c>
      <c r="AN24" s="6">
        <f>(HLOOKUP('Yearly Pension'!AN$2,'Credited Service'!$G$1:$BC$80,$A24+1,FALSE)) * (IF($B24=500, (Assumptions!$B$7)*12, IF((HLOOKUP(AN$2,Earnings!$G$2:$BC$81,('Yearly Pension'!$A24)+1, FALSE)) &gt; AN$1, (Assumptions!$B$8)*(AN$1) + (Assumptions!$B$9)*MAX(0,  (HLOOKUP(AN$2,Earnings!$G$2:$BC$81,('Yearly Pension'!$A24)+1, FALSE)) - AN$1), ((Assumptions!$B$8)*'Yearly Pension'!AN$1))))</f>
        <v>720</v>
      </c>
      <c r="AO24" s="6">
        <f>(HLOOKUP('Yearly Pension'!AO$2,'Credited Service'!$G$1:$BC$80,$A24+1,FALSE)) * (IF($B24=500, (Assumptions!$B$7)*12, IF((HLOOKUP(AO$2,Earnings!$G$2:$BC$81,('Yearly Pension'!$A24)+1, FALSE)) &gt; AO$1, (Assumptions!$B$8)*(AO$1) + (Assumptions!$B$9)*MAX(0,  (HLOOKUP(AO$2,Earnings!$G$2:$BC$81,('Yearly Pension'!$A24)+1, FALSE)) - AO$1), ((Assumptions!$B$8)*'Yearly Pension'!AO$1))))</f>
        <v>720</v>
      </c>
      <c r="AP24" s="6">
        <f>(HLOOKUP('Yearly Pension'!AP$2,'Credited Service'!$G$1:$BC$80,$A24+1,FALSE)) * (IF($B24=500, (Assumptions!$B$7)*12, IF((HLOOKUP(AP$2,Earnings!$G$2:$BC$81,('Yearly Pension'!$A24)+1, FALSE)) &gt; AP$1, (Assumptions!$B$8)*(AP$1) + (Assumptions!$B$9)*MAX(0,  (HLOOKUP(AP$2,Earnings!$G$2:$BC$81,('Yearly Pension'!$A24)+1, FALSE)) - AP$1), ((Assumptions!$B$8)*'Yearly Pension'!AP$1))))</f>
        <v>720</v>
      </c>
      <c r="AQ24" s="6">
        <f>(HLOOKUP('Yearly Pension'!AQ$2,'Credited Service'!$G$1:$BC$80,$A24+1,FALSE)) * (IF($B24=500, (Assumptions!$B$7)*12, IF((HLOOKUP(AQ$2,Earnings!$G$2:$BC$81,('Yearly Pension'!$A24)+1, FALSE)) &gt; AQ$1, (Assumptions!$B$8)*(AQ$1) + (Assumptions!$B$9)*MAX(0,  (HLOOKUP(AQ$2,Earnings!$G$2:$BC$81,('Yearly Pension'!$A24)+1, FALSE)) - AQ$1), ((Assumptions!$B$8)*'Yearly Pension'!AQ$1))))</f>
        <v>720</v>
      </c>
      <c r="AR24" s="6">
        <f>(HLOOKUP('Yearly Pension'!AR$2,'Credited Service'!$G$1:$BC$80,$A24+1,FALSE)) * (IF($B24=500, (Assumptions!$B$7)*12, IF((HLOOKUP(AR$2,Earnings!$G$2:$BC$81,('Yearly Pension'!$A24)+1, FALSE)) &gt; AR$1, (Assumptions!$B$8)*(AR$1) + (Assumptions!$B$9)*MAX(0,  (HLOOKUP(AR$2,Earnings!$G$2:$BC$81,('Yearly Pension'!$A24)+1, FALSE)) - AR$1), ((Assumptions!$B$8)*'Yearly Pension'!AR$1))))</f>
        <v>720</v>
      </c>
      <c r="AS24" s="6">
        <f>(HLOOKUP('Yearly Pension'!AS$2,'Credited Service'!$G$1:$BC$80,$A24+1,FALSE)) * (IF($B24=500, (Assumptions!$B$7)*12, IF((HLOOKUP(AS$2,Earnings!$G$2:$BC$81,('Yearly Pension'!$A24)+1, FALSE)) &gt; AS$1, (Assumptions!$B$8)*(AS$1) + (Assumptions!$B$9)*MAX(0,  (HLOOKUP(AS$2,Earnings!$G$2:$BC$81,('Yearly Pension'!$A24)+1, FALSE)) - AS$1), ((Assumptions!$B$8)*'Yearly Pension'!AS$1))))</f>
        <v>720</v>
      </c>
      <c r="AT24" s="6">
        <f>(HLOOKUP('Yearly Pension'!AT$2,'Credited Service'!$G$1:$BC$80,$A24+1,FALSE)) * (IF($B24=500, (Assumptions!$B$7)*12, IF((HLOOKUP(AT$2,Earnings!$G$2:$BC$81,('Yearly Pension'!$A24)+1, FALSE)) &gt; AT$1, (Assumptions!$B$8)*(AT$1) + (Assumptions!$B$9)*MAX(0,  (HLOOKUP(AT$2,Earnings!$G$2:$BC$81,('Yearly Pension'!$A24)+1, FALSE)) - AT$1), ((Assumptions!$B$8)*'Yearly Pension'!AT$1))))</f>
        <v>720</v>
      </c>
      <c r="AU24" s="6">
        <f>(HLOOKUP('Yearly Pension'!AU$2,'Credited Service'!$G$1:$BC$80,$A24+1,FALSE)) * (IF($B24=500, (Assumptions!$B$7)*12, IF((HLOOKUP(AU$2,Earnings!$G$2:$BC$81,('Yearly Pension'!$A24)+1, FALSE)) &gt; AU$1, (Assumptions!$B$8)*(AU$1) + (Assumptions!$B$9)*MAX(0,  (HLOOKUP(AU$2,Earnings!$G$2:$BC$81,('Yearly Pension'!$A24)+1, FALSE)) - AU$1), ((Assumptions!$B$8)*'Yearly Pension'!AU$1))))</f>
        <v>720</v>
      </c>
      <c r="AV24" s="6">
        <f>(HLOOKUP('Yearly Pension'!AV$2,'Credited Service'!$G$1:$BC$80,$A24+1,FALSE)) * (IF($B24=500, (Assumptions!$B$7)*12, IF((HLOOKUP(AV$2,Earnings!$G$2:$BC$81,('Yearly Pension'!$A24)+1, FALSE)) &gt; AV$1, (Assumptions!$B$8)*(AV$1) + (Assumptions!$B$9)*MAX(0,  (HLOOKUP(AV$2,Earnings!$G$2:$BC$81,('Yearly Pension'!$A24)+1, FALSE)) - AV$1), ((Assumptions!$B$8)*'Yearly Pension'!AV$1))))</f>
        <v>720</v>
      </c>
      <c r="AW24" s="6">
        <f>(HLOOKUP('Yearly Pension'!AW$2,'Credited Service'!$G$1:$BC$80,$A24+1,FALSE)) * (IF($B24=500, (Assumptions!$B$7)*12, IF((HLOOKUP(AW$2,Earnings!$G$2:$BC$81,('Yearly Pension'!$A24)+1, FALSE)) &gt; AW$1, (Assumptions!$B$8)*(AW$1) + (Assumptions!$B$9)*MAX(0,  (HLOOKUP(AW$2,Earnings!$G$2:$BC$81,('Yearly Pension'!$A24)+1, FALSE)) - AW$1), ((Assumptions!$B$8)*'Yearly Pension'!AW$1))))</f>
        <v>720</v>
      </c>
      <c r="AX24" s="6">
        <f>(HLOOKUP('Yearly Pension'!AX$2,'Credited Service'!$G$1:$BC$80,$A24+1,FALSE)) * (IF($B24=500, (Assumptions!$B$7)*12, IF((HLOOKUP(AX$2,Earnings!$G$2:$BC$81,('Yearly Pension'!$A24)+1, FALSE)) &gt; AX$1, (Assumptions!$B$8)*(AX$1) + (Assumptions!$B$9)*MAX(0,  (HLOOKUP(AX$2,Earnings!$G$2:$BC$81,('Yearly Pension'!$A24)+1, FALSE)) - AX$1), ((Assumptions!$B$8)*'Yearly Pension'!AX$1))))</f>
        <v>180</v>
      </c>
      <c r="AY24" s="6">
        <f>(HLOOKUP('Yearly Pension'!AY$2,'Credited Service'!$G$1:$BC$80,$A24+1,FALSE)) * (IF($B24=500, (Assumptions!$B$7)*12, IF((HLOOKUP(AY$2,Earnings!$G$2:$BC$81,('Yearly Pension'!$A24)+1, FALSE)) &gt; AY$1, (Assumptions!$B$8)*(AY$1) + (Assumptions!$B$9)*MAX(0,  (HLOOKUP(AY$2,Earnings!$G$2:$BC$81,('Yearly Pension'!$A24)+1, FALSE)) - AY$1), ((Assumptions!$B$8)*'Yearly Pension'!AY$1))))</f>
        <v>0</v>
      </c>
      <c r="AZ24" s="6">
        <f>(HLOOKUP('Yearly Pension'!AZ$2,'Credited Service'!$G$1:$BC$80,$A24+1,FALSE)) * (IF($B24=500, (Assumptions!$B$7)*12, IF((HLOOKUP(AZ$2,Earnings!$G$2:$BC$81,('Yearly Pension'!$A24)+1, FALSE)) &gt; AZ$1, (Assumptions!$B$8)*(AZ$1) + (Assumptions!$B$9)*MAX(0,  (HLOOKUP(AZ$2,Earnings!$G$2:$BC$81,('Yearly Pension'!$A24)+1, FALSE)) - AZ$1), ((Assumptions!$B$8)*'Yearly Pension'!AZ$1))))</f>
        <v>0</v>
      </c>
      <c r="BA24" s="6">
        <f>(HLOOKUP('Yearly Pension'!BA$2,'Credited Service'!$G$1:$BC$80,$A24+1,FALSE)) * (IF($B24=500, (Assumptions!$B$7)*12, IF((HLOOKUP(BA$2,Earnings!$G$2:$BC$81,('Yearly Pension'!$A24)+1, FALSE)) &gt; BA$1, (Assumptions!$B$8)*(BA$1) + (Assumptions!$B$9)*MAX(0,  (HLOOKUP(BA$2,Earnings!$G$2:$BC$81,('Yearly Pension'!$A24)+1, FALSE)) - BA$1), ((Assumptions!$B$8)*'Yearly Pension'!BA$1))))</f>
        <v>0</v>
      </c>
      <c r="BB24" s="6">
        <f>(HLOOKUP('Yearly Pension'!BB$2,'Credited Service'!$G$1:$BC$80,$A24+1,FALSE)) * (IF($B24=500, (Assumptions!$B$7)*12, IF((HLOOKUP(BB$2,Earnings!$G$2:$BC$81,('Yearly Pension'!$A24)+1, FALSE)) &gt; BB$1, (Assumptions!$B$8)*(BB$1) + (Assumptions!$B$9)*MAX(0,  (HLOOKUP(BB$2,Earnings!$G$2:$BC$81,('Yearly Pension'!$A24)+1, FALSE)) - BB$1), ((Assumptions!$B$8)*'Yearly Pension'!BB$1))))</f>
        <v>0</v>
      </c>
      <c r="BC24" s="6">
        <f>(HLOOKUP('Yearly Pension'!BC$2,'Credited Service'!$G$1:$BC$80,$A24+1,FALSE)) * (IF($B24=500, (Assumptions!$B$7)*12, IF((HLOOKUP(BC$2,Earnings!$G$2:$BC$81,('Yearly Pension'!$A24)+1, FALSE)) &gt; BC$1, (Assumptions!$B$8)*(BC$1) + (Assumptions!$B$9)*MAX(0,  (HLOOKUP(BC$2,Earnings!$G$2:$BC$81,('Yearly Pension'!$A24)+1, FALSE)) - BC$1), ((Assumptions!$B$8)*'Yearly Pension'!BC$1))))</f>
        <v>0</v>
      </c>
    </row>
    <row r="25" spans="1:55" x14ac:dyDescent="0.25">
      <c r="A25" s="204">
        <v>23</v>
      </c>
      <c r="B25" s="1">
        <v>500</v>
      </c>
      <c r="C25" s="1">
        <v>762</v>
      </c>
      <c r="D25" s="3">
        <v>37742</v>
      </c>
      <c r="E25" s="3">
        <v>50041</v>
      </c>
      <c r="G25" s="6">
        <f>(HLOOKUP('Yearly Pension'!G$2,'Credited Service'!$G$1:$BC$80,$A25+1,FALSE)) * (IF($B25=500, (Assumptions!$B$7)*12, IF((HLOOKUP(G$2,Earnings!$G$2:$BC$81,('Yearly Pension'!$A25)+1, FALSE)) &gt; G$1, (Assumptions!$B$8)*(G$1) + (Assumptions!$B$9)*MAX(0,  (HLOOKUP(G$2,Earnings!$G$2:$BC$81,('Yearly Pension'!$A25)+1, FALSE)) - G$1), ((Assumptions!$B$8)*'Yearly Pension'!G$1))))</f>
        <v>0</v>
      </c>
      <c r="H25" s="6">
        <f>(HLOOKUP('Yearly Pension'!H$2,'Credited Service'!$G$1:$BC$80,$A25+1,FALSE)) * (IF($B25=500, (Assumptions!$B$7)*12, IF((HLOOKUP(H$2,Earnings!$G$2:$BC$81,('Yearly Pension'!$A25)+1, FALSE)) &gt; H$1, (Assumptions!$B$8)*(H$1) + (Assumptions!$B$9)*MAX(0,  (HLOOKUP(H$2,Earnings!$G$2:$BC$81,('Yearly Pension'!$A25)+1, FALSE)) - H$1), ((Assumptions!$B$8)*'Yearly Pension'!H$1))))</f>
        <v>0</v>
      </c>
      <c r="I25" s="6">
        <f>(HLOOKUP('Yearly Pension'!I$2,'Credited Service'!$G$1:$BC$80,$A25+1,FALSE)) * (IF($B25=500, (Assumptions!$B$7)*12, IF((HLOOKUP(I$2,Earnings!$G$2:$BC$81,('Yearly Pension'!$A25)+1, FALSE)) &gt; I$1, (Assumptions!$B$8)*(I$1) + (Assumptions!$B$9)*MAX(0,  (HLOOKUP(I$2,Earnings!$G$2:$BC$81,('Yearly Pension'!$A25)+1, FALSE)) - I$1), ((Assumptions!$B$8)*'Yearly Pension'!I$1))))</f>
        <v>0</v>
      </c>
      <c r="J25" s="6">
        <f>(HLOOKUP('Yearly Pension'!J$2,'Credited Service'!$G$1:$BC$80,$A25+1,FALSE)) * (IF($B25=500, (Assumptions!$B$7)*12, IF((HLOOKUP(J$2,Earnings!$G$2:$BC$81,('Yearly Pension'!$A25)+1, FALSE)) &gt; J$1, (Assumptions!$B$8)*(J$1) + (Assumptions!$B$9)*MAX(0,  (HLOOKUP(J$2,Earnings!$G$2:$BC$81,('Yearly Pension'!$A25)+1, FALSE)) - J$1), ((Assumptions!$B$8)*'Yearly Pension'!J$1))))</f>
        <v>0</v>
      </c>
      <c r="K25" s="6">
        <f>(HLOOKUP('Yearly Pension'!K$2,'Credited Service'!$G$1:$BC$80,$A25+1,FALSE)) * (IF($B25=500, (Assumptions!$B$7)*12, IF((HLOOKUP(K$2,Earnings!$G$2:$BC$81,('Yearly Pension'!$A25)+1, FALSE)) &gt; K$1, (Assumptions!$B$8)*(K$1) + (Assumptions!$B$9)*MAX(0,  (HLOOKUP(K$2,Earnings!$G$2:$BC$81,('Yearly Pension'!$A25)+1, FALSE)) - K$1), ((Assumptions!$B$8)*'Yearly Pension'!K$1))))</f>
        <v>0</v>
      </c>
      <c r="L25" s="6">
        <f>(HLOOKUP('Yearly Pension'!L$2,'Credited Service'!$G$1:$BC$80,$A25+1,FALSE)) * (IF($B25=500, (Assumptions!$B$7)*12, IF((HLOOKUP(L$2,Earnings!$G$2:$BC$81,('Yearly Pension'!$A25)+1, FALSE)) &gt; L$1, (Assumptions!$B$8)*(L$1) + (Assumptions!$B$9)*MAX(0,  (HLOOKUP(L$2,Earnings!$G$2:$BC$81,('Yearly Pension'!$A25)+1, FALSE)) - L$1), ((Assumptions!$B$8)*'Yearly Pension'!L$1))))</f>
        <v>0</v>
      </c>
      <c r="M25" s="6">
        <f>(HLOOKUP('Yearly Pension'!M$2,'Credited Service'!$G$1:$BC$80,$A25+1,FALSE)) * (IF($B25=500, (Assumptions!$B$7)*12, IF((HLOOKUP(M$2,Earnings!$G$2:$BC$81,('Yearly Pension'!$A25)+1, FALSE)) &gt; M$1, (Assumptions!$B$8)*(M$1) + (Assumptions!$B$9)*MAX(0,  (HLOOKUP(M$2,Earnings!$G$2:$BC$81,('Yearly Pension'!$A25)+1, FALSE)) - M$1), ((Assumptions!$B$8)*'Yearly Pension'!M$1))))</f>
        <v>0</v>
      </c>
      <c r="N25" s="6">
        <f>(HLOOKUP('Yearly Pension'!N$2,'Credited Service'!$G$1:$BC$80,$A25+1,FALSE)) * (IF($B25=500, (Assumptions!$B$7)*12, IF((HLOOKUP(N$2,Earnings!$G$2:$BC$81,('Yearly Pension'!$A25)+1, FALSE)) &gt; N$1, (Assumptions!$B$8)*(N$1) + (Assumptions!$B$9)*MAX(0,  (HLOOKUP(N$2,Earnings!$G$2:$BC$81,('Yearly Pension'!$A25)+1, FALSE)) - N$1), ((Assumptions!$B$8)*'Yearly Pension'!N$1))))</f>
        <v>0</v>
      </c>
      <c r="O25" s="6">
        <f>(HLOOKUP('Yearly Pension'!O$2,'Credited Service'!$G$1:$BC$80,$A25+1,FALSE)) * (IF($B25=500, (Assumptions!$B$7)*12, IF((HLOOKUP(O$2,Earnings!$G$2:$BC$81,('Yearly Pension'!$A25)+1, FALSE)) &gt; O$1, (Assumptions!$B$8)*(O$1) + (Assumptions!$B$9)*MAX(0,  (HLOOKUP(O$2,Earnings!$G$2:$BC$81,('Yearly Pension'!$A25)+1, FALSE)) - O$1), ((Assumptions!$B$8)*'Yearly Pension'!O$1))))</f>
        <v>0</v>
      </c>
      <c r="P25" s="6">
        <f>(HLOOKUP('Yearly Pension'!P$2,'Credited Service'!$G$1:$BC$80,$A25+1,FALSE)) * (IF($B25=500, (Assumptions!$B$7)*12, IF((HLOOKUP(P$2,Earnings!$G$2:$BC$81,('Yearly Pension'!$A25)+1, FALSE)) &gt; P$1, (Assumptions!$B$8)*(P$1) + (Assumptions!$B$9)*MAX(0,  (HLOOKUP(P$2,Earnings!$G$2:$BC$81,('Yearly Pension'!$A25)+1, FALSE)) - P$1), ((Assumptions!$B$8)*'Yearly Pension'!P$1))))</f>
        <v>0</v>
      </c>
      <c r="Q25" s="6">
        <f>(HLOOKUP('Yearly Pension'!Q$2,'Credited Service'!$G$1:$BC$80,$A25+1,FALSE)) * (IF($B25=500, (Assumptions!$B$7)*12, IF((HLOOKUP(Q$2,Earnings!$G$2:$BC$81,('Yearly Pension'!$A25)+1, FALSE)) &gt; Q$1, (Assumptions!$B$8)*(Q$1) + (Assumptions!$B$9)*MAX(0,  (HLOOKUP(Q$2,Earnings!$G$2:$BC$81,('Yearly Pension'!$A25)+1, FALSE)) - Q$1), ((Assumptions!$B$8)*'Yearly Pension'!Q$1))))</f>
        <v>0</v>
      </c>
      <c r="R25" s="6">
        <f>(HLOOKUP('Yearly Pension'!R$2,'Credited Service'!$G$1:$BC$80,$A25+1,FALSE)) * (IF($B25=500, (Assumptions!$B$7)*12, IF((HLOOKUP(R$2,Earnings!$G$2:$BC$81,('Yearly Pension'!$A25)+1, FALSE)) &gt; R$1, (Assumptions!$B$8)*(R$1) + (Assumptions!$B$9)*MAX(0,  (HLOOKUP(R$2,Earnings!$G$2:$BC$81,('Yearly Pension'!$A25)+1, FALSE)) - R$1), ((Assumptions!$B$8)*'Yearly Pension'!R$1))))</f>
        <v>0</v>
      </c>
      <c r="S25" s="6">
        <f>(HLOOKUP('Yearly Pension'!S$2,'Credited Service'!$G$1:$BC$80,$A25+1,FALSE)) * (IF($B25=500, (Assumptions!$B$7)*12, IF((HLOOKUP(S$2,Earnings!$G$2:$BC$81,('Yearly Pension'!$A25)+1, FALSE)) &gt; S$1, (Assumptions!$B$8)*(S$1) + (Assumptions!$B$9)*MAX(0,  (HLOOKUP(S$2,Earnings!$G$2:$BC$81,('Yearly Pension'!$A25)+1, FALSE)) - S$1), ((Assumptions!$B$8)*'Yearly Pension'!S$1))))</f>
        <v>0</v>
      </c>
      <c r="T25" s="6">
        <f>(HLOOKUP('Yearly Pension'!T$2,'Credited Service'!$G$1:$BC$80,$A25+1,FALSE)) * (IF($B25=500, (Assumptions!$B$7)*12, IF((HLOOKUP(T$2,Earnings!$G$2:$BC$81,('Yearly Pension'!$A25)+1, FALSE)) &gt; T$1, (Assumptions!$B$8)*(T$1) + (Assumptions!$B$9)*MAX(0,  (HLOOKUP(T$2,Earnings!$G$2:$BC$81,('Yearly Pension'!$A25)+1, FALSE)) - T$1), ((Assumptions!$B$8)*'Yearly Pension'!T$1))))</f>
        <v>0</v>
      </c>
      <c r="U25" s="6">
        <f>(HLOOKUP('Yearly Pension'!U$2,'Credited Service'!$G$1:$BC$80,$A25+1,FALSE)) * (IF($B25=500, (Assumptions!$B$7)*12, IF((HLOOKUP(U$2,Earnings!$G$2:$BC$81,('Yearly Pension'!$A25)+1, FALSE)) &gt; U$1, (Assumptions!$B$8)*(U$1) + (Assumptions!$B$9)*MAX(0,  (HLOOKUP(U$2,Earnings!$G$2:$BC$81,('Yearly Pension'!$A25)+1, FALSE)) - U$1), ((Assumptions!$B$8)*'Yearly Pension'!U$1))))</f>
        <v>0</v>
      </c>
      <c r="V25" s="6">
        <f>(HLOOKUP('Yearly Pension'!V$2,'Credited Service'!$G$1:$BC$80,$A25+1,FALSE)) * (IF($B25=500, (Assumptions!$B$7)*12, IF((HLOOKUP(V$2,Earnings!$G$2:$BC$81,('Yearly Pension'!$A25)+1, FALSE)) &gt; V$1, (Assumptions!$B$8)*(V$1) + (Assumptions!$B$9)*MAX(0,  (HLOOKUP(V$2,Earnings!$G$2:$BC$81,('Yearly Pension'!$A25)+1, FALSE)) - V$1), ((Assumptions!$B$8)*'Yearly Pension'!V$1))))</f>
        <v>0</v>
      </c>
      <c r="W25" s="6">
        <f>(HLOOKUP('Yearly Pension'!W$2,'Credited Service'!$G$1:$BC$80,$A25+1,FALSE)) * (IF($B25=500, (Assumptions!$B$7)*12, IF((HLOOKUP(W$2,Earnings!$G$2:$BC$81,('Yearly Pension'!$A25)+1, FALSE)) &gt; W$1, (Assumptions!$B$8)*(W$1) + (Assumptions!$B$9)*MAX(0,  (HLOOKUP(W$2,Earnings!$G$2:$BC$81,('Yearly Pension'!$A25)+1, FALSE)) - W$1), ((Assumptions!$B$8)*'Yearly Pension'!W$1))))</f>
        <v>0</v>
      </c>
      <c r="X25" s="6">
        <f>(HLOOKUP('Yearly Pension'!X$2,'Credited Service'!$G$1:$BC$80,$A25+1,FALSE)) * (IF($B25=500, (Assumptions!$B$7)*12, IF((HLOOKUP(X$2,Earnings!$G$2:$BC$81,('Yearly Pension'!$A25)+1, FALSE)) &gt; X$1, (Assumptions!$B$8)*(X$1) + (Assumptions!$B$9)*MAX(0,  (HLOOKUP(X$2,Earnings!$G$2:$BC$81,('Yearly Pension'!$A25)+1, FALSE)) - X$1), ((Assumptions!$B$8)*'Yearly Pension'!X$1))))</f>
        <v>0</v>
      </c>
      <c r="Y25" s="6">
        <f>(HLOOKUP('Yearly Pension'!Y$2,'Credited Service'!$G$1:$BC$80,$A25+1,FALSE)) * (IF($B25=500, (Assumptions!$B$7)*12, IF((HLOOKUP(Y$2,Earnings!$G$2:$BC$81,('Yearly Pension'!$A25)+1, FALSE)) &gt; Y$1, (Assumptions!$B$8)*(Y$1) + (Assumptions!$B$9)*MAX(0,  (HLOOKUP(Y$2,Earnings!$G$2:$BC$81,('Yearly Pension'!$A25)+1, FALSE)) - Y$1), ((Assumptions!$B$8)*'Yearly Pension'!Y$1))))</f>
        <v>0</v>
      </c>
      <c r="Z25" s="6">
        <f>(HLOOKUP('Yearly Pension'!Z$2,'Credited Service'!$G$1:$BC$80,$A25+1,FALSE)) * (IF($B25=500, (Assumptions!$B$7)*12, IF((HLOOKUP(Z$2,Earnings!$G$2:$BC$81,('Yearly Pension'!$A25)+1, FALSE)) &gt; Z$1, (Assumptions!$B$8)*(Z$1) + (Assumptions!$B$9)*MAX(0,  (HLOOKUP(Z$2,Earnings!$G$2:$BC$81,('Yearly Pension'!$A25)+1, FALSE)) - Z$1), ((Assumptions!$B$8)*'Yearly Pension'!Z$1))))</f>
        <v>0</v>
      </c>
      <c r="AA25" s="6">
        <f>(HLOOKUP('Yearly Pension'!AA$2,'Credited Service'!$G$1:$BC$80,$A25+1,FALSE)) * (IF($B25=500, (Assumptions!$B$7)*12, IF((HLOOKUP(AA$2,Earnings!$G$2:$BC$81,('Yearly Pension'!$A25)+1, FALSE)) &gt; AA$1, (Assumptions!$B$8)*(AA$1) + (Assumptions!$B$9)*MAX(0,  (HLOOKUP(AA$2,Earnings!$G$2:$BC$81,('Yearly Pension'!$A25)+1, FALSE)) - AA$1), ((Assumptions!$B$8)*'Yearly Pension'!AA$1))))</f>
        <v>0</v>
      </c>
      <c r="AB25" s="6">
        <f>(HLOOKUP('Yearly Pension'!AB$2,'Credited Service'!$G$1:$BC$80,$A25+1,FALSE)) * (IF($B25=500, (Assumptions!$B$7)*12, IF((HLOOKUP(AB$2,Earnings!$G$2:$BC$81,('Yearly Pension'!$A25)+1, FALSE)) &gt; AB$1, (Assumptions!$B$8)*(AB$1) + (Assumptions!$B$9)*MAX(0,  (HLOOKUP(AB$2,Earnings!$G$2:$BC$81,('Yearly Pension'!$A25)+1, FALSE)) - AB$1), ((Assumptions!$B$8)*'Yearly Pension'!AB$1))))</f>
        <v>0</v>
      </c>
      <c r="AC25" s="6">
        <f>(HLOOKUP('Yearly Pension'!AC$2,'Credited Service'!$G$1:$BC$80,$A25+1,FALSE)) * (IF($B25=500, (Assumptions!$B$7)*12, IF((HLOOKUP(AC$2,Earnings!$G$2:$BC$81,('Yearly Pension'!$A25)+1, FALSE)) &gt; AC$1, (Assumptions!$B$8)*(AC$1) + (Assumptions!$B$9)*MAX(0,  (HLOOKUP(AC$2,Earnings!$G$2:$BC$81,('Yearly Pension'!$A25)+1, FALSE)) - AC$1), ((Assumptions!$B$8)*'Yearly Pension'!AC$1))))</f>
        <v>0</v>
      </c>
      <c r="AD25" s="6">
        <f>(HLOOKUP('Yearly Pension'!AD$2,'Credited Service'!$G$1:$BC$80,$A25+1,FALSE)) * (IF($B25=500, (Assumptions!$B$7)*12, IF((HLOOKUP(AD$2,Earnings!$G$2:$BC$81,('Yearly Pension'!$A25)+1, FALSE)) &gt; AD$1, (Assumptions!$B$8)*(AD$1) + (Assumptions!$B$9)*MAX(0,  (HLOOKUP(AD$2,Earnings!$G$2:$BC$81,('Yearly Pension'!$A25)+1, FALSE)) - AD$1), ((Assumptions!$B$8)*'Yearly Pension'!AD$1))))</f>
        <v>0</v>
      </c>
      <c r="AE25" s="6">
        <f>(HLOOKUP('Yearly Pension'!AE$2,'Credited Service'!$G$1:$BC$80,$A25+1,FALSE)) * (IF($B25=500, (Assumptions!$B$7)*12, IF((HLOOKUP(AE$2,Earnings!$G$2:$BC$81,('Yearly Pension'!$A25)+1, FALSE)) &gt; AE$1, (Assumptions!$B$8)*(AE$1) + (Assumptions!$B$9)*MAX(0,  (HLOOKUP(AE$2,Earnings!$G$2:$BC$81,('Yearly Pension'!$A25)+1, FALSE)) - AE$1), ((Assumptions!$B$8)*'Yearly Pension'!AE$1))))</f>
        <v>0</v>
      </c>
      <c r="AF25" s="6">
        <f>(HLOOKUP('Yearly Pension'!AF$2,'Credited Service'!$G$1:$BC$80,$A25+1,FALSE)) * (IF($B25=500, (Assumptions!$B$7)*12, IF((HLOOKUP(AF$2,Earnings!$G$2:$BC$81,('Yearly Pension'!$A25)+1, FALSE)) &gt; AF$1, (Assumptions!$B$8)*(AF$1) + (Assumptions!$B$9)*MAX(0,  (HLOOKUP(AF$2,Earnings!$G$2:$BC$81,('Yearly Pension'!$A25)+1, FALSE)) - AF$1), ((Assumptions!$B$8)*'Yearly Pension'!AF$1))))</f>
        <v>0</v>
      </c>
      <c r="AG25" s="6">
        <f>(HLOOKUP('Yearly Pension'!AG$2,'Credited Service'!$G$1:$BC$80,$A25+1,FALSE)) * (IF($B25=500, (Assumptions!$B$7)*12, IF((HLOOKUP(AG$2,Earnings!$G$2:$BC$81,('Yearly Pension'!$A25)+1, FALSE)) &gt; AG$1, (Assumptions!$B$8)*(AG$1) + (Assumptions!$B$9)*MAX(0,  (HLOOKUP(AG$2,Earnings!$G$2:$BC$81,('Yearly Pension'!$A25)+1, FALSE)) - AG$1), ((Assumptions!$B$8)*'Yearly Pension'!AG$1))))</f>
        <v>480</v>
      </c>
      <c r="AH25" s="6">
        <f>(HLOOKUP('Yearly Pension'!AH$2,'Credited Service'!$G$1:$BC$80,$A25+1,FALSE)) * (IF($B25=500, (Assumptions!$B$7)*12, IF((HLOOKUP(AH$2,Earnings!$G$2:$BC$81,('Yearly Pension'!$A25)+1, FALSE)) &gt; AH$1, (Assumptions!$B$8)*(AH$1) + (Assumptions!$B$9)*MAX(0,  (HLOOKUP(AH$2,Earnings!$G$2:$BC$81,('Yearly Pension'!$A25)+1, FALSE)) - AH$1), ((Assumptions!$B$8)*'Yearly Pension'!AH$1))))</f>
        <v>720</v>
      </c>
      <c r="AI25" s="6">
        <f>(HLOOKUP('Yearly Pension'!AI$2,'Credited Service'!$G$1:$BC$80,$A25+1,FALSE)) * (IF($B25=500, (Assumptions!$B$7)*12, IF((HLOOKUP(AI$2,Earnings!$G$2:$BC$81,('Yearly Pension'!$A25)+1, FALSE)) &gt; AI$1, (Assumptions!$B$8)*(AI$1) + (Assumptions!$B$9)*MAX(0,  (HLOOKUP(AI$2,Earnings!$G$2:$BC$81,('Yearly Pension'!$A25)+1, FALSE)) - AI$1), ((Assumptions!$B$8)*'Yearly Pension'!AI$1))))</f>
        <v>720</v>
      </c>
      <c r="AJ25" s="6">
        <f>(HLOOKUP('Yearly Pension'!AJ$2,'Credited Service'!$G$1:$BC$80,$A25+1,FALSE)) * (IF($B25=500, (Assumptions!$B$7)*12, IF((HLOOKUP(AJ$2,Earnings!$G$2:$BC$81,('Yearly Pension'!$A25)+1, FALSE)) &gt; AJ$1, (Assumptions!$B$8)*(AJ$1) + (Assumptions!$B$9)*MAX(0,  (HLOOKUP(AJ$2,Earnings!$G$2:$BC$81,('Yearly Pension'!$A25)+1, FALSE)) - AJ$1), ((Assumptions!$B$8)*'Yearly Pension'!AJ$1))))</f>
        <v>720</v>
      </c>
      <c r="AK25" s="6">
        <f>(HLOOKUP('Yearly Pension'!AK$2,'Credited Service'!$G$1:$BC$80,$A25+1,FALSE)) * (IF($B25=500, (Assumptions!$B$7)*12, IF((HLOOKUP(AK$2,Earnings!$G$2:$BC$81,('Yearly Pension'!$A25)+1, FALSE)) &gt; AK$1, (Assumptions!$B$8)*(AK$1) + (Assumptions!$B$9)*MAX(0,  (HLOOKUP(AK$2,Earnings!$G$2:$BC$81,('Yearly Pension'!$A25)+1, FALSE)) - AK$1), ((Assumptions!$B$8)*'Yearly Pension'!AK$1))))</f>
        <v>720</v>
      </c>
      <c r="AL25" s="6">
        <f>(HLOOKUP('Yearly Pension'!AL$2,'Credited Service'!$G$1:$BC$80,$A25+1,FALSE)) * (IF($B25=500, (Assumptions!$B$7)*12, IF((HLOOKUP(AL$2,Earnings!$G$2:$BC$81,('Yearly Pension'!$A25)+1, FALSE)) &gt; AL$1, (Assumptions!$B$8)*(AL$1) + (Assumptions!$B$9)*MAX(0,  (HLOOKUP(AL$2,Earnings!$G$2:$BC$81,('Yearly Pension'!$A25)+1, FALSE)) - AL$1), ((Assumptions!$B$8)*'Yearly Pension'!AL$1))))</f>
        <v>720</v>
      </c>
      <c r="AM25" s="6">
        <f>(HLOOKUP('Yearly Pension'!AM$2,'Credited Service'!$G$1:$BC$80,$A25+1,FALSE)) * (IF($B25=500, (Assumptions!$B$7)*12, IF((HLOOKUP(AM$2,Earnings!$G$2:$BC$81,('Yearly Pension'!$A25)+1, FALSE)) &gt; AM$1, (Assumptions!$B$8)*(AM$1) + (Assumptions!$B$9)*MAX(0,  (HLOOKUP(AM$2,Earnings!$G$2:$BC$81,('Yearly Pension'!$A25)+1, FALSE)) - AM$1), ((Assumptions!$B$8)*'Yearly Pension'!AM$1))))</f>
        <v>720</v>
      </c>
      <c r="AN25" s="6">
        <f>(HLOOKUP('Yearly Pension'!AN$2,'Credited Service'!$G$1:$BC$80,$A25+1,FALSE)) * (IF($B25=500, (Assumptions!$B$7)*12, IF((HLOOKUP(AN$2,Earnings!$G$2:$BC$81,('Yearly Pension'!$A25)+1, FALSE)) &gt; AN$1, (Assumptions!$B$8)*(AN$1) + (Assumptions!$B$9)*MAX(0,  (HLOOKUP(AN$2,Earnings!$G$2:$BC$81,('Yearly Pension'!$A25)+1, FALSE)) - AN$1), ((Assumptions!$B$8)*'Yearly Pension'!AN$1))))</f>
        <v>720</v>
      </c>
      <c r="AO25" s="6">
        <f>(HLOOKUP('Yearly Pension'!AO$2,'Credited Service'!$G$1:$BC$80,$A25+1,FALSE)) * (IF($B25=500, (Assumptions!$B$7)*12, IF((HLOOKUP(AO$2,Earnings!$G$2:$BC$81,('Yearly Pension'!$A25)+1, FALSE)) &gt; AO$1, (Assumptions!$B$8)*(AO$1) + (Assumptions!$B$9)*MAX(0,  (HLOOKUP(AO$2,Earnings!$G$2:$BC$81,('Yearly Pension'!$A25)+1, FALSE)) - AO$1), ((Assumptions!$B$8)*'Yearly Pension'!AO$1))))</f>
        <v>720</v>
      </c>
      <c r="AP25" s="6">
        <f>(HLOOKUP('Yearly Pension'!AP$2,'Credited Service'!$G$1:$BC$80,$A25+1,FALSE)) * (IF($B25=500, (Assumptions!$B$7)*12, IF((HLOOKUP(AP$2,Earnings!$G$2:$BC$81,('Yearly Pension'!$A25)+1, FALSE)) &gt; AP$1, (Assumptions!$B$8)*(AP$1) + (Assumptions!$B$9)*MAX(0,  (HLOOKUP(AP$2,Earnings!$G$2:$BC$81,('Yearly Pension'!$A25)+1, FALSE)) - AP$1), ((Assumptions!$B$8)*'Yearly Pension'!AP$1))))</f>
        <v>720</v>
      </c>
      <c r="AQ25" s="6">
        <f>(HLOOKUP('Yearly Pension'!AQ$2,'Credited Service'!$G$1:$BC$80,$A25+1,FALSE)) * (IF($B25=500, (Assumptions!$B$7)*12, IF((HLOOKUP(AQ$2,Earnings!$G$2:$BC$81,('Yearly Pension'!$A25)+1, FALSE)) &gt; AQ$1, (Assumptions!$B$8)*(AQ$1) + (Assumptions!$B$9)*MAX(0,  (HLOOKUP(AQ$2,Earnings!$G$2:$BC$81,('Yearly Pension'!$A25)+1, FALSE)) - AQ$1), ((Assumptions!$B$8)*'Yearly Pension'!AQ$1))))</f>
        <v>720</v>
      </c>
      <c r="AR25" s="6">
        <f>(HLOOKUP('Yearly Pension'!AR$2,'Credited Service'!$G$1:$BC$80,$A25+1,FALSE)) * (IF($B25=500, (Assumptions!$B$7)*12, IF((HLOOKUP(AR$2,Earnings!$G$2:$BC$81,('Yearly Pension'!$A25)+1, FALSE)) &gt; AR$1, (Assumptions!$B$8)*(AR$1) + (Assumptions!$B$9)*MAX(0,  (HLOOKUP(AR$2,Earnings!$G$2:$BC$81,('Yearly Pension'!$A25)+1, FALSE)) - AR$1), ((Assumptions!$B$8)*'Yearly Pension'!AR$1))))</f>
        <v>720</v>
      </c>
      <c r="AS25" s="6">
        <f>(HLOOKUP('Yearly Pension'!AS$2,'Credited Service'!$G$1:$BC$80,$A25+1,FALSE)) * (IF($B25=500, (Assumptions!$B$7)*12, IF((HLOOKUP(AS$2,Earnings!$G$2:$BC$81,('Yearly Pension'!$A25)+1, FALSE)) &gt; AS$1, (Assumptions!$B$8)*(AS$1) + (Assumptions!$B$9)*MAX(0,  (HLOOKUP(AS$2,Earnings!$G$2:$BC$81,('Yearly Pension'!$A25)+1, FALSE)) - AS$1), ((Assumptions!$B$8)*'Yearly Pension'!AS$1))))</f>
        <v>720</v>
      </c>
      <c r="AT25" s="6">
        <f>(HLOOKUP('Yearly Pension'!AT$2,'Credited Service'!$G$1:$BC$80,$A25+1,FALSE)) * (IF($B25=500, (Assumptions!$B$7)*12, IF((HLOOKUP(AT$2,Earnings!$G$2:$BC$81,('Yearly Pension'!$A25)+1, FALSE)) &gt; AT$1, (Assumptions!$B$8)*(AT$1) + (Assumptions!$B$9)*MAX(0,  (HLOOKUP(AT$2,Earnings!$G$2:$BC$81,('Yearly Pension'!$A25)+1, FALSE)) - AT$1), ((Assumptions!$B$8)*'Yearly Pension'!AT$1))))</f>
        <v>720</v>
      </c>
      <c r="AU25" s="6">
        <f>(HLOOKUP('Yearly Pension'!AU$2,'Credited Service'!$G$1:$BC$80,$A25+1,FALSE)) * (IF($B25=500, (Assumptions!$B$7)*12, IF((HLOOKUP(AU$2,Earnings!$G$2:$BC$81,('Yearly Pension'!$A25)+1, FALSE)) &gt; AU$1, (Assumptions!$B$8)*(AU$1) + (Assumptions!$B$9)*MAX(0,  (HLOOKUP(AU$2,Earnings!$G$2:$BC$81,('Yearly Pension'!$A25)+1, FALSE)) - AU$1), ((Assumptions!$B$8)*'Yearly Pension'!AU$1))))</f>
        <v>720</v>
      </c>
      <c r="AV25" s="6">
        <f>(HLOOKUP('Yearly Pension'!AV$2,'Credited Service'!$G$1:$BC$80,$A25+1,FALSE)) * (IF($B25=500, (Assumptions!$B$7)*12, IF((HLOOKUP(AV$2,Earnings!$G$2:$BC$81,('Yearly Pension'!$A25)+1, FALSE)) &gt; AV$1, (Assumptions!$B$8)*(AV$1) + (Assumptions!$B$9)*MAX(0,  (HLOOKUP(AV$2,Earnings!$G$2:$BC$81,('Yearly Pension'!$A25)+1, FALSE)) - AV$1), ((Assumptions!$B$8)*'Yearly Pension'!AV$1))))</f>
        <v>720</v>
      </c>
      <c r="AW25" s="6">
        <f>(HLOOKUP('Yearly Pension'!AW$2,'Credited Service'!$G$1:$BC$80,$A25+1,FALSE)) * (IF($B25=500, (Assumptions!$B$7)*12, IF((HLOOKUP(AW$2,Earnings!$G$2:$BC$81,('Yearly Pension'!$A25)+1, FALSE)) &gt; AW$1, (Assumptions!$B$8)*(AW$1) + (Assumptions!$B$9)*MAX(0,  (HLOOKUP(AW$2,Earnings!$G$2:$BC$81,('Yearly Pension'!$A25)+1, FALSE)) - AW$1), ((Assumptions!$B$8)*'Yearly Pension'!AW$1))))</f>
        <v>720</v>
      </c>
      <c r="AX25" s="6">
        <f>(HLOOKUP('Yearly Pension'!AX$2,'Credited Service'!$G$1:$BC$80,$A25+1,FALSE)) * (IF($B25=500, (Assumptions!$B$7)*12, IF((HLOOKUP(AX$2,Earnings!$G$2:$BC$81,('Yearly Pension'!$A25)+1, FALSE)) &gt; AX$1, (Assumptions!$B$8)*(AX$1) + (Assumptions!$B$9)*MAX(0,  (HLOOKUP(AX$2,Earnings!$G$2:$BC$81,('Yearly Pension'!$A25)+1, FALSE)) - AX$1), ((Assumptions!$B$8)*'Yearly Pension'!AX$1))))</f>
        <v>720</v>
      </c>
      <c r="AY25" s="6">
        <f>(HLOOKUP('Yearly Pension'!AY$2,'Credited Service'!$G$1:$BC$80,$A25+1,FALSE)) * (IF($B25=500, (Assumptions!$B$7)*12, IF((HLOOKUP(AY$2,Earnings!$G$2:$BC$81,('Yearly Pension'!$A25)+1, FALSE)) &gt; AY$1, (Assumptions!$B$8)*(AY$1) + (Assumptions!$B$9)*MAX(0,  (HLOOKUP(AY$2,Earnings!$G$2:$BC$81,('Yearly Pension'!$A25)+1, FALSE)) - AY$1), ((Assumptions!$B$8)*'Yearly Pension'!AY$1))))</f>
        <v>720</v>
      </c>
      <c r="AZ25" s="6">
        <f>(HLOOKUP('Yearly Pension'!AZ$2,'Credited Service'!$G$1:$BC$80,$A25+1,FALSE)) * (IF($B25=500, (Assumptions!$B$7)*12, IF((HLOOKUP(AZ$2,Earnings!$G$2:$BC$81,('Yearly Pension'!$A25)+1, FALSE)) &gt; AZ$1, (Assumptions!$B$8)*(AZ$1) + (Assumptions!$B$9)*MAX(0,  (HLOOKUP(AZ$2,Earnings!$G$2:$BC$81,('Yearly Pension'!$A25)+1, FALSE)) - AZ$1), ((Assumptions!$B$8)*'Yearly Pension'!AZ$1))))</f>
        <v>720</v>
      </c>
      <c r="BA25" s="6">
        <f>(HLOOKUP('Yearly Pension'!BA$2,'Credited Service'!$G$1:$BC$80,$A25+1,FALSE)) * (IF($B25=500, (Assumptions!$B$7)*12, IF((HLOOKUP(BA$2,Earnings!$G$2:$BC$81,('Yearly Pension'!$A25)+1, FALSE)) &gt; BA$1, (Assumptions!$B$8)*(BA$1) + (Assumptions!$B$9)*MAX(0,  (HLOOKUP(BA$2,Earnings!$G$2:$BC$81,('Yearly Pension'!$A25)+1, FALSE)) - BA$1), ((Assumptions!$B$8)*'Yearly Pension'!BA$1))))</f>
        <v>720</v>
      </c>
      <c r="BB25" s="6">
        <f>(HLOOKUP('Yearly Pension'!BB$2,'Credited Service'!$G$1:$BC$80,$A25+1,FALSE)) * (IF($B25=500, (Assumptions!$B$7)*12, IF((HLOOKUP(BB$2,Earnings!$G$2:$BC$81,('Yearly Pension'!$A25)+1, FALSE)) &gt; BB$1, (Assumptions!$B$8)*(BB$1) + (Assumptions!$B$9)*MAX(0,  (HLOOKUP(BB$2,Earnings!$G$2:$BC$81,('Yearly Pension'!$A25)+1, FALSE)) - BB$1), ((Assumptions!$B$8)*'Yearly Pension'!BB$1))))</f>
        <v>720</v>
      </c>
      <c r="BC25" s="6">
        <f>(HLOOKUP('Yearly Pension'!BC$2,'Credited Service'!$G$1:$BC$80,$A25+1,FALSE)) * (IF($B25=500, (Assumptions!$B$7)*12, IF((HLOOKUP(BC$2,Earnings!$G$2:$BC$81,('Yearly Pension'!$A25)+1, FALSE)) &gt; BC$1, (Assumptions!$B$8)*(BC$1) + (Assumptions!$B$9)*MAX(0,  (HLOOKUP(BC$2,Earnings!$G$2:$BC$81,('Yearly Pension'!$A25)+1, FALSE)) - BC$1), ((Assumptions!$B$8)*'Yearly Pension'!BC$1))))</f>
        <v>720</v>
      </c>
    </row>
    <row r="26" spans="1:55" x14ac:dyDescent="0.25">
      <c r="A26" s="204">
        <v>24</v>
      </c>
      <c r="B26" s="1">
        <v>500</v>
      </c>
      <c r="C26" s="1">
        <v>758</v>
      </c>
      <c r="D26" s="3">
        <v>37872</v>
      </c>
      <c r="E26" s="3">
        <v>52171</v>
      </c>
      <c r="G26" s="6">
        <f>(HLOOKUP('Yearly Pension'!G$2,'Credited Service'!$G$1:$BC$80,$A26+1,FALSE)) * (IF($B26=500, (Assumptions!$B$7)*12, IF((HLOOKUP(G$2,Earnings!$G$2:$BC$81,('Yearly Pension'!$A26)+1, FALSE)) &gt; G$1, (Assumptions!$B$8)*(G$1) + (Assumptions!$B$9)*MAX(0,  (HLOOKUP(G$2,Earnings!$G$2:$BC$81,('Yearly Pension'!$A26)+1, FALSE)) - G$1), ((Assumptions!$B$8)*'Yearly Pension'!G$1))))</f>
        <v>0</v>
      </c>
      <c r="H26" s="6">
        <f>(HLOOKUP('Yearly Pension'!H$2,'Credited Service'!$G$1:$BC$80,$A26+1,FALSE)) * (IF($B26=500, (Assumptions!$B$7)*12, IF((HLOOKUP(H$2,Earnings!$G$2:$BC$81,('Yearly Pension'!$A26)+1, FALSE)) &gt; H$1, (Assumptions!$B$8)*(H$1) + (Assumptions!$B$9)*MAX(0,  (HLOOKUP(H$2,Earnings!$G$2:$BC$81,('Yearly Pension'!$A26)+1, FALSE)) - H$1), ((Assumptions!$B$8)*'Yearly Pension'!H$1))))</f>
        <v>0</v>
      </c>
      <c r="I26" s="6">
        <f>(HLOOKUP('Yearly Pension'!I$2,'Credited Service'!$G$1:$BC$80,$A26+1,FALSE)) * (IF($B26=500, (Assumptions!$B$7)*12, IF((HLOOKUP(I$2,Earnings!$G$2:$BC$81,('Yearly Pension'!$A26)+1, FALSE)) &gt; I$1, (Assumptions!$B$8)*(I$1) + (Assumptions!$B$9)*MAX(0,  (HLOOKUP(I$2,Earnings!$G$2:$BC$81,('Yearly Pension'!$A26)+1, FALSE)) - I$1), ((Assumptions!$B$8)*'Yearly Pension'!I$1))))</f>
        <v>0</v>
      </c>
      <c r="J26" s="6">
        <f>(HLOOKUP('Yearly Pension'!J$2,'Credited Service'!$G$1:$BC$80,$A26+1,FALSE)) * (IF($B26=500, (Assumptions!$B$7)*12, IF((HLOOKUP(J$2,Earnings!$G$2:$BC$81,('Yearly Pension'!$A26)+1, FALSE)) &gt; J$1, (Assumptions!$B$8)*(J$1) + (Assumptions!$B$9)*MAX(0,  (HLOOKUP(J$2,Earnings!$G$2:$BC$81,('Yearly Pension'!$A26)+1, FALSE)) - J$1), ((Assumptions!$B$8)*'Yearly Pension'!J$1))))</f>
        <v>0</v>
      </c>
      <c r="K26" s="6">
        <f>(HLOOKUP('Yearly Pension'!K$2,'Credited Service'!$G$1:$BC$80,$A26+1,FALSE)) * (IF($B26=500, (Assumptions!$B$7)*12, IF((HLOOKUP(K$2,Earnings!$G$2:$BC$81,('Yearly Pension'!$A26)+1, FALSE)) &gt; K$1, (Assumptions!$B$8)*(K$1) + (Assumptions!$B$9)*MAX(0,  (HLOOKUP(K$2,Earnings!$G$2:$BC$81,('Yearly Pension'!$A26)+1, FALSE)) - K$1), ((Assumptions!$B$8)*'Yearly Pension'!K$1))))</f>
        <v>0</v>
      </c>
      <c r="L26" s="6">
        <f>(HLOOKUP('Yearly Pension'!L$2,'Credited Service'!$G$1:$BC$80,$A26+1,FALSE)) * (IF($B26=500, (Assumptions!$B$7)*12, IF((HLOOKUP(L$2,Earnings!$G$2:$BC$81,('Yearly Pension'!$A26)+1, FALSE)) &gt; L$1, (Assumptions!$B$8)*(L$1) + (Assumptions!$B$9)*MAX(0,  (HLOOKUP(L$2,Earnings!$G$2:$BC$81,('Yearly Pension'!$A26)+1, FALSE)) - L$1), ((Assumptions!$B$8)*'Yearly Pension'!L$1))))</f>
        <v>0</v>
      </c>
      <c r="M26" s="6">
        <f>(HLOOKUP('Yearly Pension'!M$2,'Credited Service'!$G$1:$BC$80,$A26+1,FALSE)) * (IF($B26=500, (Assumptions!$B$7)*12, IF((HLOOKUP(M$2,Earnings!$G$2:$BC$81,('Yearly Pension'!$A26)+1, FALSE)) &gt; M$1, (Assumptions!$B$8)*(M$1) + (Assumptions!$B$9)*MAX(0,  (HLOOKUP(M$2,Earnings!$G$2:$BC$81,('Yearly Pension'!$A26)+1, FALSE)) - M$1), ((Assumptions!$B$8)*'Yearly Pension'!M$1))))</f>
        <v>0</v>
      </c>
      <c r="N26" s="6">
        <f>(HLOOKUP('Yearly Pension'!N$2,'Credited Service'!$G$1:$BC$80,$A26+1,FALSE)) * (IF($B26=500, (Assumptions!$B$7)*12, IF((HLOOKUP(N$2,Earnings!$G$2:$BC$81,('Yearly Pension'!$A26)+1, FALSE)) &gt; N$1, (Assumptions!$B$8)*(N$1) + (Assumptions!$B$9)*MAX(0,  (HLOOKUP(N$2,Earnings!$G$2:$BC$81,('Yearly Pension'!$A26)+1, FALSE)) - N$1), ((Assumptions!$B$8)*'Yearly Pension'!N$1))))</f>
        <v>0</v>
      </c>
      <c r="O26" s="6">
        <f>(HLOOKUP('Yearly Pension'!O$2,'Credited Service'!$G$1:$BC$80,$A26+1,FALSE)) * (IF($B26=500, (Assumptions!$B$7)*12, IF((HLOOKUP(O$2,Earnings!$G$2:$BC$81,('Yearly Pension'!$A26)+1, FALSE)) &gt; O$1, (Assumptions!$B$8)*(O$1) + (Assumptions!$B$9)*MAX(0,  (HLOOKUP(O$2,Earnings!$G$2:$BC$81,('Yearly Pension'!$A26)+1, FALSE)) - O$1), ((Assumptions!$B$8)*'Yearly Pension'!O$1))))</f>
        <v>0</v>
      </c>
      <c r="P26" s="6">
        <f>(HLOOKUP('Yearly Pension'!P$2,'Credited Service'!$G$1:$BC$80,$A26+1,FALSE)) * (IF($B26=500, (Assumptions!$B$7)*12, IF((HLOOKUP(P$2,Earnings!$G$2:$BC$81,('Yearly Pension'!$A26)+1, FALSE)) &gt; P$1, (Assumptions!$B$8)*(P$1) + (Assumptions!$B$9)*MAX(0,  (HLOOKUP(P$2,Earnings!$G$2:$BC$81,('Yearly Pension'!$A26)+1, FALSE)) - P$1), ((Assumptions!$B$8)*'Yearly Pension'!P$1))))</f>
        <v>0</v>
      </c>
      <c r="Q26" s="6">
        <f>(HLOOKUP('Yearly Pension'!Q$2,'Credited Service'!$G$1:$BC$80,$A26+1,FALSE)) * (IF($B26=500, (Assumptions!$B$7)*12, IF((HLOOKUP(Q$2,Earnings!$G$2:$BC$81,('Yearly Pension'!$A26)+1, FALSE)) &gt; Q$1, (Assumptions!$B$8)*(Q$1) + (Assumptions!$B$9)*MAX(0,  (HLOOKUP(Q$2,Earnings!$G$2:$BC$81,('Yearly Pension'!$A26)+1, FALSE)) - Q$1), ((Assumptions!$B$8)*'Yearly Pension'!Q$1))))</f>
        <v>0</v>
      </c>
      <c r="R26" s="6">
        <f>(HLOOKUP('Yearly Pension'!R$2,'Credited Service'!$G$1:$BC$80,$A26+1,FALSE)) * (IF($B26=500, (Assumptions!$B$7)*12, IF((HLOOKUP(R$2,Earnings!$G$2:$BC$81,('Yearly Pension'!$A26)+1, FALSE)) &gt; R$1, (Assumptions!$B$8)*(R$1) + (Assumptions!$B$9)*MAX(0,  (HLOOKUP(R$2,Earnings!$G$2:$BC$81,('Yearly Pension'!$A26)+1, FALSE)) - R$1), ((Assumptions!$B$8)*'Yearly Pension'!R$1))))</f>
        <v>0</v>
      </c>
      <c r="S26" s="6">
        <f>(HLOOKUP('Yearly Pension'!S$2,'Credited Service'!$G$1:$BC$80,$A26+1,FALSE)) * (IF($B26=500, (Assumptions!$B$7)*12, IF((HLOOKUP(S$2,Earnings!$G$2:$BC$81,('Yearly Pension'!$A26)+1, FALSE)) &gt; S$1, (Assumptions!$B$8)*(S$1) + (Assumptions!$B$9)*MAX(0,  (HLOOKUP(S$2,Earnings!$G$2:$BC$81,('Yearly Pension'!$A26)+1, FALSE)) - S$1), ((Assumptions!$B$8)*'Yearly Pension'!S$1))))</f>
        <v>0</v>
      </c>
      <c r="T26" s="6">
        <f>(HLOOKUP('Yearly Pension'!T$2,'Credited Service'!$G$1:$BC$80,$A26+1,FALSE)) * (IF($B26=500, (Assumptions!$B$7)*12, IF((HLOOKUP(T$2,Earnings!$G$2:$BC$81,('Yearly Pension'!$A26)+1, FALSE)) &gt; T$1, (Assumptions!$B$8)*(T$1) + (Assumptions!$B$9)*MAX(0,  (HLOOKUP(T$2,Earnings!$G$2:$BC$81,('Yearly Pension'!$A26)+1, FALSE)) - T$1), ((Assumptions!$B$8)*'Yearly Pension'!T$1))))</f>
        <v>0</v>
      </c>
      <c r="U26" s="6">
        <f>(HLOOKUP('Yearly Pension'!U$2,'Credited Service'!$G$1:$BC$80,$A26+1,FALSE)) * (IF($B26=500, (Assumptions!$B$7)*12, IF((HLOOKUP(U$2,Earnings!$G$2:$BC$81,('Yearly Pension'!$A26)+1, FALSE)) &gt; U$1, (Assumptions!$B$8)*(U$1) + (Assumptions!$B$9)*MAX(0,  (HLOOKUP(U$2,Earnings!$G$2:$BC$81,('Yearly Pension'!$A26)+1, FALSE)) - U$1), ((Assumptions!$B$8)*'Yearly Pension'!U$1))))</f>
        <v>0</v>
      </c>
      <c r="V26" s="6">
        <f>(HLOOKUP('Yearly Pension'!V$2,'Credited Service'!$G$1:$BC$80,$A26+1,FALSE)) * (IF($B26=500, (Assumptions!$B$7)*12, IF((HLOOKUP(V$2,Earnings!$G$2:$BC$81,('Yearly Pension'!$A26)+1, FALSE)) &gt; V$1, (Assumptions!$B$8)*(V$1) + (Assumptions!$B$9)*MAX(0,  (HLOOKUP(V$2,Earnings!$G$2:$BC$81,('Yearly Pension'!$A26)+1, FALSE)) - V$1), ((Assumptions!$B$8)*'Yearly Pension'!V$1))))</f>
        <v>0</v>
      </c>
      <c r="W26" s="6">
        <f>(HLOOKUP('Yearly Pension'!W$2,'Credited Service'!$G$1:$BC$80,$A26+1,FALSE)) * (IF($B26=500, (Assumptions!$B$7)*12, IF((HLOOKUP(W$2,Earnings!$G$2:$BC$81,('Yearly Pension'!$A26)+1, FALSE)) &gt; W$1, (Assumptions!$B$8)*(W$1) + (Assumptions!$B$9)*MAX(0,  (HLOOKUP(W$2,Earnings!$G$2:$BC$81,('Yearly Pension'!$A26)+1, FALSE)) - W$1), ((Assumptions!$B$8)*'Yearly Pension'!W$1))))</f>
        <v>0</v>
      </c>
      <c r="X26" s="6">
        <f>(HLOOKUP('Yearly Pension'!X$2,'Credited Service'!$G$1:$BC$80,$A26+1,FALSE)) * (IF($B26=500, (Assumptions!$B$7)*12, IF((HLOOKUP(X$2,Earnings!$G$2:$BC$81,('Yearly Pension'!$A26)+1, FALSE)) &gt; X$1, (Assumptions!$B$8)*(X$1) + (Assumptions!$B$9)*MAX(0,  (HLOOKUP(X$2,Earnings!$G$2:$BC$81,('Yearly Pension'!$A26)+1, FALSE)) - X$1), ((Assumptions!$B$8)*'Yearly Pension'!X$1))))</f>
        <v>0</v>
      </c>
      <c r="Y26" s="6">
        <f>(HLOOKUP('Yearly Pension'!Y$2,'Credited Service'!$G$1:$BC$80,$A26+1,FALSE)) * (IF($B26=500, (Assumptions!$B$7)*12, IF((HLOOKUP(Y$2,Earnings!$G$2:$BC$81,('Yearly Pension'!$A26)+1, FALSE)) &gt; Y$1, (Assumptions!$B$8)*(Y$1) + (Assumptions!$B$9)*MAX(0,  (HLOOKUP(Y$2,Earnings!$G$2:$BC$81,('Yearly Pension'!$A26)+1, FALSE)) - Y$1), ((Assumptions!$B$8)*'Yearly Pension'!Y$1))))</f>
        <v>0</v>
      </c>
      <c r="Z26" s="6">
        <f>(HLOOKUP('Yearly Pension'!Z$2,'Credited Service'!$G$1:$BC$80,$A26+1,FALSE)) * (IF($B26=500, (Assumptions!$B$7)*12, IF((HLOOKUP(Z$2,Earnings!$G$2:$BC$81,('Yearly Pension'!$A26)+1, FALSE)) &gt; Z$1, (Assumptions!$B$8)*(Z$1) + (Assumptions!$B$9)*MAX(0,  (HLOOKUP(Z$2,Earnings!$G$2:$BC$81,('Yearly Pension'!$A26)+1, FALSE)) - Z$1), ((Assumptions!$B$8)*'Yearly Pension'!Z$1))))</f>
        <v>0</v>
      </c>
      <c r="AA26" s="6">
        <f>(HLOOKUP('Yearly Pension'!AA$2,'Credited Service'!$G$1:$BC$80,$A26+1,FALSE)) * (IF($B26=500, (Assumptions!$B$7)*12, IF((HLOOKUP(AA$2,Earnings!$G$2:$BC$81,('Yearly Pension'!$A26)+1, FALSE)) &gt; AA$1, (Assumptions!$B$8)*(AA$1) + (Assumptions!$B$9)*MAX(0,  (HLOOKUP(AA$2,Earnings!$G$2:$BC$81,('Yearly Pension'!$A26)+1, FALSE)) - AA$1), ((Assumptions!$B$8)*'Yearly Pension'!AA$1))))</f>
        <v>0</v>
      </c>
      <c r="AB26" s="6">
        <f>(HLOOKUP('Yearly Pension'!AB$2,'Credited Service'!$G$1:$BC$80,$A26+1,FALSE)) * (IF($B26=500, (Assumptions!$B$7)*12, IF((HLOOKUP(AB$2,Earnings!$G$2:$BC$81,('Yearly Pension'!$A26)+1, FALSE)) &gt; AB$1, (Assumptions!$B$8)*(AB$1) + (Assumptions!$B$9)*MAX(0,  (HLOOKUP(AB$2,Earnings!$G$2:$BC$81,('Yearly Pension'!$A26)+1, FALSE)) - AB$1), ((Assumptions!$B$8)*'Yearly Pension'!AB$1))))</f>
        <v>0</v>
      </c>
      <c r="AC26" s="6">
        <f>(HLOOKUP('Yearly Pension'!AC$2,'Credited Service'!$G$1:$BC$80,$A26+1,FALSE)) * (IF($B26=500, (Assumptions!$B$7)*12, IF((HLOOKUP(AC$2,Earnings!$G$2:$BC$81,('Yearly Pension'!$A26)+1, FALSE)) &gt; AC$1, (Assumptions!$B$8)*(AC$1) + (Assumptions!$B$9)*MAX(0,  (HLOOKUP(AC$2,Earnings!$G$2:$BC$81,('Yearly Pension'!$A26)+1, FALSE)) - AC$1), ((Assumptions!$B$8)*'Yearly Pension'!AC$1))))</f>
        <v>0</v>
      </c>
      <c r="AD26" s="6">
        <f>(HLOOKUP('Yearly Pension'!AD$2,'Credited Service'!$G$1:$BC$80,$A26+1,FALSE)) * (IF($B26=500, (Assumptions!$B$7)*12, IF((HLOOKUP(AD$2,Earnings!$G$2:$BC$81,('Yearly Pension'!$A26)+1, FALSE)) &gt; AD$1, (Assumptions!$B$8)*(AD$1) + (Assumptions!$B$9)*MAX(0,  (HLOOKUP(AD$2,Earnings!$G$2:$BC$81,('Yearly Pension'!$A26)+1, FALSE)) - AD$1), ((Assumptions!$B$8)*'Yearly Pension'!AD$1))))</f>
        <v>0</v>
      </c>
      <c r="AE26" s="6">
        <f>(HLOOKUP('Yearly Pension'!AE$2,'Credited Service'!$G$1:$BC$80,$A26+1,FALSE)) * (IF($B26=500, (Assumptions!$B$7)*12, IF((HLOOKUP(AE$2,Earnings!$G$2:$BC$81,('Yearly Pension'!$A26)+1, FALSE)) &gt; AE$1, (Assumptions!$B$8)*(AE$1) + (Assumptions!$B$9)*MAX(0,  (HLOOKUP(AE$2,Earnings!$G$2:$BC$81,('Yearly Pension'!$A26)+1, FALSE)) - AE$1), ((Assumptions!$B$8)*'Yearly Pension'!AE$1))))</f>
        <v>0</v>
      </c>
      <c r="AF26" s="6">
        <f>(HLOOKUP('Yearly Pension'!AF$2,'Credited Service'!$G$1:$BC$80,$A26+1,FALSE)) * (IF($B26=500, (Assumptions!$B$7)*12, IF((HLOOKUP(AF$2,Earnings!$G$2:$BC$81,('Yearly Pension'!$A26)+1, FALSE)) &gt; AF$1, (Assumptions!$B$8)*(AF$1) + (Assumptions!$B$9)*MAX(0,  (HLOOKUP(AF$2,Earnings!$G$2:$BC$81,('Yearly Pension'!$A26)+1, FALSE)) - AF$1), ((Assumptions!$B$8)*'Yearly Pension'!AF$1))))</f>
        <v>0</v>
      </c>
      <c r="AG26" s="6">
        <f>(HLOOKUP('Yearly Pension'!AG$2,'Credited Service'!$G$1:$BC$80,$A26+1,FALSE)) * (IF($B26=500, (Assumptions!$B$7)*12, IF((HLOOKUP(AG$2,Earnings!$G$2:$BC$81,('Yearly Pension'!$A26)+1, FALSE)) &gt; AG$1, (Assumptions!$B$8)*(AG$1) + (Assumptions!$B$9)*MAX(0,  (HLOOKUP(AG$2,Earnings!$G$2:$BC$81,('Yearly Pension'!$A26)+1, FALSE)) - AG$1), ((Assumptions!$B$8)*'Yearly Pension'!AG$1))))</f>
        <v>180</v>
      </c>
      <c r="AH26" s="6">
        <f>(HLOOKUP('Yearly Pension'!AH$2,'Credited Service'!$G$1:$BC$80,$A26+1,FALSE)) * (IF($B26=500, (Assumptions!$B$7)*12, IF((HLOOKUP(AH$2,Earnings!$G$2:$BC$81,('Yearly Pension'!$A26)+1, FALSE)) &gt; AH$1, (Assumptions!$B$8)*(AH$1) + (Assumptions!$B$9)*MAX(0,  (HLOOKUP(AH$2,Earnings!$G$2:$BC$81,('Yearly Pension'!$A26)+1, FALSE)) - AH$1), ((Assumptions!$B$8)*'Yearly Pension'!AH$1))))</f>
        <v>720</v>
      </c>
      <c r="AI26" s="6">
        <f>(HLOOKUP('Yearly Pension'!AI$2,'Credited Service'!$G$1:$BC$80,$A26+1,FALSE)) * (IF($B26=500, (Assumptions!$B$7)*12, IF((HLOOKUP(AI$2,Earnings!$G$2:$BC$81,('Yearly Pension'!$A26)+1, FALSE)) &gt; AI$1, (Assumptions!$B$8)*(AI$1) + (Assumptions!$B$9)*MAX(0,  (HLOOKUP(AI$2,Earnings!$G$2:$BC$81,('Yearly Pension'!$A26)+1, FALSE)) - AI$1), ((Assumptions!$B$8)*'Yearly Pension'!AI$1))))</f>
        <v>720</v>
      </c>
      <c r="AJ26" s="6">
        <f>(HLOOKUP('Yearly Pension'!AJ$2,'Credited Service'!$G$1:$BC$80,$A26+1,FALSE)) * (IF($B26=500, (Assumptions!$B$7)*12, IF((HLOOKUP(AJ$2,Earnings!$G$2:$BC$81,('Yearly Pension'!$A26)+1, FALSE)) &gt; AJ$1, (Assumptions!$B$8)*(AJ$1) + (Assumptions!$B$9)*MAX(0,  (HLOOKUP(AJ$2,Earnings!$G$2:$BC$81,('Yearly Pension'!$A26)+1, FALSE)) - AJ$1), ((Assumptions!$B$8)*'Yearly Pension'!AJ$1))))</f>
        <v>720</v>
      </c>
      <c r="AK26" s="6">
        <f>(HLOOKUP('Yearly Pension'!AK$2,'Credited Service'!$G$1:$BC$80,$A26+1,FALSE)) * (IF($B26=500, (Assumptions!$B$7)*12, IF((HLOOKUP(AK$2,Earnings!$G$2:$BC$81,('Yearly Pension'!$A26)+1, FALSE)) &gt; AK$1, (Assumptions!$B$8)*(AK$1) + (Assumptions!$B$9)*MAX(0,  (HLOOKUP(AK$2,Earnings!$G$2:$BC$81,('Yearly Pension'!$A26)+1, FALSE)) - AK$1), ((Assumptions!$B$8)*'Yearly Pension'!AK$1))))</f>
        <v>720</v>
      </c>
      <c r="AL26" s="6">
        <f>(HLOOKUP('Yearly Pension'!AL$2,'Credited Service'!$G$1:$BC$80,$A26+1,FALSE)) * (IF($B26=500, (Assumptions!$B$7)*12, IF((HLOOKUP(AL$2,Earnings!$G$2:$BC$81,('Yearly Pension'!$A26)+1, FALSE)) &gt; AL$1, (Assumptions!$B$8)*(AL$1) + (Assumptions!$B$9)*MAX(0,  (HLOOKUP(AL$2,Earnings!$G$2:$BC$81,('Yearly Pension'!$A26)+1, FALSE)) - AL$1), ((Assumptions!$B$8)*'Yearly Pension'!AL$1))))</f>
        <v>720</v>
      </c>
      <c r="AM26" s="6">
        <f>(HLOOKUP('Yearly Pension'!AM$2,'Credited Service'!$G$1:$BC$80,$A26+1,FALSE)) * (IF($B26=500, (Assumptions!$B$7)*12, IF((HLOOKUP(AM$2,Earnings!$G$2:$BC$81,('Yearly Pension'!$A26)+1, FALSE)) &gt; AM$1, (Assumptions!$B$8)*(AM$1) + (Assumptions!$B$9)*MAX(0,  (HLOOKUP(AM$2,Earnings!$G$2:$BC$81,('Yearly Pension'!$A26)+1, FALSE)) - AM$1), ((Assumptions!$B$8)*'Yearly Pension'!AM$1))))</f>
        <v>720</v>
      </c>
      <c r="AN26" s="6">
        <f>(HLOOKUP('Yearly Pension'!AN$2,'Credited Service'!$G$1:$BC$80,$A26+1,FALSE)) * (IF($B26=500, (Assumptions!$B$7)*12, IF((HLOOKUP(AN$2,Earnings!$G$2:$BC$81,('Yearly Pension'!$A26)+1, FALSE)) &gt; AN$1, (Assumptions!$B$8)*(AN$1) + (Assumptions!$B$9)*MAX(0,  (HLOOKUP(AN$2,Earnings!$G$2:$BC$81,('Yearly Pension'!$A26)+1, FALSE)) - AN$1), ((Assumptions!$B$8)*'Yearly Pension'!AN$1))))</f>
        <v>720</v>
      </c>
      <c r="AO26" s="6">
        <f>(HLOOKUP('Yearly Pension'!AO$2,'Credited Service'!$G$1:$BC$80,$A26+1,FALSE)) * (IF($B26=500, (Assumptions!$B$7)*12, IF((HLOOKUP(AO$2,Earnings!$G$2:$BC$81,('Yearly Pension'!$A26)+1, FALSE)) &gt; AO$1, (Assumptions!$B$8)*(AO$1) + (Assumptions!$B$9)*MAX(0,  (HLOOKUP(AO$2,Earnings!$G$2:$BC$81,('Yearly Pension'!$A26)+1, FALSE)) - AO$1), ((Assumptions!$B$8)*'Yearly Pension'!AO$1))))</f>
        <v>720</v>
      </c>
      <c r="AP26" s="6">
        <f>(HLOOKUP('Yearly Pension'!AP$2,'Credited Service'!$G$1:$BC$80,$A26+1,FALSE)) * (IF($B26=500, (Assumptions!$B$7)*12, IF((HLOOKUP(AP$2,Earnings!$G$2:$BC$81,('Yearly Pension'!$A26)+1, FALSE)) &gt; AP$1, (Assumptions!$B$8)*(AP$1) + (Assumptions!$B$9)*MAX(0,  (HLOOKUP(AP$2,Earnings!$G$2:$BC$81,('Yearly Pension'!$A26)+1, FALSE)) - AP$1), ((Assumptions!$B$8)*'Yearly Pension'!AP$1))))</f>
        <v>720</v>
      </c>
      <c r="AQ26" s="6">
        <f>(HLOOKUP('Yearly Pension'!AQ$2,'Credited Service'!$G$1:$BC$80,$A26+1,FALSE)) * (IF($B26=500, (Assumptions!$B$7)*12, IF((HLOOKUP(AQ$2,Earnings!$G$2:$BC$81,('Yearly Pension'!$A26)+1, FALSE)) &gt; AQ$1, (Assumptions!$B$8)*(AQ$1) + (Assumptions!$B$9)*MAX(0,  (HLOOKUP(AQ$2,Earnings!$G$2:$BC$81,('Yearly Pension'!$A26)+1, FALSE)) - AQ$1), ((Assumptions!$B$8)*'Yearly Pension'!AQ$1))))</f>
        <v>720</v>
      </c>
      <c r="AR26" s="6">
        <f>(HLOOKUP('Yearly Pension'!AR$2,'Credited Service'!$G$1:$BC$80,$A26+1,FALSE)) * (IF($B26=500, (Assumptions!$B$7)*12, IF((HLOOKUP(AR$2,Earnings!$G$2:$BC$81,('Yearly Pension'!$A26)+1, FALSE)) &gt; AR$1, (Assumptions!$B$8)*(AR$1) + (Assumptions!$B$9)*MAX(0,  (HLOOKUP(AR$2,Earnings!$G$2:$BC$81,('Yearly Pension'!$A26)+1, FALSE)) - AR$1), ((Assumptions!$B$8)*'Yearly Pension'!AR$1))))</f>
        <v>720</v>
      </c>
      <c r="AS26" s="6">
        <f>(HLOOKUP('Yearly Pension'!AS$2,'Credited Service'!$G$1:$BC$80,$A26+1,FALSE)) * (IF($B26=500, (Assumptions!$B$7)*12, IF((HLOOKUP(AS$2,Earnings!$G$2:$BC$81,('Yearly Pension'!$A26)+1, FALSE)) &gt; AS$1, (Assumptions!$B$8)*(AS$1) + (Assumptions!$B$9)*MAX(0,  (HLOOKUP(AS$2,Earnings!$G$2:$BC$81,('Yearly Pension'!$A26)+1, FALSE)) - AS$1), ((Assumptions!$B$8)*'Yearly Pension'!AS$1))))</f>
        <v>720</v>
      </c>
      <c r="AT26" s="6">
        <f>(HLOOKUP('Yearly Pension'!AT$2,'Credited Service'!$G$1:$BC$80,$A26+1,FALSE)) * (IF($B26=500, (Assumptions!$B$7)*12, IF((HLOOKUP(AT$2,Earnings!$G$2:$BC$81,('Yearly Pension'!$A26)+1, FALSE)) &gt; AT$1, (Assumptions!$B$8)*(AT$1) + (Assumptions!$B$9)*MAX(0,  (HLOOKUP(AT$2,Earnings!$G$2:$BC$81,('Yearly Pension'!$A26)+1, FALSE)) - AT$1), ((Assumptions!$B$8)*'Yearly Pension'!AT$1))))</f>
        <v>720</v>
      </c>
      <c r="AU26" s="6">
        <f>(HLOOKUP('Yearly Pension'!AU$2,'Credited Service'!$G$1:$BC$80,$A26+1,FALSE)) * (IF($B26=500, (Assumptions!$B$7)*12, IF((HLOOKUP(AU$2,Earnings!$G$2:$BC$81,('Yearly Pension'!$A26)+1, FALSE)) &gt; AU$1, (Assumptions!$B$8)*(AU$1) + (Assumptions!$B$9)*MAX(0,  (HLOOKUP(AU$2,Earnings!$G$2:$BC$81,('Yearly Pension'!$A26)+1, FALSE)) - AU$1), ((Assumptions!$B$8)*'Yearly Pension'!AU$1))))</f>
        <v>720</v>
      </c>
      <c r="AV26" s="6">
        <f>(HLOOKUP('Yearly Pension'!AV$2,'Credited Service'!$G$1:$BC$80,$A26+1,FALSE)) * (IF($B26=500, (Assumptions!$B$7)*12, IF((HLOOKUP(AV$2,Earnings!$G$2:$BC$81,('Yearly Pension'!$A26)+1, FALSE)) &gt; AV$1, (Assumptions!$B$8)*(AV$1) + (Assumptions!$B$9)*MAX(0,  (HLOOKUP(AV$2,Earnings!$G$2:$BC$81,('Yearly Pension'!$A26)+1, FALSE)) - AV$1), ((Assumptions!$B$8)*'Yearly Pension'!AV$1))))</f>
        <v>720</v>
      </c>
      <c r="AW26" s="6">
        <f>(HLOOKUP('Yearly Pension'!AW$2,'Credited Service'!$G$1:$BC$80,$A26+1,FALSE)) * (IF($B26=500, (Assumptions!$B$7)*12, IF((HLOOKUP(AW$2,Earnings!$G$2:$BC$81,('Yearly Pension'!$A26)+1, FALSE)) &gt; AW$1, (Assumptions!$B$8)*(AW$1) + (Assumptions!$B$9)*MAX(0,  (HLOOKUP(AW$2,Earnings!$G$2:$BC$81,('Yearly Pension'!$A26)+1, FALSE)) - AW$1), ((Assumptions!$B$8)*'Yearly Pension'!AW$1))))</f>
        <v>720</v>
      </c>
      <c r="AX26" s="6">
        <f>(HLOOKUP('Yearly Pension'!AX$2,'Credited Service'!$G$1:$BC$80,$A26+1,FALSE)) * (IF($B26=500, (Assumptions!$B$7)*12, IF((HLOOKUP(AX$2,Earnings!$G$2:$BC$81,('Yearly Pension'!$A26)+1, FALSE)) &gt; AX$1, (Assumptions!$B$8)*(AX$1) + (Assumptions!$B$9)*MAX(0,  (HLOOKUP(AX$2,Earnings!$G$2:$BC$81,('Yearly Pension'!$A26)+1, FALSE)) - AX$1), ((Assumptions!$B$8)*'Yearly Pension'!AX$1))))</f>
        <v>720</v>
      </c>
      <c r="AY26" s="6">
        <f>(HLOOKUP('Yearly Pension'!AY$2,'Credited Service'!$G$1:$BC$80,$A26+1,FALSE)) * (IF($B26=500, (Assumptions!$B$7)*12, IF((HLOOKUP(AY$2,Earnings!$G$2:$BC$81,('Yearly Pension'!$A26)+1, FALSE)) &gt; AY$1, (Assumptions!$B$8)*(AY$1) + (Assumptions!$B$9)*MAX(0,  (HLOOKUP(AY$2,Earnings!$G$2:$BC$81,('Yearly Pension'!$A26)+1, FALSE)) - AY$1), ((Assumptions!$B$8)*'Yearly Pension'!AY$1))))</f>
        <v>720</v>
      </c>
      <c r="AZ26" s="6">
        <f>(HLOOKUP('Yearly Pension'!AZ$2,'Credited Service'!$G$1:$BC$80,$A26+1,FALSE)) * (IF($B26=500, (Assumptions!$B$7)*12, IF((HLOOKUP(AZ$2,Earnings!$G$2:$BC$81,('Yearly Pension'!$A26)+1, FALSE)) &gt; AZ$1, (Assumptions!$B$8)*(AZ$1) + (Assumptions!$B$9)*MAX(0,  (HLOOKUP(AZ$2,Earnings!$G$2:$BC$81,('Yearly Pension'!$A26)+1, FALSE)) - AZ$1), ((Assumptions!$B$8)*'Yearly Pension'!AZ$1))))</f>
        <v>720</v>
      </c>
      <c r="BA26" s="6">
        <f>(HLOOKUP('Yearly Pension'!BA$2,'Credited Service'!$G$1:$BC$80,$A26+1,FALSE)) * (IF($B26=500, (Assumptions!$B$7)*12, IF((HLOOKUP(BA$2,Earnings!$G$2:$BC$81,('Yearly Pension'!$A26)+1, FALSE)) &gt; BA$1, (Assumptions!$B$8)*(BA$1) + (Assumptions!$B$9)*MAX(0,  (HLOOKUP(BA$2,Earnings!$G$2:$BC$81,('Yearly Pension'!$A26)+1, FALSE)) - BA$1), ((Assumptions!$B$8)*'Yearly Pension'!BA$1))))</f>
        <v>720</v>
      </c>
      <c r="BB26" s="6">
        <f>(HLOOKUP('Yearly Pension'!BB$2,'Credited Service'!$G$1:$BC$80,$A26+1,FALSE)) * (IF($B26=500, (Assumptions!$B$7)*12, IF((HLOOKUP(BB$2,Earnings!$G$2:$BC$81,('Yearly Pension'!$A26)+1, FALSE)) &gt; BB$1, (Assumptions!$B$8)*(BB$1) + (Assumptions!$B$9)*MAX(0,  (HLOOKUP(BB$2,Earnings!$G$2:$BC$81,('Yearly Pension'!$A26)+1, FALSE)) - BB$1), ((Assumptions!$B$8)*'Yearly Pension'!BB$1))))</f>
        <v>720</v>
      </c>
      <c r="BC26" s="6">
        <f>(HLOOKUP('Yearly Pension'!BC$2,'Credited Service'!$G$1:$BC$80,$A26+1,FALSE)) * (IF($B26=500, (Assumptions!$B$7)*12, IF((HLOOKUP(BC$2,Earnings!$G$2:$BC$81,('Yearly Pension'!$A26)+1, FALSE)) &gt; BC$1, (Assumptions!$B$8)*(BC$1) + (Assumptions!$B$9)*MAX(0,  (HLOOKUP(BC$2,Earnings!$G$2:$BC$81,('Yearly Pension'!$A26)+1, FALSE)) - BC$1), ((Assumptions!$B$8)*'Yearly Pension'!BC$1))))</f>
        <v>720</v>
      </c>
    </row>
    <row r="27" spans="1:55" x14ac:dyDescent="0.25">
      <c r="A27" s="204">
        <v>25</v>
      </c>
      <c r="B27" s="1">
        <v>500</v>
      </c>
      <c r="C27" s="1">
        <v>757</v>
      </c>
      <c r="D27" s="3">
        <v>37834</v>
      </c>
      <c r="E27" s="3">
        <v>49796</v>
      </c>
      <c r="G27" s="6">
        <f>(HLOOKUP('Yearly Pension'!G$2,'Credited Service'!$G$1:$BC$80,$A27+1,FALSE)) * (IF($B27=500, (Assumptions!$B$7)*12, IF((HLOOKUP(G$2,Earnings!$G$2:$BC$81,('Yearly Pension'!$A27)+1, FALSE)) &gt; G$1, (Assumptions!$B$8)*(G$1) + (Assumptions!$B$9)*MAX(0,  (HLOOKUP(G$2,Earnings!$G$2:$BC$81,('Yearly Pension'!$A27)+1, FALSE)) - G$1), ((Assumptions!$B$8)*'Yearly Pension'!G$1))))</f>
        <v>0</v>
      </c>
      <c r="H27" s="6">
        <f>(HLOOKUP('Yearly Pension'!H$2,'Credited Service'!$G$1:$BC$80,$A27+1,FALSE)) * (IF($B27=500, (Assumptions!$B$7)*12, IF((HLOOKUP(H$2,Earnings!$G$2:$BC$81,('Yearly Pension'!$A27)+1, FALSE)) &gt; H$1, (Assumptions!$B$8)*(H$1) + (Assumptions!$B$9)*MAX(0,  (HLOOKUP(H$2,Earnings!$G$2:$BC$81,('Yearly Pension'!$A27)+1, FALSE)) - H$1), ((Assumptions!$B$8)*'Yearly Pension'!H$1))))</f>
        <v>0</v>
      </c>
      <c r="I27" s="6">
        <f>(HLOOKUP('Yearly Pension'!I$2,'Credited Service'!$G$1:$BC$80,$A27+1,FALSE)) * (IF($B27=500, (Assumptions!$B$7)*12, IF((HLOOKUP(I$2,Earnings!$G$2:$BC$81,('Yearly Pension'!$A27)+1, FALSE)) &gt; I$1, (Assumptions!$B$8)*(I$1) + (Assumptions!$B$9)*MAX(0,  (HLOOKUP(I$2,Earnings!$G$2:$BC$81,('Yearly Pension'!$A27)+1, FALSE)) - I$1), ((Assumptions!$B$8)*'Yearly Pension'!I$1))))</f>
        <v>0</v>
      </c>
      <c r="J27" s="6">
        <f>(HLOOKUP('Yearly Pension'!J$2,'Credited Service'!$G$1:$BC$80,$A27+1,FALSE)) * (IF($B27=500, (Assumptions!$B$7)*12, IF((HLOOKUP(J$2,Earnings!$G$2:$BC$81,('Yearly Pension'!$A27)+1, FALSE)) &gt; J$1, (Assumptions!$B$8)*(J$1) + (Assumptions!$B$9)*MAX(0,  (HLOOKUP(J$2,Earnings!$G$2:$BC$81,('Yearly Pension'!$A27)+1, FALSE)) - J$1), ((Assumptions!$B$8)*'Yearly Pension'!J$1))))</f>
        <v>0</v>
      </c>
      <c r="K27" s="6">
        <f>(HLOOKUP('Yearly Pension'!K$2,'Credited Service'!$G$1:$BC$80,$A27+1,FALSE)) * (IF($B27=500, (Assumptions!$B$7)*12, IF((HLOOKUP(K$2,Earnings!$G$2:$BC$81,('Yearly Pension'!$A27)+1, FALSE)) &gt; K$1, (Assumptions!$B$8)*(K$1) + (Assumptions!$B$9)*MAX(0,  (HLOOKUP(K$2,Earnings!$G$2:$BC$81,('Yearly Pension'!$A27)+1, FALSE)) - K$1), ((Assumptions!$B$8)*'Yearly Pension'!K$1))))</f>
        <v>0</v>
      </c>
      <c r="L27" s="6">
        <f>(HLOOKUP('Yearly Pension'!L$2,'Credited Service'!$G$1:$BC$80,$A27+1,FALSE)) * (IF($B27=500, (Assumptions!$B$7)*12, IF((HLOOKUP(L$2,Earnings!$G$2:$BC$81,('Yearly Pension'!$A27)+1, FALSE)) &gt; L$1, (Assumptions!$B$8)*(L$1) + (Assumptions!$B$9)*MAX(0,  (HLOOKUP(L$2,Earnings!$G$2:$BC$81,('Yearly Pension'!$A27)+1, FALSE)) - L$1), ((Assumptions!$B$8)*'Yearly Pension'!L$1))))</f>
        <v>0</v>
      </c>
      <c r="M27" s="6">
        <f>(HLOOKUP('Yearly Pension'!M$2,'Credited Service'!$G$1:$BC$80,$A27+1,FALSE)) * (IF($B27=500, (Assumptions!$B$7)*12, IF((HLOOKUP(M$2,Earnings!$G$2:$BC$81,('Yearly Pension'!$A27)+1, FALSE)) &gt; M$1, (Assumptions!$B$8)*(M$1) + (Assumptions!$B$9)*MAX(0,  (HLOOKUP(M$2,Earnings!$G$2:$BC$81,('Yearly Pension'!$A27)+1, FALSE)) - M$1), ((Assumptions!$B$8)*'Yearly Pension'!M$1))))</f>
        <v>0</v>
      </c>
      <c r="N27" s="6">
        <f>(HLOOKUP('Yearly Pension'!N$2,'Credited Service'!$G$1:$BC$80,$A27+1,FALSE)) * (IF($B27=500, (Assumptions!$B$7)*12, IF((HLOOKUP(N$2,Earnings!$G$2:$BC$81,('Yearly Pension'!$A27)+1, FALSE)) &gt; N$1, (Assumptions!$B$8)*(N$1) + (Assumptions!$B$9)*MAX(0,  (HLOOKUP(N$2,Earnings!$G$2:$BC$81,('Yearly Pension'!$A27)+1, FALSE)) - N$1), ((Assumptions!$B$8)*'Yearly Pension'!N$1))))</f>
        <v>0</v>
      </c>
      <c r="O27" s="6">
        <f>(HLOOKUP('Yearly Pension'!O$2,'Credited Service'!$G$1:$BC$80,$A27+1,FALSE)) * (IF($B27=500, (Assumptions!$B$7)*12, IF((HLOOKUP(O$2,Earnings!$G$2:$BC$81,('Yearly Pension'!$A27)+1, FALSE)) &gt; O$1, (Assumptions!$B$8)*(O$1) + (Assumptions!$B$9)*MAX(0,  (HLOOKUP(O$2,Earnings!$G$2:$BC$81,('Yearly Pension'!$A27)+1, FALSE)) - O$1), ((Assumptions!$B$8)*'Yearly Pension'!O$1))))</f>
        <v>0</v>
      </c>
      <c r="P27" s="6">
        <f>(HLOOKUP('Yearly Pension'!P$2,'Credited Service'!$G$1:$BC$80,$A27+1,FALSE)) * (IF($B27=500, (Assumptions!$B$7)*12, IF((HLOOKUP(P$2,Earnings!$G$2:$BC$81,('Yearly Pension'!$A27)+1, FALSE)) &gt; P$1, (Assumptions!$B$8)*(P$1) + (Assumptions!$B$9)*MAX(0,  (HLOOKUP(P$2,Earnings!$G$2:$BC$81,('Yearly Pension'!$A27)+1, FALSE)) - P$1), ((Assumptions!$B$8)*'Yearly Pension'!P$1))))</f>
        <v>0</v>
      </c>
      <c r="Q27" s="6">
        <f>(HLOOKUP('Yearly Pension'!Q$2,'Credited Service'!$G$1:$BC$80,$A27+1,FALSE)) * (IF($B27=500, (Assumptions!$B$7)*12, IF((HLOOKUP(Q$2,Earnings!$G$2:$BC$81,('Yearly Pension'!$A27)+1, FALSE)) &gt; Q$1, (Assumptions!$B$8)*(Q$1) + (Assumptions!$B$9)*MAX(0,  (HLOOKUP(Q$2,Earnings!$G$2:$BC$81,('Yearly Pension'!$A27)+1, FALSE)) - Q$1), ((Assumptions!$B$8)*'Yearly Pension'!Q$1))))</f>
        <v>0</v>
      </c>
      <c r="R27" s="6">
        <f>(HLOOKUP('Yearly Pension'!R$2,'Credited Service'!$G$1:$BC$80,$A27+1,FALSE)) * (IF($B27=500, (Assumptions!$B$7)*12, IF((HLOOKUP(R$2,Earnings!$G$2:$BC$81,('Yearly Pension'!$A27)+1, FALSE)) &gt; R$1, (Assumptions!$B$8)*(R$1) + (Assumptions!$B$9)*MAX(0,  (HLOOKUP(R$2,Earnings!$G$2:$BC$81,('Yearly Pension'!$A27)+1, FALSE)) - R$1), ((Assumptions!$B$8)*'Yearly Pension'!R$1))))</f>
        <v>0</v>
      </c>
      <c r="S27" s="6">
        <f>(HLOOKUP('Yearly Pension'!S$2,'Credited Service'!$G$1:$BC$80,$A27+1,FALSE)) * (IF($B27=500, (Assumptions!$B$7)*12, IF((HLOOKUP(S$2,Earnings!$G$2:$BC$81,('Yearly Pension'!$A27)+1, FALSE)) &gt; S$1, (Assumptions!$B$8)*(S$1) + (Assumptions!$B$9)*MAX(0,  (HLOOKUP(S$2,Earnings!$G$2:$BC$81,('Yearly Pension'!$A27)+1, FALSE)) - S$1), ((Assumptions!$B$8)*'Yearly Pension'!S$1))))</f>
        <v>0</v>
      </c>
      <c r="T27" s="6">
        <f>(HLOOKUP('Yearly Pension'!T$2,'Credited Service'!$G$1:$BC$80,$A27+1,FALSE)) * (IF($B27=500, (Assumptions!$B$7)*12, IF((HLOOKUP(T$2,Earnings!$G$2:$BC$81,('Yearly Pension'!$A27)+1, FALSE)) &gt; T$1, (Assumptions!$B$8)*(T$1) + (Assumptions!$B$9)*MAX(0,  (HLOOKUP(T$2,Earnings!$G$2:$BC$81,('Yearly Pension'!$A27)+1, FALSE)) - T$1), ((Assumptions!$B$8)*'Yearly Pension'!T$1))))</f>
        <v>0</v>
      </c>
      <c r="U27" s="6">
        <f>(HLOOKUP('Yearly Pension'!U$2,'Credited Service'!$G$1:$BC$80,$A27+1,FALSE)) * (IF($B27=500, (Assumptions!$B$7)*12, IF((HLOOKUP(U$2,Earnings!$G$2:$BC$81,('Yearly Pension'!$A27)+1, FALSE)) &gt; U$1, (Assumptions!$B$8)*(U$1) + (Assumptions!$B$9)*MAX(0,  (HLOOKUP(U$2,Earnings!$G$2:$BC$81,('Yearly Pension'!$A27)+1, FALSE)) - U$1), ((Assumptions!$B$8)*'Yearly Pension'!U$1))))</f>
        <v>0</v>
      </c>
      <c r="V27" s="6">
        <f>(HLOOKUP('Yearly Pension'!V$2,'Credited Service'!$G$1:$BC$80,$A27+1,FALSE)) * (IF($B27=500, (Assumptions!$B$7)*12, IF((HLOOKUP(V$2,Earnings!$G$2:$BC$81,('Yearly Pension'!$A27)+1, FALSE)) &gt; V$1, (Assumptions!$B$8)*(V$1) + (Assumptions!$B$9)*MAX(0,  (HLOOKUP(V$2,Earnings!$G$2:$BC$81,('Yearly Pension'!$A27)+1, FALSE)) - V$1), ((Assumptions!$B$8)*'Yearly Pension'!V$1))))</f>
        <v>0</v>
      </c>
      <c r="W27" s="6">
        <f>(HLOOKUP('Yearly Pension'!W$2,'Credited Service'!$G$1:$BC$80,$A27+1,FALSE)) * (IF($B27=500, (Assumptions!$B$7)*12, IF((HLOOKUP(W$2,Earnings!$G$2:$BC$81,('Yearly Pension'!$A27)+1, FALSE)) &gt; W$1, (Assumptions!$B$8)*(W$1) + (Assumptions!$B$9)*MAX(0,  (HLOOKUP(W$2,Earnings!$G$2:$BC$81,('Yearly Pension'!$A27)+1, FALSE)) - W$1), ((Assumptions!$B$8)*'Yearly Pension'!W$1))))</f>
        <v>0</v>
      </c>
      <c r="X27" s="6">
        <f>(HLOOKUP('Yearly Pension'!X$2,'Credited Service'!$G$1:$BC$80,$A27+1,FALSE)) * (IF($B27=500, (Assumptions!$B$7)*12, IF((HLOOKUP(X$2,Earnings!$G$2:$BC$81,('Yearly Pension'!$A27)+1, FALSE)) &gt; X$1, (Assumptions!$B$8)*(X$1) + (Assumptions!$B$9)*MAX(0,  (HLOOKUP(X$2,Earnings!$G$2:$BC$81,('Yearly Pension'!$A27)+1, FALSE)) - X$1), ((Assumptions!$B$8)*'Yearly Pension'!X$1))))</f>
        <v>0</v>
      </c>
      <c r="Y27" s="6">
        <f>(HLOOKUP('Yearly Pension'!Y$2,'Credited Service'!$G$1:$BC$80,$A27+1,FALSE)) * (IF($B27=500, (Assumptions!$B$7)*12, IF((HLOOKUP(Y$2,Earnings!$G$2:$BC$81,('Yearly Pension'!$A27)+1, FALSE)) &gt; Y$1, (Assumptions!$B$8)*(Y$1) + (Assumptions!$B$9)*MAX(0,  (HLOOKUP(Y$2,Earnings!$G$2:$BC$81,('Yearly Pension'!$A27)+1, FALSE)) - Y$1), ((Assumptions!$B$8)*'Yearly Pension'!Y$1))))</f>
        <v>0</v>
      </c>
      <c r="Z27" s="6">
        <f>(HLOOKUP('Yearly Pension'!Z$2,'Credited Service'!$G$1:$BC$80,$A27+1,FALSE)) * (IF($B27=500, (Assumptions!$B$7)*12, IF((HLOOKUP(Z$2,Earnings!$G$2:$BC$81,('Yearly Pension'!$A27)+1, FALSE)) &gt; Z$1, (Assumptions!$B$8)*(Z$1) + (Assumptions!$B$9)*MAX(0,  (HLOOKUP(Z$2,Earnings!$G$2:$BC$81,('Yearly Pension'!$A27)+1, FALSE)) - Z$1), ((Assumptions!$B$8)*'Yearly Pension'!Z$1))))</f>
        <v>0</v>
      </c>
      <c r="AA27" s="6">
        <f>(HLOOKUP('Yearly Pension'!AA$2,'Credited Service'!$G$1:$BC$80,$A27+1,FALSE)) * (IF($B27=500, (Assumptions!$B$7)*12, IF((HLOOKUP(AA$2,Earnings!$G$2:$BC$81,('Yearly Pension'!$A27)+1, FALSE)) &gt; AA$1, (Assumptions!$B$8)*(AA$1) + (Assumptions!$B$9)*MAX(0,  (HLOOKUP(AA$2,Earnings!$G$2:$BC$81,('Yearly Pension'!$A27)+1, FALSE)) - AA$1), ((Assumptions!$B$8)*'Yearly Pension'!AA$1))))</f>
        <v>0</v>
      </c>
      <c r="AB27" s="6">
        <f>(HLOOKUP('Yearly Pension'!AB$2,'Credited Service'!$G$1:$BC$80,$A27+1,FALSE)) * (IF($B27=500, (Assumptions!$B$7)*12, IF((HLOOKUP(AB$2,Earnings!$G$2:$BC$81,('Yearly Pension'!$A27)+1, FALSE)) &gt; AB$1, (Assumptions!$B$8)*(AB$1) + (Assumptions!$B$9)*MAX(0,  (HLOOKUP(AB$2,Earnings!$G$2:$BC$81,('Yearly Pension'!$A27)+1, FALSE)) - AB$1), ((Assumptions!$B$8)*'Yearly Pension'!AB$1))))</f>
        <v>0</v>
      </c>
      <c r="AC27" s="6">
        <f>(HLOOKUP('Yearly Pension'!AC$2,'Credited Service'!$G$1:$BC$80,$A27+1,FALSE)) * (IF($B27=500, (Assumptions!$B$7)*12, IF((HLOOKUP(AC$2,Earnings!$G$2:$BC$81,('Yearly Pension'!$A27)+1, FALSE)) &gt; AC$1, (Assumptions!$B$8)*(AC$1) + (Assumptions!$B$9)*MAX(0,  (HLOOKUP(AC$2,Earnings!$G$2:$BC$81,('Yearly Pension'!$A27)+1, FALSE)) - AC$1), ((Assumptions!$B$8)*'Yearly Pension'!AC$1))))</f>
        <v>0</v>
      </c>
      <c r="AD27" s="6">
        <f>(HLOOKUP('Yearly Pension'!AD$2,'Credited Service'!$G$1:$BC$80,$A27+1,FALSE)) * (IF($B27=500, (Assumptions!$B$7)*12, IF((HLOOKUP(AD$2,Earnings!$G$2:$BC$81,('Yearly Pension'!$A27)+1, FALSE)) &gt; AD$1, (Assumptions!$B$8)*(AD$1) + (Assumptions!$B$9)*MAX(0,  (HLOOKUP(AD$2,Earnings!$G$2:$BC$81,('Yearly Pension'!$A27)+1, FALSE)) - AD$1), ((Assumptions!$B$8)*'Yearly Pension'!AD$1))))</f>
        <v>0</v>
      </c>
      <c r="AE27" s="6">
        <f>(HLOOKUP('Yearly Pension'!AE$2,'Credited Service'!$G$1:$BC$80,$A27+1,FALSE)) * (IF($B27=500, (Assumptions!$B$7)*12, IF((HLOOKUP(AE$2,Earnings!$G$2:$BC$81,('Yearly Pension'!$A27)+1, FALSE)) &gt; AE$1, (Assumptions!$B$8)*(AE$1) + (Assumptions!$B$9)*MAX(0,  (HLOOKUP(AE$2,Earnings!$G$2:$BC$81,('Yearly Pension'!$A27)+1, FALSE)) - AE$1), ((Assumptions!$B$8)*'Yearly Pension'!AE$1))))</f>
        <v>0</v>
      </c>
      <c r="AF27" s="6">
        <f>(HLOOKUP('Yearly Pension'!AF$2,'Credited Service'!$G$1:$BC$80,$A27+1,FALSE)) * (IF($B27=500, (Assumptions!$B$7)*12, IF((HLOOKUP(AF$2,Earnings!$G$2:$BC$81,('Yearly Pension'!$A27)+1, FALSE)) &gt; AF$1, (Assumptions!$B$8)*(AF$1) + (Assumptions!$B$9)*MAX(0,  (HLOOKUP(AF$2,Earnings!$G$2:$BC$81,('Yearly Pension'!$A27)+1, FALSE)) - AF$1), ((Assumptions!$B$8)*'Yearly Pension'!AF$1))))</f>
        <v>0</v>
      </c>
      <c r="AG27" s="6">
        <f>(HLOOKUP('Yearly Pension'!AG$2,'Credited Service'!$G$1:$BC$80,$A27+1,FALSE)) * (IF($B27=500, (Assumptions!$B$7)*12, IF((HLOOKUP(AG$2,Earnings!$G$2:$BC$81,('Yearly Pension'!$A27)+1, FALSE)) &gt; AG$1, (Assumptions!$B$8)*(AG$1) + (Assumptions!$B$9)*MAX(0,  (HLOOKUP(AG$2,Earnings!$G$2:$BC$81,('Yearly Pension'!$A27)+1, FALSE)) - AG$1), ((Assumptions!$B$8)*'Yearly Pension'!AG$1))))</f>
        <v>300</v>
      </c>
      <c r="AH27" s="6">
        <f>(HLOOKUP('Yearly Pension'!AH$2,'Credited Service'!$G$1:$BC$80,$A27+1,FALSE)) * (IF($B27=500, (Assumptions!$B$7)*12, IF((HLOOKUP(AH$2,Earnings!$G$2:$BC$81,('Yearly Pension'!$A27)+1, FALSE)) &gt; AH$1, (Assumptions!$B$8)*(AH$1) + (Assumptions!$B$9)*MAX(0,  (HLOOKUP(AH$2,Earnings!$G$2:$BC$81,('Yearly Pension'!$A27)+1, FALSE)) - AH$1), ((Assumptions!$B$8)*'Yearly Pension'!AH$1))))</f>
        <v>720</v>
      </c>
      <c r="AI27" s="6">
        <f>(HLOOKUP('Yearly Pension'!AI$2,'Credited Service'!$G$1:$BC$80,$A27+1,FALSE)) * (IF($B27=500, (Assumptions!$B$7)*12, IF((HLOOKUP(AI$2,Earnings!$G$2:$BC$81,('Yearly Pension'!$A27)+1, FALSE)) &gt; AI$1, (Assumptions!$B$8)*(AI$1) + (Assumptions!$B$9)*MAX(0,  (HLOOKUP(AI$2,Earnings!$G$2:$BC$81,('Yearly Pension'!$A27)+1, FALSE)) - AI$1), ((Assumptions!$B$8)*'Yearly Pension'!AI$1))))</f>
        <v>720</v>
      </c>
      <c r="AJ27" s="6">
        <f>(HLOOKUP('Yearly Pension'!AJ$2,'Credited Service'!$G$1:$BC$80,$A27+1,FALSE)) * (IF($B27=500, (Assumptions!$B$7)*12, IF((HLOOKUP(AJ$2,Earnings!$G$2:$BC$81,('Yearly Pension'!$A27)+1, FALSE)) &gt; AJ$1, (Assumptions!$B$8)*(AJ$1) + (Assumptions!$B$9)*MAX(0,  (HLOOKUP(AJ$2,Earnings!$G$2:$BC$81,('Yearly Pension'!$A27)+1, FALSE)) - AJ$1), ((Assumptions!$B$8)*'Yearly Pension'!AJ$1))))</f>
        <v>720</v>
      </c>
      <c r="AK27" s="6">
        <f>(HLOOKUP('Yearly Pension'!AK$2,'Credited Service'!$G$1:$BC$80,$A27+1,FALSE)) * (IF($B27=500, (Assumptions!$B$7)*12, IF((HLOOKUP(AK$2,Earnings!$G$2:$BC$81,('Yearly Pension'!$A27)+1, FALSE)) &gt; AK$1, (Assumptions!$B$8)*(AK$1) + (Assumptions!$B$9)*MAX(0,  (HLOOKUP(AK$2,Earnings!$G$2:$BC$81,('Yearly Pension'!$A27)+1, FALSE)) - AK$1), ((Assumptions!$B$8)*'Yearly Pension'!AK$1))))</f>
        <v>720</v>
      </c>
      <c r="AL27" s="6">
        <f>(HLOOKUP('Yearly Pension'!AL$2,'Credited Service'!$G$1:$BC$80,$A27+1,FALSE)) * (IF($B27=500, (Assumptions!$B$7)*12, IF((HLOOKUP(AL$2,Earnings!$G$2:$BC$81,('Yearly Pension'!$A27)+1, FALSE)) &gt; AL$1, (Assumptions!$B$8)*(AL$1) + (Assumptions!$B$9)*MAX(0,  (HLOOKUP(AL$2,Earnings!$G$2:$BC$81,('Yearly Pension'!$A27)+1, FALSE)) - AL$1), ((Assumptions!$B$8)*'Yearly Pension'!AL$1))))</f>
        <v>720</v>
      </c>
      <c r="AM27" s="6">
        <f>(HLOOKUP('Yearly Pension'!AM$2,'Credited Service'!$G$1:$BC$80,$A27+1,FALSE)) * (IF($B27=500, (Assumptions!$B$7)*12, IF((HLOOKUP(AM$2,Earnings!$G$2:$BC$81,('Yearly Pension'!$A27)+1, FALSE)) &gt; AM$1, (Assumptions!$B$8)*(AM$1) + (Assumptions!$B$9)*MAX(0,  (HLOOKUP(AM$2,Earnings!$G$2:$BC$81,('Yearly Pension'!$A27)+1, FALSE)) - AM$1), ((Assumptions!$B$8)*'Yearly Pension'!AM$1))))</f>
        <v>720</v>
      </c>
      <c r="AN27" s="6">
        <f>(HLOOKUP('Yearly Pension'!AN$2,'Credited Service'!$G$1:$BC$80,$A27+1,FALSE)) * (IF($B27=500, (Assumptions!$B$7)*12, IF((HLOOKUP(AN$2,Earnings!$G$2:$BC$81,('Yearly Pension'!$A27)+1, FALSE)) &gt; AN$1, (Assumptions!$B$8)*(AN$1) + (Assumptions!$B$9)*MAX(0,  (HLOOKUP(AN$2,Earnings!$G$2:$BC$81,('Yearly Pension'!$A27)+1, FALSE)) - AN$1), ((Assumptions!$B$8)*'Yearly Pension'!AN$1))))</f>
        <v>720</v>
      </c>
      <c r="AO27" s="6">
        <f>(HLOOKUP('Yearly Pension'!AO$2,'Credited Service'!$G$1:$BC$80,$A27+1,FALSE)) * (IF($B27=500, (Assumptions!$B$7)*12, IF((HLOOKUP(AO$2,Earnings!$G$2:$BC$81,('Yearly Pension'!$A27)+1, FALSE)) &gt; AO$1, (Assumptions!$B$8)*(AO$1) + (Assumptions!$B$9)*MAX(0,  (HLOOKUP(AO$2,Earnings!$G$2:$BC$81,('Yearly Pension'!$A27)+1, FALSE)) - AO$1), ((Assumptions!$B$8)*'Yearly Pension'!AO$1))))</f>
        <v>720</v>
      </c>
      <c r="AP27" s="6">
        <f>(HLOOKUP('Yearly Pension'!AP$2,'Credited Service'!$G$1:$BC$80,$A27+1,FALSE)) * (IF($B27=500, (Assumptions!$B$7)*12, IF((HLOOKUP(AP$2,Earnings!$G$2:$BC$81,('Yearly Pension'!$A27)+1, FALSE)) &gt; AP$1, (Assumptions!$B$8)*(AP$1) + (Assumptions!$B$9)*MAX(0,  (HLOOKUP(AP$2,Earnings!$G$2:$BC$81,('Yearly Pension'!$A27)+1, FALSE)) - AP$1), ((Assumptions!$B$8)*'Yearly Pension'!AP$1))))</f>
        <v>720</v>
      </c>
      <c r="AQ27" s="6">
        <f>(HLOOKUP('Yearly Pension'!AQ$2,'Credited Service'!$G$1:$BC$80,$A27+1,FALSE)) * (IF($B27=500, (Assumptions!$B$7)*12, IF((HLOOKUP(AQ$2,Earnings!$G$2:$BC$81,('Yearly Pension'!$A27)+1, FALSE)) &gt; AQ$1, (Assumptions!$B$8)*(AQ$1) + (Assumptions!$B$9)*MAX(0,  (HLOOKUP(AQ$2,Earnings!$G$2:$BC$81,('Yearly Pension'!$A27)+1, FALSE)) - AQ$1), ((Assumptions!$B$8)*'Yearly Pension'!AQ$1))))</f>
        <v>720</v>
      </c>
      <c r="AR27" s="6">
        <f>(HLOOKUP('Yearly Pension'!AR$2,'Credited Service'!$G$1:$BC$80,$A27+1,FALSE)) * (IF($B27=500, (Assumptions!$B$7)*12, IF((HLOOKUP(AR$2,Earnings!$G$2:$BC$81,('Yearly Pension'!$A27)+1, FALSE)) &gt; AR$1, (Assumptions!$B$8)*(AR$1) + (Assumptions!$B$9)*MAX(0,  (HLOOKUP(AR$2,Earnings!$G$2:$BC$81,('Yearly Pension'!$A27)+1, FALSE)) - AR$1), ((Assumptions!$B$8)*'Yearly Pension'!AR$1))))</f>
        <v>720</v>
      </c>
      <c r="AS27" s="6">
        <f>(HLOOKUP('Yearly Pension'!AS$2,'Credited Service'!$G$1:$BC$80,$A27+1,FALSE)) * (IF($B27=500, (Assumptions!$B$7)*12, IF((HLOOKUP(AS$2,Earnings!$G$2:$BC$81,('Yearly Pension'!$A27)+1, FALSE)) &gt; AS$1, (Assumptions!$B$8)*(AS$1) + (Assumptions!$B$9)*MAX(0,  (HLOOKUP(AS$2,Earnings!$G$2:$BC$81,('Yearly Pension'!$A27)+1, FALSE)) - AS$1), ((Assumptions!$B$8)*'Yearly Pension'!AS$1))))</f>
        <v>720</v>
      </c>
      <c r="AT27" s="6">
        <f>(HLOOKUP('Yearly Pension'!AT$2,'Credited Service'!$G$1:$BC$80,$A27+1,FALSE)) * (IF($B27=500, (Assumptions!$B$7)*12, IF((HLOOKUP(AT$2,Earnings!$G$2:$BC$81,('Yearly Pension'!$A27)+1, FALSE)) &gt; AT$1, (Assumptions!$B$8)*(AT$1) + (Assumptions!$B$9)*MAX(0,  (HLOOKUP(AT$2,Earnings!$G$2:$BC$81,('Yearly Pension'!$A27)+1, FALSE)) - AT$1), ((Assumptions!$B$8)*'Yearly Pension'!AT$1))))</f>
        <v>720</v>
      </c>
      <c r="AU27" s="6">
        <f>(HLOOKUP('Yearly Pension'!AU$2,'Credited Service'!$G$1:$BC$80,$A27+1,FALSE)) * (IF($B27=500, (Assumptions!$B$7)*12, IF((HLOOKUP(AU$2,Earnings!$G$2:$BC$81,('Yearly Pension'!$A27)+1, FALSE)) &gt; AU$1, (Assumptions!$B$8)*(AU$1) + (Assumptions!$B$9)*MAX(0,  (HLOOKUP(AU$2,Earnings!$G$2:$BC$81,('Yearly Pension'!$A27)+1, FALSE)) - AU$1), ((Assumptions!$B$8)*'Yearly Pension'!AU$1))))</f>
        <v>720</v>
      </c>
      <c r="AV27" s="6">
        <f>(HLOOKUP('Yearly Pension'!AV$2,'Credited Service'!$G$1:$BC$80,$A27+1,FALSE)) * (IF($B27=500, (Assumptions!$B$7)*12, IF((HLOOKUP(AV$2,Earnings!$G$2:$BC$81,('Yearly Pension'!$A27)+1, FALSE)) &gt; AV$1, (Assumptions!$B$8)*(AV$1) + (Assumptions!$B$9)*MAX(0,  (HLOOKUP(AV$2,Earnings!$G$2:$BC$81,('Yearly Pension'!$A27)+1, FALSE)) - AV$1), ((Assumptions!$B$8)*'Yearly Pension'!AV$1))))</f>
        <v>720</v>
      </c>
      <c r="AW27" s="6">
        <f>(HLOOKUP('Yearly Pension'!AW$2,'Credited Service'!$G$1:$BC$80,$A27+1,FALSE)) * (IF($B27=500, (Assumptions!$B$7)*12, IF((HLOOKUP(AW$2,Earnings!$G$2:$BC$81,('Yearly Pension'!$A27)+1, FALSE)) &gt; AW$1, (Assumptions!$B$8)*(AW$1) + (Assumptions!$B$9)*MAX(0,  (HLOOKUP(AW$2,Earnings!$G$2:$BC$81,('Yearly Pension'!$A27)+1, FALSE)) - AW$1), ((Assumptions!$B$8)*'Yearly Pension'!AW$1))))</f>
        <v>720</v>
      </c>
      <c r="AX27" s="6">
        <f>(HLOOKUP('Yearly Pension'!AX$2,'Credited Service'!$G$1:$BC$80,$A27+1,FALSE)) * (IF($B27=500, (Assumptions!$B$7)*12, IF((HLOOKUP(AX$2,Earnings!$G$2:$BC$81,('Yearly Pension'!$A27)+1, FALSE)) &gt; AX$1, (Assumptions!$B$8)*(AX$1) + (Assumptions!$B$9)*MAX(0,  (HLOOKUP(AX$2,Earnings!$G$2:$BC$81,('Yearly Pension'!$A27)+1, FALSE)) - AX$1), ((Assumptions!$B$8)*'Yearly Pension'!AX$1))))</f>
        <v>720</v>
      </c>
      <c r="AY27" s="6">
        <f>(HLOOKUP('Yearly Pension'!AY$2,'Credited Service'!$G$1:$BC$80,$A27+1,FALSE)) * (IF($B27=500, (Assumptions!$B$7)*12, IF((HLOOKUP(AY$2,Earnings!$G$2:$BC$81,('Yearly Pension'!$A27)+1, FALSE)) &gt; AY$1, (Assumptions!$B$8)*(AY$1) + (Assumptions!$B$9)*MAX(0,  (HLOOKUP(AY$2,Earnings!$G$2:$BC$81,('Yearly Pension'!$A27)+1, FALSE)) - AY$1), ((Assumptions!$B$8)*'Yearly Pension'!AY$1))))</f>
        <v>720</v>
      </c>
      <c r="AZ27" s="6">
        <f>(HLOOKUP('Yearly Pension'!AZ$2,'Credited Service'!$G$1:$BC$80,$A27+1,FALSE)) * (IF($B27=500, (Assumptions!$B$7)*12, IF((HLOOKUP(AZ$2,Earnings!$G$2:$BC$81,('Yearly Pension'!$A27)+1, FALSE)) &gt; AZ$1, (Assumptions!$B$8)*(AZ$1) + (Assumptions!$B$9)*MAX(0,  (HLOOKUP(AZ$2,Earnings!$G$2:$BC$81,('Yearly Pension'!$A27)+1, FALSE)) - AZ$1), ((Assumptions!$B$8)*'Yearly Pension'!AZ$1))))</f>
        <v>720</v>
      </c>
      <c r="BA27" s="6">
        <f>(HLOOKUP('Yearly Pension'!BA$2,'Credited Service'!$G$1:$BC$80,$A27+1,FALSE)) * (IF($B27=500, (Assumptions!$B$7)*12, IF((HLOOKUP(BA$2,Earnings!$G$2:$BC$81,('Yearly Pension'!$A27)+1, FALSE)) &gt; BA$1, (Assumptions!$B$8)*(BA$1) + (Assumptions!$B$9)*MAX(0,  (HLOOKUP(BA$2,Earnings!$G$2:$BC$81,('Yearly Pension'!$A27)+1, FALSE)) - BA$1), ((Assumptions!$B$8)*'Yearly Pension'!BA$1))))</f>
        <v>720</v>
      </c>
      <c r="BB27" s="6">
        <f>(HLOOKUP('Yearly Pension'!BB$2,'Credited Service'!$G$1:$BC$80,$A27+1,FALSE)) * (IF($B27=500, (Assumptions!$B$7)*12, IF((HLOOKUP(BB$2,Earnings!$G$2:$BC$81,('Yearly Pension'!$A27)+1, FALSE)) &gt; BB$1, (Assumptions!$B$8)*(BB$1) + (Assumptions!$B$9)*MAX(0,  (HLOOKUP(BB$2,Earnings!$G$2:$BC$81,('Yearly Pension'!$A27)+1, FALSE)) - BB$1), ((Assumptions!$B$8)*'Yearly Pension'!BB$1))))</f>
        <v>720</v>
      </c>
      <c r="BC27" s="6">
        <f>(HLOOKUP('Yearly Pension'!BC$2,'Credited Service'!$G$1:$BC$80,$A27+1,FALSE)) * (IF($B27=500, (Assumptions!$B$7)*12, IF((HLOOKUP(BC$2,Earnings!$G$2:$BC$81,('Yearly Pension'!$A27)+1, FALSE)) &gt; BC$1, (Assumptions!$B$8)*(BC$1) + (Assumptions!$B$9)*MAX(0,  (HLOOKUP(BC$2,Earnings!$G$2:$BC$81,('Yearly Pension'!$A27)+1, FALSE)) - BC$1), ((Assumptions!$B$8)*'Yearly Pension'!BC$1))))</f>
        <v>720</v>
      </c>
    </row>
    <row r="28" spans="1:55" x14ac:dyDescent="0.25">
      <c r="A28" s="204">
        <v>26</v>
      </c>
      <c r="B28" s="1">
        <v>500</v>
      </c>
      <c r="C28" s="1">
        <v>756</v>
      </c>
      <c r="D28" s="3">
        <v>37838</v>
      </c>
      <c r="E28" s="3">
        <v>49035</v>
      </c>
      <c r="G28" s="6">
        <f>(HLOOKUP('Yearly Pension'!G$2,'Credited Service'!$G$1:$BC$80,$A28+1,FALSE)) * (IF($B28=500, (Assumptions!$B$7)*12, IF((HLOOKUP(G$2,Earnings!$G$2:$BC$81,('Yearly Pension'!$A28)+1, FALSE)) &gt; G$1, (Assumptions!$B$8)*(G$1) + (Assumptions!$B$9)*MAX(0,  (HLOOKUP(G$2,Earnings!$G$2:$BC$81,('Yearly Pension'!$A28)+1, FALSE)) - G$1), ((Assumptions!$B$8)*'Yearly Pension'!G$1))))</f>
        <v>0</v>
      </c>
      <c r="H28" s="6">
        <f>(HLOOKUP('Yearly Pension'!H$2,'Credited Service'!$G$1:$BC$80,$A28+1,FALSE)) * (IF($B28=500, (Assumptions!$B$7)*12, IF((HLOOKUP(H$2,Earnings!$G$2:$BC$81,('Yearly Pension'!$A28)+1, FALSE)) &gt; H$1, (Assumptions!$B$8)*(H$1) + (Assumptions!$B$9)*MAX(0,  (HLOOKUP(H$2,Earnings!$G$2:$BC$81,('Yearly Pension'!$A28)+1, FALSE)) - H$1), ((Assumptions!$B$8)*'Yearly Pension'!H$1))))</f>
        <v>0</v>
      </c>
      <c r="I28" s="6">
        <f>(HLOOKUP('Yearly Pension'!I$2,'Credited Service'!$G$1:$BC$80,$A28+1,FALSE)) * (IF($B28=500, (Assumptions!$B$7)*12, IF((HLOOKUP(I$2,Earnings!$G$2:$BC$81,('Yearly Pension'!$A28)+1, FALSE)) &gt; I$1, (Assumptions!$B$8)*(I$1) + (Assumptions!$B$9)*MAX(0,  (HLOOKUP(I$2,Earnings!$G$2:$BC$81,('Yearly Pension'!$A28)+1, FALSE)) - I$1), ((Assumptions!$B$8)*'Yearly Pension'!I$1))))</f>
        <v>0</v>
      </c>
      <c r="J28" s="6">
        <f>(HLOOKUP('Yearly Pension'!J$2,'Credited Service'!$G$1:$BC$80,$A28+1,FALSE)) * (IF($B28=500, (Assumptions!$B$7)*12, IF((HLOOKUP(J$2,Earnings!$G$2:$BC$81,('Yearly Pension'!$A28)+1, FALSE)) &gt; J$1, (Assumptions!$B$8)*(J$1) + (Assumptions!$B$9)*MAX(0,  (HLOOKUP(J$2,Earnings!$G$2:$BC$81,('Yearly Pension'!$A28)+1, FALSE)) - J$1), ((Assumptions!$B$8)*'Yearly Pension'!J$1))))</f>
        <v>0</v>
      </c>
      <c r="K28" s="6">
        <f>(HLOOKUP('Yearly Pension'!K$2,'Credited Service'!$G$1:$BC$80,$A28+1,FALSE)) * (IF($B28=500, (Assumptions!$B$7)*12, IF((HLOOKUP(K$2,Earnings!$G$2:$BC$81,('Yearly Pension'!$A28)+1, FALSE)) &gt; K$1, (Assumptions!$B$8)*(K$1) + (Assumptions!$B$9)*MAX(0,  (HLOOKUP(K$2,Earnings!$G$2:$BC$81,('Yearly Pension'!$A28)+1, FALSE)) - K$1), ((Assumptions!$B$8)*'Yearly Pension'!K$1))))</f>
        <v>0</v>
      </c>
      <c r="L28" s="6">
        <f>(HLOOKUP('Yearly Pension'!L$2,'Credited Service'!$G$1:$BC$80,$A28+1,FALSE)) * (IF($B28=500, (Assumptions!$B$7)*12, IF((HLOOKUP(L$2,Earnings!$G$2:$BC$81,('Yearly Pension'!$A28)+1, FALSE)) &gt; L$1, (Assumptions!$B$8)*(L$1) + (Assumptions!$B$9)*MAX(0,  (HLOOKUP(L$2,Earnings!$G$2:$BC$81,('Yearly Pension'!$A28)+1, FALSE)) - L$1), ((Assumptions!$B$8)*'Yearly Pension'!L$1))))</f>
        <v>0</v>
      </c>
      <c r="M28" s="6">
        <f>(HLOOKUP('Yearly Pension'!M$2,'Credited Service'!$G$1:$BC$80,$A28+1,FALSE)) * (IF($B28=500, (Assumptions!$B$7)*12, IF((HLOOKUP(M$2,Earnings!$G$2:$BC$81,('Yearly Pension'!$A28)+1, FALSE)) &gt; M$1, (Assumptions!$B$8)*(M$1) + (Assumptions!$B$9)*MAX(0,  (HLOOKUP(M$2,Earnings!$G$2:$BC$81,('Yearly Pension'!$A28)+1, FALSE)) - M$1), ((Assumptions!$B$8)*'Yearly Pension'!M$1))))</f>
        <v>0</v>
      </c>
      <c r="N28" s="6">
        <f>(HLOOKUP('Yearly Pension'!N$2,'Credited Service'!$G$1:$BC$80,$A28+1,FALSE)) * (IF($B28=500, (Assumptions!$B$7)*12, IF((HLOOKUP(N$2,Earnings!$G$2:$BC$81,('Yearly Pension'!$A28)+1, FALSE)) &gt; N$1, (Assumptions!$B$8)*(N$1) + (Assumptions!$B$9)*MAX(0,  (HLOOKUP(N$2,Earnings!$G$2:$BC$81,('Yearly Pension'!$A28)+1, FALSE)) - N$1), ((Assumptions!$B$8)*'Yearly Pension'!N$1))))</f>
        <v>0</v>
      </c>
      <c r="O28" s="6">
        <f>(HLOOKUP('Yearly Pension'!O$2,'Credited Service'!$G$1:$BC$80,$A28+1,FALSE)) * (IF($B28=500, (Assumptions!$B$7)*12, IF((HLOOKUP(O$2,Earnings!$G$2:$BC$81,('Yearly Pension'!$A28)+1, FALSE)) &gt; O$1, (Assumptions!$B$8)*(O$1) + (Assumptions!$B$9)*MAX(0,  (HLOOKUP(O$2,Earnings!$G$2:$BC$81,('Yearly Pension'!$A28)+1, FALSE)) - O$1), ((Assumptions!$B$8)*'Yearly Pension'!O$1))))</f>
        <v>0</v>
      </c>
      <c r="P28" s="6">
        <f>(HLOOKUP('Yearly Pension'!P$2,'Credited Service'!$G$1:$BC$80,$A28+1,FALSE)) * (IF($B28=500, (Assumptions!$B$7)*12, IF((HLOOKUP(P$2,Earnings!$G$2:$BC$81,('Yearly Pension'!$A28)+1, FALSE)) &gt; P$1, (Assumptions!$B$8)*(P$1) + (Assumptions!$B$9)*MAX(0,  (HLOOKUP(P$2,Earnings!$G$2:$BC$81,('Yearly Pension'!$A28)+1, FALSE)) - P$1), ((Assumptions!$B$8)*'Yearly Pension'!P$1))))</f>
        <v>0</v>
      </c>
      <c r="Q28" s="6">
        <f>(HLOOKUP('Yearly Pension'!Q$2,'Credited Service'!$G$1:$BC$80,$A28+1,FALSE)) * (IF($B28=500, (Assumptions!$B$7)*12, IF((HLOOKUP(Q$2,Earnings!$G$2:$BC$81,('Yearly Pension'!$A28)+1, FALSE)) &gt; Q$1, (Assumptions!$B$8)*(Q$1) + (Assumptions!$B$9)*MAX(0,  (HLOOKUP(Q$2,Earnings!$G$2:$BC$81,('Yearly Pension'!$A28)+1, FALSE)) - Q$1), ((Assumptions!$B$8)*'Yearly Pension'!Q$1))))</f>
        <v>0</v>
      </c>
      <c r="R28" s="6">
        <f>(HLOOKUP('Yearly Pension'!R$2,'Credited Service'!$G$1:$BC$80,$A28+1,FALSE)) * (IF($B28=500, (Assumptions!$B$7)*12, IF((HLOOKUP(R$2,Earnings!$G$2:$BC$81,('Yearly Pension'!$A28)+1, FALSE)) &gt; R$1, (Assumptions!$B$8)*(R$1) + (Assumptions!$B$9)*MAX(0,  (HLOOKUP(R$2,Earnings!$G$2:$BC$81,('Yearly Pension'!$A28)+1, FALSE)) - R$1), ((Assumptions!$B$8)*'Yearly Pension'!R$1))))</f>
        <v>0</v>
      </c>
      <c r="S28" s="6">
        <f>(HLOOKUP('Yearly Pension'!S$2,'Credited Service'!$G$1:$BC$80,$A28+1,FALSE)) * (IF($B28=500, (Assumptions!$B$7)*12, IF((HLOOKUP(S$2,Earnings!$G$2:$BC$81,('Yearly Pension'!$A28)+1, FALSE)) &gt; S$1, (Assumptions!$B$8)*(S$1) + (Assumptions!$B$9)*MAX(0,  (HLOOKUP(S$2,Earnings!$G$2:$BC$81,('Yearly Pension'!$A28)+1, FALSE)) - S$1), ((Assumptions!$B$8)*'Yearly Pension'!S$1))))</f>
        <v>0</v>
      </c>
      <c r="T28" s="6">
        <f>(HLOOKUP('Yearly Pension'!T$2,'Credited Service'!$G$1:$BC$80,$A28+1,FALSE)) * (IF($B28=500, (Assumptions!$B$7)*12, IF((HLOOKUP(T$2,Earnings!$G$2:$BC$81,('Yearly Pension'!$A28)+1, FALSE)) &gt; T$1, (Assumptions!$B$8)*(T$1) + (Assumptions!$B$9)*MAX(0,  (HLOOKUP(T$2,Earnings!$G$2:$BC$81,('Yearly Pension'!$A28)+1, FALSE)) - T$1), ((Assumptions!$B$8)*'Yearly Pension'!T$1))))</f>
        <v>0</v>
      </c>
      <c r="U28" s="6">
        <f>(HLOOKUP('Yearly Pension'!U$2,'Credited Service'!$G$1:$BC$80,$A28+1,FALSE)) * (IF($B28=500, (Assumptions!$B$7)*12, IF((HLOOKUP(U$2,Earnings!$G$2:$BC$81,('Yearly Pension'!$A28)+1, FALSE)) &gt; U$1, (Assumptions!$B$8)*(U$1) + (Assumptions!$B$9)*MAX(0,  (HLOOKUP(U$2,Earnings!$G$2:$BC$81,('Yearly Pension'!$A28)+1, FALSE)) - U$1), ((Assumptions!$B$8)*'Yearly Pension'!U$1))))</f>
        <v>0</v>
      </c>
      <c r="V28" s="6">
        <f>(HLOOKUP('Yearly Pension'!V$2,'Credited Service'!$G$1:$BC$80,$A28+1,FALSE)) * (IF($B28=500, (Assumptions!$B$7)*12, IF((HLOOKUP(V$2,Earnings!$G$2:$BC$81,('Yearly Pension'!$A28)+1, FALSE)) &gt; V$1, (Assumptions!$B$8)*(V$1) + (Assumptions!$B$9)*MAX(0,  (HLOOKUP(V$2,Earnings!$G$2:$BC$81,('Yearly Pension'!$A28)+1, FALSE)) - V$1), ((Assumptions!$B$8)*'Yearly Pension'!V$1))))</f>
        <v>0</v>
      </c>
      <c r="W28" s="6">
        <f>(HLOOKUP('Yearly Pension'!W$2,'Credited Service'!$G$1:$BC$80,$A28+1,FALSE)) * (IF($B28=500, (Assumptions!$B$7)*12, IF((HLOOKUP(W$2,Earnings!$G$2:$BC$81,('Yearly Pension'!$A28)+1, FALSE)) &gt; W$1, (Assumptions!$B$8)*(W$1) + (Assumptions!$B$9)*MAX(0,  (HLOOKUP(W$2,Earnings!$G$2:$BC$81,('Yearly Pension'!$A28)+1, FALSE)) - W$1), ((Assumptions!$B$8)*'Yearly Pension'!W$1))))</f>
        <v>0</v>
      </c>
      <c r="X28" s="6">
        <f>(HLOOKUP('Yearly Pension'!X$2,'Credited Service'!$G$1:$BC$80,$A28+1,FALSE)) * (IF($B28=500, (Assumptions!$B$7)*12, IF((HLOOKUP(X$2,Earnings!$G$2:$BC$81,('Yearly Pension'!$A28)+1, FALSE)) &gt; X$1, (Assumptions!$B$8)*(X$1) + (Assumptions!$B$9)*MAX(0,  (HLOOKUP(X$2,Earnings!$G$2:$BC$81,('Yearly Pension'!$A28)+1, FALSE)) - X$1), ((Assumptions!$B$8)*'Yearly Pension'!X$1))))</f>
        <v>0</v>
      </c>
      <c r="Y28" s="6">
        <f>(HLOOKUP('Yearly Pension'!Y$2,'Credited Service'!$G$1:$BC$80,$A28+1,FALSE)) * (IF($B28=500, (Assumptions!$B$7)*12, IF((HLOOKUP(Y$2,Earnings!$G$2:$BC$81,('Yearly Pension'!$A28)+1, FALSE)) &gt; Y$1, (Assumptions!$B$8)*(Y$1) + (Assumptions!$B$9)*MAX(0,  (HLOOKUP(Y$2,Earnings!$G$2:$BC$81,('Yearly Pension'!$A28)+1, FALSE)) - Y$1), ((Assumptions!$B$8)*'Yearly Pension'!Y$1))))</f>
        <v>0</v>
      </c>
      <c r="Z28" s="6">
        <f>(HLOOKUP('Yearly Pension'!Z$2,'Credited Service'!$G$1:$BC$80,$A28+1,FALSE)) * (IF($B28=500, (Assumptions!$B$7)*12, IF((HLOOKUP(Z$2,Earnings!$G$2:$BC$81,('Yearly Pension'!$A28)+1, FALSE)) &gt; Z$1, (Assumptions!$B$8)*(Z$1) + (Assumptions!$B$9)*MAX(0,  (HLOOKUP(Z$2,Earnings!$G$2:$BC$81,('Yearly Pension'!$A28)+1, FALSE)) - Z$1), ((Assumptions!$B$8)*'Yearly Pension'!Z$1))))</f>
        <v>0</v>
      </c>
      <c r="AA28" s="6">
        <f>(HLOOKUP('Yearly Pension'!AA$2,'Credited Service'!$G$1:$BC$80,$A28+1,FALSE)) * (IF($B28=500, (Assumptions!$B$7)*12, IF((HLOOKUP(AA$2,Earnings!$G$2:$BC$81,('Yearly Pension'!$A28)+1, FALSE)) &gt; AA$1, (Assumptions!$B$8)*(AA$1) + (Assumptions!$B$9)*MAX(0,  (HLOOKUP(AA$2,Earnings!$G$2:$BC$81,('Yearly Pension'!$A28)+1, FALSE)) - AA$1), ((Assumptions!$B$8)*'Yearly Pension'!AA$1))))</f>
        <v>0</v>
      </c>
      <c r="AB28" s="6">
        <f>(HLOOKUP('Yearly Pension'!AB$2,'Credited Service'!$G$1:$BC$80,$A28+1,FALSE)) * (IF($B28=500, (Assumptions!$B$7)*12, IF((HLOOKUP(AB$2,Earnings!$G$2:$BC$81,('Yearly Pension'!$A28)+1, FALSE)) &gt; AB$1, (Assumptions!$B$8)*(AB$1) + (Assumptions!$B$9)*MAX(0,  (HLOOKUP(AB$2,Earnings!$G$2:$BC$81,('Yearly Pension'!$A28)+1, FALSE)) - AB$1), ((Assumptions!$B$8)*'Yearly Pension'!AB$1))))</f>
        <v>0</v>
      </c>
      <c r="AC28" s="6">
        <f>(HLOOKUP('Yearly Pension'!AC$2,'Credited Service'!$G$1:$BC$80,$A28+1,FALSE)) * (IF($B28=500, (Assumptions!$B$7)*12, IF((HLOOKUP(AC$2,Earnings!$G$2:$BC$81,('Yearly Pension'!$A28)+1, FALSE)) &gt; AC$1, (Assumptions!$B$8)*(AC$1) + (Assumptions!$B$9)*MAX(0,  (HLOOKUP(AC$2,Earnings!$G$2:$BC$81,('Yearly Pension'!$A28)+1, FALSE)) - AC$1), ((Assumptions!$B$8)*'Yearly Pension'!AC$1))))</f>
        <v>0</v>
      </c>
      <c r="AD28" s="6">
        <f>(HLOOKUP('Yearly Pension'!AD$2,'Credited Service'!$G$1:$BC$80,$A28+1,FALSE)) * (IF($B28=500, (Assumptions!$B$7)*12, IF((HLOOKUP(AD$2,Earnings!$G$2:$BC$81,('Yearly Pension'!$A28)+1, FALSE)) &gt; AD$1, (Assumptions!$B$8)*(AD$1) + (Assumptions!$B$9)*MAX(0,  (HLOOKUP(AD$2,Earnings!$G$2:$BC$81,('Yearly Pension'!$A28)+1, FALSE)) - AD$1), ((Assumptions!$B$8)*'Yearly Pension'!AD$1))))</f>
        <v>0</v>
      </c>
      <c r="AE28" s="6">
        <f>(HLOOKUP('Yearly Pension'!AE$2,'Credited Service'!$G$1:$BC$80,$A28+1,FALSE)) * (IF($B28=500, (Assumptions!$B$7)*12, IF((HLOOKUP(AE$2,Earnings!$G$2:$BC$81,('Yearly Pension'!$A28)+1, FALSE)) &gt; AE$1, (Assumptions!$B$8)*(AE$1) + (Assumptions!$B$9)*MAX(0,  (HLOOKUP(AE$2,Earnings!$G$2:$BC$81,('Yearly Pension'!$A28)+1, FALSE)) - AE$1), ((Assumptions!$B$8)*'Yearly Pension'!AE$1))))</f>
        <v>0</v>
      </c>
      <c r="AF28" s="6">
        <f>(HLOOKUP('Yearly Pension'!AF$2,'Credited Service'!$G$1:$BC$80,$A28+1,FALSE)) * (IF($B28=500, (Assumptions!$B$7)*12, IF((HLOOKUP(AF$2,Earnings!$G$2:$BC$81,('Yearly Pension'!$A28)+1, FALSE)) &gt; AF$1, (Assumptions!$B$8)*(AF$1) + (Assumptions!$B$9)*MAX(0,  (HLOOKUP(AF$2,Earnings!$G$2:$BC$81,('Yearly Pension'!$A28)+1, FALSE)) - AF$1), ((Assumptions!$B$8)*'Yearly Pension'!AF$1))))</f>
        <v>0</v>
      </c>
      <c r="AG28" s="6">
        <f>(HLOOKUP('Yearly Pension'!AG$2,'Credited Service'!$G$1:$BC$80,$A28+1,FALSE)) * (IF($B28=500, (Assumptions!$B$7)*12, IF((HLOOKUP(AG$2,Earnings!$G$2:$BC$81,('Yearly Pension'!$A28)+1, FALSE)) &gt; AG$1, (Assumptions!$B$8)*(AG$1) + (Assumptions!$B$9)*MAX(0,  (HLOOKUP(AG$2,Earnings!$G$2:$BC$81,('Yearly Pension'!$A28)+1, FALSE)) - AG$1), ((Assumptions!$B$8)*'Yearly Pension'!AG$1))))</f>
        <v>240</v>
      </c>
      <c r="AH28" s="6">
        <f>(HLOOKUP('Yearly Pension'!AH$2,'Credited Service'!$G$1:$BC$80,$A28+1,FALSE)) * (IF($B28=500, (Assumptions!$B$7)*12, IF((HLOOKUP(AH$2,Earnings!$G$2:$BC$81,('Yearly Pension'!$A28)+1, FALSE)) &gt; AH$1, (Assumptions!$B$8)*(AH$1) + (Assumptions!$B$9)*MAX(0,  (HLOOKUP(AH$2,Earnings!$G$2:$BC$81,('Yearly Pension'!$A28)+1, FALSE)) - AH$1), ((Assumptions!$B$8)*'Yearly Pension'!AH$1))))</f>
        <v>720</v>
      </c>
      <c r="AI28" s="6">
        <f>(HLOOKUP('Yearly Pension'!AI$2,'Credited Service'!$G$1:$BC$80,$A28+1,FALSE)) * (IF($B28=500, (Assumptions!$B$7)*12, IF((HLOOKUP(AI$2,Earnings!$G$2:$BC$81,('Yearly Pension'!$A28)+1, FALSE)) &gt; AI$1, (Assumptions!$B$8)*(AI$1) + (Assumptions!$B$9)*MAX(0,  (HLOOKUP(AI$2,Earnings!$G$2:$BC$81,('Yearly Pension'!$A28)+1, FALSE)) - AI$1), ((Assumptions!$B$8)*'Yearly Pension'!AI$1))))</f>
        <v>720</v>
      </c>
      <c r="AJ28" s="6">
        <f>(HLOOKUP('Yearly Pension'!AJ$2,'Credited Service'!$G$1:$BC$80,$A28+1,FALSE)) * (IF($B28=500, (Assumptions!$B$7)*12, IF((HLOOKUP(AJ$2,Earnings!$G$2:$BC$81,('Yearly Pension'!$A28)+1, FALSE)) &gt; AJ$1, (Assumptions!$B$8)*(AJ$1) + (Assumptions!$B$9)*MAX(0,  (HLOOKUP(AJ$2,Earnings!$G$2:$BC$81,('Yearly Pension'!$A28)+1, FALSE)) - AJ$1), ((Assumptions!$B$8)*'Yearly Pension'!AJ$1))))</f>
        <v>720</v>
      </c>
      <c r="AK28" s="6">
        <f>(HLOOKUP('Yearly Pension'!AK$2,'Credited Service'!$G$1:$BC$80,$A28+1,FALSE)) * (IF($B28=500, (Assumptions!$B$7)*12, IF((HLOOKUP(AK$2,Earnings!$G$2:$BC$81,('Yearly Pension'!$A28)+1, FALSE)) &gt; AK$1, (Assumptions!$B$8)*(AK$1) + (Assumptions!$B$9)*MAX(0,  (HLOOKUP(AK$2,Earnings!$G$2:$BC$81,('Yearly Pension'!$A28)+1, FALSE)) - AK$1), ((Assumptions!$B$8)*'Yearly Pension'!AK$1))))</f>
        <v>720</v>
      </c>
      <c r="AL28" s="6">
        <f>(HLOOKUP('Yearly Pension'!AL$2,'Credited Service'!$G$1:$BC$80,$A28+1,FALSE)) * (IF($B28=500, (Assumptions!$B$7)*12, IF((HLOOKUP(AL$2,Earnings!$G$2:$BC$81,('Yearly Pension'!$A28)+1, FALSE)) &gt; AL$1, (Assumptions!$B$8)*(AL$1) + (Assumptions!$B$9)*MAX(0,  (HLOOKUP(AL$2,Earnings!$G$2:$BC$81,('Yearly Pension'!$A28)+1, FALSE)) - AL$1), ((Assumptions!$B$8)*'Yearly Pension'!AL$1))))</f>
        <v>720</v>
      </c>
      <c r="AM28" s="6">
        <f>(HLOOKUP('Yearly Pension'!AM$2,'Credited Service'!$G$1:$BC$80,$A28+1,FALSE)) * (IF($B28=500, (Assumptions!$B$7)*12, IF((HLOOKUP(AM$2,Earnings!$G$2:$BC$81,('Yearly Pension'!$A28)+1, FALSE)) &gt; AM$1, (Assumptions!$B$8)*(AM$1) + (Assumptions!$B$9)*MAX(0,  (HLOOKUP(AM$2,Earnings!$G$2:$BC$81,('Yearly Pension'!$A28)+1, FALSE)) - AM$1), ((Assumptions!$B$8)*'Yearly Pension'!AM$1))))</f>
        <v>720</v>
      </c>
      <c r="AN28" s="6">
        <f>(HLOOKUP('Yearly Pension'!AN$2,'Credited Service'!$G$1:$BC$80,$A28+1,FALSE)) * (IF($B28=500, (Assumptions!$B$7)*12, IF((HLOOKUP(AN$2,Earnings!$G$2:$BC$81,('Yearly Pension'!$A28)+1, FALSE)) &gt; AN$1, (Assumptions!$B$8)*(AN$1) + (Assumptions!$B$9)*MAX(0,  (HLOOKUP(AN$2,Earnings!$G$2:$BC$81,('Yearly Pension'!$A28)+1, FALSE)) - AN$1), ((Assumptions!$B$8)*'Yearly Pension'!AN$1))))</f>
        <v>720</v>
      </c>
      <c r="AO28" s="6">
        <f>(HLOOKUP('Yearly Pension'!AO$2,'Credited Service'!$G$1:$BC$80,$A28+1,FALSE)) * (IF($B28=500, (Assumptions!$B$7)*12, IF((HLOOKUP(AO$2,Earnings!$G$2:$BC$81,('Yearly Pension'!$A28)+1, FALSE)) &gt; AO$1, (Assumptions!$B$8)*(AO$1) + (Assumptions!$B$9)*MAX(0,  (HLOOKUP(AO$2,Earnings!$G$2:$BC$81,('Yearly Pension'!$A28)+1, FALSE)) - AO$1), ((Assumptions!$B$8)*'Yearly Pension'!AO$1))))</f>
        <v>720</v>
      </c>
      <c r="AP28" s="6">
        <f>(HLOOKUP('Yearly Pension'!AP$2,'Credited Service'!$G$1:$BC$80,$A28+1,FALSE)) * (IF($B28=500, (Assumptions!$B$7)*12, IF((HLOOKUP(AP$2,Earnings!$G$2:$BC$81,('Yearly Pension'!$A28)+1, FALSE)) &gt; AP$1, (Assumptions!$B$8)*(AP$1) + (Assumptions!$B$9)*MAX(0,  (HLOOKUP(AP$2,Earnings!$G$2:$BC$81,('Yearly Pension'!$A28)+1, FALSE)) - AP$1), ((Assumptions!$B$8)*'Yearly Pension'!AP$1))))</f>
        <v>720</v>
      </c>
      <c r="AQ28" s="6">
        <f>(HLOOKUP('Yearly Pension'!AQ$2,'Credited Service'!$G$1:$BC$80,$A28+1,FALSE)) * (IF($B28=500, (Assumptions!$B$7)*12, IF((HLOOKUP(AQ$2,Earnings!$G$2:$BC$81,('Yearly Pension'!$A28)+1, FALSE)) &gt; AQ$1, (Assumptions!$B$8)*(AQ$1) + (Assumptions!$B$9)*MAX(0,  (HLOOKUP(AQ$2,Earnings!$G$2:$BC$81,('Yearly Pension'!$A28)+1, FALSE)) - AQ$1), ((Assumptions!$B$8)*'Yearly Pension'!AQ$1))))</f>
        <v>720</v>
      </c>
      <c r="AR28" s="6">
        <f>(HLOOKUP('Yearly Pension'!AR$2,'Credited Service'!$G$1:$BC$80,$A28+1,FALSE)) * (IF($B28=500, (Assumptions!$B$7)*12, IF((HLOOKUP(AR$2,Earnings!$G$2:$BC$81,('Yearly Pension'!$A28)+1, FALSE)) &gt; AR$1, (Assumptions!$B$8)*(AR$1) + (Assumptions!$B$9)*MAX(0,  (HLOOKUP(AR$2,Earnings!$G$2:$BC$81,('Yearly Pension'!$A28)+1, FALSE)) - AR$1), ((Assumptions!$B$8)*'Yearly Pension'!AR$1))))</f>
        <v>720</v>
      </c>
      <c r="AS28" s="6">
        <f>(HLOOKUP('Yearly Pension'!AS$2,'Credited Service'!$G$1:$BC$80,$A28+1,FALSE)) * (IF($B28=500, (Assumptions!$B$7)*12, IF((HLOOKUP(AS$2,Earnings!$G$2:$BC$81,('Yearly Pension'!$A28)+1, FALSE)) &gt; AS$1, (Assumptions!$B$8)*(AS$1) + (Assumptions!$B$9)*MAX(0,  (HLOOKUP(AS$2,Earnings!$G$2:$BC$81,('Yearly Pension'!$A28)+1, FALSE)) - AS$1), ((Assumptions!$B$8)*'Yearly Pension'!AS$1))))</f>
        <v>720</v>
      </c>
      <c r="AT28" s="6">
        <f>(HLOOKUP('Yearly Pension'!AT$2,'Credited Service'!$G$1:$BC$80,$A28+1,FALSE)) * (IF($B28=500, (Assumptions!$B$7)*12, IF((HLOOKUP(AT$2,Earnings!$G$2:$BC$81,('Yearly Pension'!$A28)+1, FALSE)) &gt; AT$1, (Assumptions!$B$8)*(AT$1) + (Assumptions!$B$9)*MAX(0,  (HLOOKUP(AT$2,Earnings!$G$2:$BC$81,('Yearly Pension'!$A28)+1, FALSE)) - AT$1), ((Assumptions!$B$8)*'Yearly Pension'!AT$1))))</f>
        <v>720</v>
      </c>
      <c r="AU28" s="6">
        <f>(HLOOKUP('Yearly Pension'!AU$2,'Credited Service'!$G$1:$BC$80,$A28+1,FALSE)) * (IF($B28=500, (Assumptions!$B$7)*12, IF((HLOOKUP(AU$2,Earnings!$G$2:$BC$81,('Yearly Pension'!$A28)+1, FALSE)) &gt; AU$1, (Assumptions!$B$8)*(AU$1) + (Assumptions!$B$9)*MAX(0,  (HLOOKUP(AU$2,Earnings!$G$2:$BC$81,('Yearly Pension'!$A28)+1, FALSE)) - AU$1), ((Assumptions!$B$8)*'Yearly Pension'!AU$1))))</f>
        <v>720</v>
      </c>
      <c r="AV28" s="6">
        <f>(HLOOKUP('Yearly Pension'!AV$2,'Credited Service'!$G$1:$BC$80,$A28+1,FALSE)) * (IF($B28=500, (Assumptions!$B$7)*12, IF((HLOOKUP(AV$2,Earnings!$G$2:$BC$81,('Yearly Pension'!$A28)+1, FALSE)) &gt; AV$1, (Assumptions!$B$8)*(AV$1) + (Assumptions!$B$9)*MAX(0,  (HLOOKUP(AV$2,Earnings!$G$2:$BC$81,('Yearly Pension'!$A28)+1, FALSE)) - AV$1), ((Assumptions!$B$8)*'Yearly Pension'!AV$1))))</f>
        <v>720</v>
      </c>
      <c r="AW28" s="6">
        <f>(HLOOKUP('Yearly Pension'!AW$2,'Credited Service'!$G$1:$BC$80,$A28+1,FALSE)) * (IF($B28=500, (Assumptions!$B$7)*12, IF((HLOOKUP(AW$2,Earnings!$G$2:$BC$81,('Yearly Pension'!$A28)+1, FALSE)) &gt; AW$1, (Assumptions!$B$8)*(AW$1) + (Assumptions!$B$9)*MAX(0,  (HLOOKUP(AW$2,Earnings!$G$2:$BC$81,('Yearly Pension'!$A28)+1, FALSE)) - AW$1), ((Assumptions!$B$8)*'Yearly Pension'!AW$1))))</f>
        <v>720</v>
      </c>
      <c r="AX28" s="6">
        <f>(HLOOKUP('Yearly Pension'!AX$2,'Credited Service'!$G$1:$BC$80,$A28+1,FALSE)) * (IF($B28=500, (Assumptions!$B$7)*12, IF((HLOOKUP(AX$2,Earnings!$G$2:$BC$81,('Yearly Pension'!$A28)+1, FALSE)) &gt; AX$1, (Assumptions!$B$8)*(AX$1) + (Assumptions!$B$9)*MAX(0,  (HLOOKUP(AX$2,Earnings!$G$2:$BC$81,('Yearly Pension'!$A28)+1, FALSE)) - AX$1), ((Assumptions!$B$8)*'Yearly Pension'!AX$1))))</f>
        <v>720</v>
      </c>
      <c r="AY28" s="6">
        <f>(HLOOKUP('Yearly Pension'!AY$2,'Credited Service'!$G$1:$BC$80,$A28+1,FALSE)) * (IF($B28=500, (Assumptions!$B$7)*12, IF((HLOOKUP(AY$2,Earnings!$G$2:$BC$81,('Yearly Pension'!$A28)+1, FALSE)) &gt; AY$1, (Assumptions!$B$8)*(AY$1) + (Assumptions!$B$9)*MAX(0,  (HLOOKUP(AY$2,Earnings!$G$2:$BC$81,('Yearly Pension'!$A28)+1, FALSE)) - AY$1), ((Assumptions!$B$8)*'Yearly Pension'!AY$1))))</f>
        <v>720</v>
      </c>
      <c r="AZ28" s="6">
        <f>(HLOOKUP('Yearly Pension'!AZ$2,'Credited Service'!$G$1:$BC$80,$A28+1,FALSE)) * (IF($B28=500, (Assumptions!$B$7)*12, IF((HLOOKUP(AZ$2,Earnings!$G$2:$BC$81,('Yearly Pension'!$A28)+1, FALSE)) &gt; AZ$1, (Assumptions!$B$8)*(AZ$1) + (Assumptions!$B$9)*MAX(0,  (HLOOKUP(AZ$2,Earnings!$G$2:$BC$81,('Yearly Pension'!$A28)+1, FALSE)) - AZ$1), ((Assumptions!$B$8)*'Yearly Pension'!AZ$1))))</f>
        <v>720</v>
      </c>
      <c r="BA28" s="6">
        <f>(HLOOKUP('Yearly Pension'!BA$2,'Credited Service'!$G$1:$BC$80,$A28+1,FALSE)) * (IF($B28=500, (Assumptions!$B$7)*12, IF((HLOOKUP(BA$2,Earnings!$G$2:$BC$81,('Yearly Pension'!$A28)+1, FALSE)) &gt; BA$1, (Assumptions!$B$8)*(BA$1) + (Assumptions!$B$9)*MAX(0,  (HLOOKUP(BA$2,Earnings!$G$2:$BC$81,('Yearly Pension'!$A28)+1, FALSE)) - BA$1), ((Assumptions!$B$8)*'Yearly Pension'!BA$1))))</f>
        <v>720</v>
      </c>
      <c r="BB28" s="6">
        <f>(HLOOKUP('Yearly Pension'!BB$2,'Credited Service'!$G$1:$BC$80,$A28+1,FALSE)) * (IF($B28=500, (Assumptions!$B$7)*12, IF((HLOOKUP(BB$2,Earnings!$G$2:$BC$81,('Yearly Pension'!$A28)+1, FALSE)) &gt; BB$1, (Assumptions!$B$8)*(BB$1) + (Assumptions!$B$9)*MAX(0,  (HLOOKUP(BB$2,Earnings!$G$2:$BC$81,('Yearly Pension'!$A28)+1, FALSE)) - BB$1), ((Assumptions!$B$8)*'Yearly Pension'!BB$1))))</f>
        <v>720</v>
      </c>
      <c r="BC28" s="6">
        <f>(HLOOKUP('Yearly Pension'!BC$2,'Credited Service'!$G$1:$BC$80,$A28+1,FALSE)) * (IF($B28=500, (Assumptions!$B$7)*12, IF((HLOOKUP(BC$2,Earnings!$G$2:$BC$81,('Yearly Pension'!$A28)+1, FALSE)) &gt; BC$1, (Assumptions!$B$8)*(BC$1) + (Assumptions!$B$9)*MAX(0,  (HLOOKUP(BC$2,Earnings!$G$2:$BC$81,('Yearly Pension'!$A28)+1, FALSE)) - BC$1), ((Assumptions!$B$8)*'Yearly Pension'!BC$1))))</f>
        <v>720</v>
      </c>
    </row>
    <row r="29" spans="1:55" x14ac:dyDescent="0.25">
      <c r="A29" s="204">
        <v>27</v>
      </c>
      <c r="B29" s="1">
        <v>500</v>
      </c>
      <c r="C29" s="1">
        <v>755</v>
      </c>
      <c r="D29" s="3">
        <v>37725</v>
      </c>
      <c r="E29" s="3">
        <v>51349</v>
      </c>
      <c r="G29" s="6">
        <f>(HLOOKUP('Yearly Pension'!G$2,'Credited Service'!$G$1:$BC$80,$A29+1,FALSE)) * (IF($B29=500, (Assumptions!$B$7)*12, IF((HLOOKUP(G$2,Earnings!$G$2:$BC$81,('Yearly Pension'!$A29)+1, FALSE)) &gt; G$1, (Assumptions!$B$8)*(G$1) + (Assumptions!$B$9)*MAX(0,  (HLOOKUP(G$2,Earnings!$G$2:$BC$81,('Yearly Pension'!$A29)+1, FALSE)) - G$1), ((Assumptions!$B$8)*'Yearly Pension'!G$1))))</f>
        <v>0</v>
      </c>
      <c r="H29" s="6">
        <f>(HLOOKUP('Yearly Pension'!H$2,'Credited Service'!$G$1:$BC$80,$A29+1,FALSE)) * (IF($B29=500, (Assumptions!$B$7)*12, IF((HLOOKUP(H$2,Earnings!$G$2:$BC$81,('Yearly Pension'!$A29)+1, FALSE)) &gt; H$1, (Assumptions!$B$8)*(H$1) + (Assumptions!$B$9)*MAX(0,  (HLOOKUP(H$2,Earnings!$G$2:$BC$81,('Yearly Pension'!$A29)+1, FALSE)) - H$1), ((Assumptions!$B$8)*'Yearly Pension'!H$1))))</f>
        <v>0</v>
      </c>
      <c r="I29" s="6">
        <f>(HLOOKUP('Yearly Pension'!I$2,'Credited Service'!$G$1:$BC$80,$A29+1,FALSE)) * (IF($B29=500, (Assumptions!$B$7)*12, IF((HLOOKUP(I$2,Earnings!$G$2:$BC$81,('Yearly Pension'!$A29)+1, FALSE)) &gt; I$1, (Assumptions!$B$8)*(I$1) + (Assumptions!$B$9)*MAX(0,  (HLOOKUP(I$2,Earnings!$G$2:$BC$81,('Yearly Pension'!$A29)+1, FALSE)) - I$1), ((Assumptions!$B$8)*'Yearly Pension'!I$1))))</f>
        <v>0</v>
      </c>
      <c r="J29" s="6">
        <f>(HLOOKUP('Yearly Pension'!J$2,'Credited Service'!$G$1:$BC$80,$A29+1,FALSE)) * (IF($B29=500, (Assumptions!$B$7)*12, IF((HLOOKUP(J$2,Earnings!$G$2:$BC$81,('Yearly Pension'!$A29)+1, FALSE)) &gt; J$1, (Assumptions!$B$8)*(J$1) + (Assumptions!$B$9)*MAX(0,  (HLOOKUP(J$2,Earnings!$G$2:$BC$81,('Yearly Pension'!$A29)+1, FALSE)) - J$1), ((Assumptions!$B$8)*'Yearly Pension'!J$1))))</f>
        <v>0</v>
      </c>
      <c r="K29" s="6">
        <f>(HLOOKUP('Yearly Pension'!K$2,'Credited Service'!$G$1:$BC$80,$A29+1,FALSE)) * (IF($B29=500, (Assumptions!$B$7)*12, IF((HLOOKUP(K$2,Earnings!$G$2:$BC$81,('Yearly Pension'!$A29)+1, FALSE)) &gt; K$1, (Assumptions!$B$8)*(K$1) + (Assumptions!$B$9)*MAX(0,  (HLOOKUP(K$2,Earnings!$G$2:$BC$81,('Yearly Pension'!$A29)+1, FALSE)) - K$1), ((Assumptions!$B$8)*'Yearly Pension'!K$1))))</f>
        <v>0</v>
      </c>
      <c r="L29" s="6">
        <f>(HLOOKUP('Yearly Pension'!L$2,'Credited Service'!$G$1:$BC$80,$A29+1,FALSE)) * (IF($B29=500, (Assumptions!$B$7)*12, IF((HLOOKUP(L$2,Earnings!$G$2:$BC$81,('Yearly Pension'!$A29)+1, FALSE)) &gt; L$1, (Assumptions!$B$8)*(L$1) + (Assumptions!$B$9)*MAX(0,  (HLOOKUP(L$2,Earnings!$G$2:$BC$81,('Yearly Pension'!$A29)+1, FALSE)) - L$1), ((Assumptions!$B$8)*'Yearly Pension'!L$1))))</f>
        <v>0</v>
      </c>
      <c r="M29" s="6">
        <f>(HLOOKUP('Yearly Pension'!M$2,'Credited Service'!$G$1:$BC$80,$A29+1,FALSE)) * (IF($B29=500, (Assumptions!$B$7)*12, IF((HLOOKUP(M$2,Earnings!$G$2:$BC$81,('Yearly Pension'!$A29)+1, FALSE)) &gt; M$1, (Assumptions!$B$8)*(M$1) + (Assumptions!$B$9)*MAX(0,  (HLOOKUP(M$2,Earnings!$G$2:$BC$81,('Yearly Pension'!$A29)+1, FALSE)) - M$1), ((Assumptions!$B$8)*'Yearly Pension'!M$1))))</f>
        <v>0</v>
      </c>
      <c r="N29" s="6">
        <f>(HLOOKUP('Yearly Pension'!N$2,'Credited Service'!$G$1:$BC$80,$A29+1,FALSE)) * (IF($B29=500, (Assumptions!$B$7)*12, IF((HLOOKUP(N$2,Earnings!$G$2:$BC$81,('Yearly Pension'!$A29)+1, FALSE)) &gt; N$1, (Assumptions!$B$8)*(N$1) + (Assumptions!$B$9)*MAX(0,  (HLOOKUP(N$2,Earnings!$G$2:$BC$81,('Yearly Pension'!$A29)+1, FALSE)) - N$1), ((Assumptions!$B$8)*'Yearly Pension'!N$1))))</f>
        <v>0</v>
      </c>
      <c r="O29" s="6">
        <f>(HLOOKUP('Yearly Pension'!O$2,'Credited Service'!$G$1:$BC$80,$A29+1,FALSE)) * (IF($B29=500, (Assumptions!$B$7)*12, IF((HLOOKUP(O$2,Earnings!$G$2:$BC$81,('Yearly Pension'!$A29)+1, FALSE)) &gt; O$1, (Assumptions!$B$8)*(O$1) + (Assumptions!$B$9)*MAX(0,  (HLOOKUP(O$2,Earnings!$G$2:$BC$81,('Yearly Pension'!$A29)+1, FALSE)) - O$1), ((Assumptions!$B$8)*'Yearly Pension'!O$1))))</f>
        <v>0</v>
      </c>
      <c r="P29" s="6">
        <f>(HLOOKUP('Yearly Pension'!P$2,'Credited Service'!$G$1:$BC$80,$A29+1,FALSE)) * (IF($B29=500, (Assumptions!$B$7)*12, IF((HLOOKUP(P$2,Earnings!$G$2:$BC$81,('Yearly Pension'!$A29)+1, FALSE)) &gt; P$1, (Assumptions!$B$8)*(P$1) + (Assumptions!$B$9)*MAX(0,  (HLOOKUP(P$2,Earnings!$G$2:$BC$81,('Yearly Pension'!$A29)+1, FALSE)) - P$1), ((Assumptions!$B$8)*'Yearly Pension'!P$1))))</f>
        <v>0</v>
      </c>
      <c r="Q29" s="6">
        <f>(HLOOKUP('Yearly Pension'!Q$2,'Credited Service'!$G$1:$BC$80,$A29+1,FALSE)) * (IF($B29=500, (Assumptions!$B$7)*12, IF((HLOOKUP(Q$2,Earnings!$G$2:$BC$81,('Yearly Pension'!$A29)+1, FALSE)) &gt; Q$1, (Assumptions!$B$8)*(Q$1) + (Assumptions!$B$9)*MAX(0,  (HLOOKUP(Q$2,Earnings!$G$2:$BC$81,('Yearly Pension'!$A29)+1, FALSE)) - Q$1), ((Assumptions!$B$8)*'Yearly Pension'!Q$1))))</f>
        <v>0</v>
      </c>
      <c r="R29" s="6">
        <f>(HLOOKUP('Yearly Pension'!R$2,'Credited Service'!$G$1:$BC$80,$A29+1,FALSE)) * (IF($B29=500, (Assumptions!$B$7)*12, IF((HLOOKUP(R$2,Earnings!$G$2:$BC$81,('Yearly Pension'!$A29)+1, FALSE)) &gt; R$1, (Assumptions!$B$8)*(R$1) + (Assumptions!$B$9)*MAX(0,  (HLOOKUP(R$2,Earnings!$G$2:$BC$81,('Yearly Pension'!$A29)+1, FALSE)) - R$1), ((Assumptions!$B$8)*'Yearly Pension'!R$1))))</f>
        <v>0</v>
      </c>
      <c r="S29" s="6">
        <f>(HLOOKUP('Yearly Pension'!S$2,'Credited Service'!$G$1:$BC$80,$A29+1,FALSE)) * (IF($B29=500, (Assumptions!$B$7)*12, IF((HLOOKUP(S$2,Earnings!$G$2:$BC$81,('Yearly Pension'!$A29)+1, FALSE)) &gt; S$1, (Assumptions!$B$8)*(S$1) + (Assumptions!$B$9)*MAX(0,  (HLOOKUP(S$2,Earnings!$G$2:$BC$81,('Yearly Pension'!$A29)+1, FALSE)) - S$1), ((Assumptions!$B$8)*'Yearly Pension'!S$1))))</f>
        <v>0</v>
      </c>
      <c r="T29" s="6">
        <f>(HLOOKUP('Yearly Pension'!T$2,'Credited Service'!$G$1:$BC$80,$A29+1,FALSE)) * (IF($B29=500, (Assumptions!$B$7)*12, IF((HLOOKUP(T$2,Earnings!$G$2:$BC$81,('Yearly Pension'!$A29)+1, FALSE)) &gt; T$1, (Assumptions!$B$8)*(T$1) + (Assumptions!$B$9)*MAX(0,  (HLOOKUP(T$2,Earnings!$G$2:$BC$81,('Yearly Pension'!$A29)+1, FALSE)) - T$1), ((Assumptions!$B$8)*'Yearly Pension'!T$1))))</f>
        <v>0</v>
      </c>
      <c r="U29" s="6">
        <f>(HLOOKUP('Yearly Pension'!U$2,'Credited Service'!$G$1:$BC$80,$A29+1,FALSE)) * (IF($B29=500, (Assumptions!$B$7)*12, IF((HLOOKUP(U$2,Earnings!$G$2:$BC$81,('Yearly Pension'!$A29)+1, FALSE)) &gt; U$1, (Assumptions!$B$8)*(U$1) + (Assumptions!$B$9)*MAX(0,  (HLOOKUP(U$2,Earnings!$G$2:$BC$81,('Yearly Pension'!$A29)+1, FALSE)) - U$1), ((Assumptions!$B$8)*'Yearly Pension'!U$1))))</f>
        <v>0</v>
      </c>
      <c r="V29" s="6">
        <f>(HLOOKUP('Yearly Pension'!V$2,'Credited Service'!$G$1:$BC$80,$A29+1,FALSE)) * (IF($B29=500, (Assumptions!$B$7)*12, IF((HLOOKUP(V$2,Earnings!$G$2:$BC$81,('Yearly Pension'!$A29)+1, FALSE)) &gt; V$1, (Assumptions!$B$8)*(V$1) + (Assumptions!$B$9)*MAX(0,  (HLOOKUP(V$2,Earnings!$G$2:$BC$81,('Yearly Pension'!$A29)+1, FALSE)) - V$1), ((Assumptions!$B$8)*'Yearly Pension'!V$1))))</f>
        <v>0</v>
      </c>
      <c r="W29" s="6">
        <f>(HLOOKUP('Yearly Pension'!W$2,'Credited Service'!$G$1:$BC$80,$A29+1,FALSE)) * (IF($B29=500, (Assumptions!$B$7)*12, IF((HLOOKUP(W$2,Earnings!$G$2:$BC$81,('Yearly Pension'!$A29)+1, FALSE)) &gt; W$1, (Assumptions!$B$8)*(W$1) + (Assumptions!$B$9)*MAX(0,  (HLOOKUP(W$2,Earnings!$G$2:$BC$81,('Yearly Pension'!$A29)+1, FALSE)) - W$1), ((Assumptions!$B$8)*'Yearly Pension'!W$1))))</f>
        <v>0</v>
      </c>
      <c r="X29" s="6">
        <f>(HLOOKUP('Yearly Pension'!X$2,'Credited Service'!$G$1:$BC$80,$A29+1,FALSE)) * (IF($B29=500, (Assumptions!$B$7)*12, IF((HLOOKUP(X$2,Earnings!$G$2:$BC$81,('Yearly Pension'!$A29)+1, FALSE)) &gt; X$1, (Assumptions!$B$8)*(X$1) + (Assumptions!$B$9)*MAX(0,  (HLOOKUP(X$2,Earnings!$G$2:$BC$81,('Yearly Pension'!$A29)+1, FALSE)) - X$1), ((Assumptions!$B$8)*'Yearly Pension'!X$1))))</f>
        <v>0</v>
      </c>
      <c r="Y29" s="6">
        <f>(HLOOKUP('Yearly Pension'!Y$2,'Credited Service'!$G$1:$BC$80,$A29+1,FALSE)) * (IF($B29=500, (Assumptions!$B$7)*12, IF((HLOOKUP(Y$2,Earnings!$G$2:$BC$81,('Yearly Pension'!$A29)+1, FALSE)) &gt; Y$1, (Assumptions!$B$8)*(Y$1) + (Assumptions!$B$9)*MAX(0,  (HLOOKUP(Y$2,Earnings!$G$2:$BC$81,('Yearly Pension'!$A29)+1, FALSE)) - Y$1), ((Assumptions!$B$8)*'Yearly Pension'!Y$1))))</f>
        <v>0</v>
      </c>
      <c r="Z29" s="6">
        <f>(HLOOKUP('Yearly Pension'!Z$2,'Credited Service'!$G$1:$BC$80,$A29+1,FALSE)) * (IF($B29=500, (Assumptions!$B$7)*12, IF((HLOOKUP(Z$2,Earnings!$G$2:$BC$81,('Yearly Pension'!$A29)+1, FALSE)) &gt; Z$1, (Assumptions!$B$8)*(Z$1) + (Assumptions!$B$9)*MAX(0,  (HLOOKUP(Z$2,Earnings!$G$2:$BC$81,('Yearly Pension'!$A29)+1, FALSE)) - Z$1), ((Assumptions!$B$8)*'Yearly Pension'!Z$1))))</f>
        <v>0</v>
      </c>
      <c r="AA29" s="6">
        <f>(HLOOKUP('Yearly Pension'!AA$2,'Credited Service'!$G$1:$BC$80,$A29+1,FALSE)) * (IF($B29=500, (Assumptions!$B$7)*12, IF((HLOOKUP(AA$2,Earnings!$G$2:$BC$81,('Yearly Pension'!$A29)+1, FALSE)) &gt; AA$1, (Assumptions!$B$8)*(AA$1) + (Assumptions!$B$9)*MAX(0,  (HLOOKUP(AA$2,Earnings!$G$2:$BC$81,('Yearly Pension'!$A29)+1, FALSE)) - AA$1), ((Assumptions!$B$8)*'Yearly Pension'!AA$1))))</f>
        <v>0</v>
      </c>
      <c r="AB29" s="6">
        <f>(HLOOKUP('Yearly Pension'!AB$2,'Credited Service'!$G$1:$BC$80,$A29+1,FALSE)) * (IF($B29=500, (Assumptions!$B$7)*12, IF((HLOOKUP(AB$2,Earnings!$G$2:$BC$81,('Yearly Pension'!$A29)+1, FALSE)) &gt; AB$1, (Assumptions!$B$8)*(AB$1) + (Assumptions!$B$9)*MAX(0,  (HLOOKUP(AB$2,Earnings!$G$2:$BC$81,('Yearly Pension'!$A29)+1, FALSE)) - AB$1), ((Assumptions!$B$8)*'Yearly Pension'!AB$1))))</f>
        <v>0</v>
      </c>
      <c r="AC29" s="6">
        <f>(HLOOKUP('Yearly Pension'!AC$2,'Credited Service'!$G$1:$BC$80,$A29+1,FALSE)) * (IF($B29=500, (Assumptions!$B$7)*12, IF((HLOOKUP(AC$2,Earnings!$G$2:$BC$81,('Yearly Pension'!$A29)+1, FALSE)) &gt; AC$1, (Assumptions!$B$8)*(AC$1) + (Assumptions!$B$9)*MAX(0,  (HLOOKUP(AC$2,Earnings!$G$2:$BC$81,('Yearly Pension'!$A29)+1, FALSE)) - AC$1), ((Assumptions!$B$8)*'Yearly Pension'!AC$1))))</f>
        <v>0</v>
      </c>
      <c r="AD29" s="6">
        <f>(HLOOKUP('Yearly Pension'!AD$2,'Credited Service'!$G$1:$BC$80,$A29+1,FALSE)) * (IF($B29=500, (Assumptions!$B$7)*12, IF((HLOOKUP(AD$2,Earnings!$G$2:$BC$81,('Yearly Pension'!$A29)+1, FALSE)) &gt; AD$1, (Assumptions!$B$8)*(AD$1) + (Assumptions!$B$9)*MAX(0,  (HLOOKUP(AD$2,Earnings!$G$2:$BC$81,('Yearly Pension'!$A29)+1, FALSE)) - AD$1), ((Assumptions!$B$8)*'Yearly Pension'!AD$1))))</f>
        <v>0</v>
      </c>
      <c r="AE29" s="6">
        <f>(HLOOKUP('Yearly Pension'!AE$2,'Credited Service'!$G$1:$BC$80,$A29+1,FALSE)) * (IF($B29=500, (Assumptions!$B$7)*12, IF((HLOOKUP(AE$2,Earnings!$G$2:$BC$81,('Yearly Pension'!$A29)+1, FALSE)) &gt; AE$1, (Assumptions!$B$8)*(AE$1) + (Assumptions!$B$9)*MAX(0,  (HLOOKUP(AE$2,Earnings!$G$2:$BC$81,('Yearly Pension'!$A29)+1, FALSE)) - AE$1), ((Assumptions!$B$8)*'Yearly Pension'!AE$1))))</f>
        <v>0</v>
      </c>
      <c r="AF29" s="6">
        <f>(HLOOKUP('Yearly Pension'!AF$2,'Credited Service'!$G$1:$BC$80,$A29+1,FALSE)) * (IF($B29=500, (Assumptions!$B$7)*12, IF((HLOOKUP(AF$2,Earnings!$G$2:$BC$81,('Yearly Pension'!$A29)+1, FALSE)) &gt; AF$1, (Assumptions!$B$8)*(AF$1) + (Assumptions!$B$9)*MAX(0,  (HLOOKUP(AF$2,Earnings!$G$2:$BC$81,('Yearly Pension'!$A29)+1, FALSE)) - AF$1), ((Assumptions!$B$8)*'Yearly Pension'!AF$1))))</f>
        <v>0</v>
      </c>
      <c r="AG29" s="6">
        <f>(HLOOKUP('Yearly Pension'!AG$2,'Credited Service'!$G$1:$BC$80,$A29+1,FALSE)) * (IF($B29=500, (Assumptions!$B$7)*12, IF((HLOOKUP(AG$2,Earnings!$G$2:$BC$81,('Yearly Pension'!$A29)+1, FALSE)) &gt; AG$1, (Assumptions!$B$8)*(AG$1) + (Assumptions!$B$9)*MAX(0,  (HLOOKUP(AG$2,Earnings!$G$2:$BC$81,('Yearly Pension'!$A29)+1, FALSE)) - AG$1), ((Assumptions!$B$8)*'Yearly Pension'!AG$1))))</f>
        <v>480</v>
      </c>
      <c r="AH29" s="6">
        <f>(HLOOKUP('Yearly Pension'!AH$2,'Credited Service'!$G$1:$BC$80,$A29+1,FALSE)) * (IF($B29=500, (Assumptions!$B$7)*12, IF((HLOOKUP(AH$2,Earnings!$G$2:$BC$81,('Yearly Pension'!$A29)+1, FALSE)) &gt; AH$1, (Assumptions!$B$8)*(AH$1) + (Assumptions!$B$9)*MAX(0,  (HLOOKUP(AH$2,Earnings!$G$2:$BC$81,('Yearly Pension'!$A29)+1, FALSE)) - AH$1), ((Assumptions!$B$8)*'Yearly Pension'!AH$1))))</f>
        <v>720</v>
      </c>
      <c r="AI29" s="6">
        <f>(HLOOKUP('Yearly Pension'!AI$2,'Credited Service'!$G$1:$BC$80,$A29+1,FALSE)) * (IF($B29=500, (Assumptions!$B$7)*12, IF((HLOOKUP(AI$2,Earnings!$G$2:$BC$81,('Yearly Pension'!$A29)+1, FALSE)) &gt; AI$1, (Assumptions!$B$8)*(AI$1) + (Assumptions!$B$9)*MAX(0,  (HLOOKUP(AI$2,Earnings!$G$2:$BC$81,('Yearly Pension'!$A29)+1, FALSE)) - AI$1), ((Assumptions!$B$8)*'Yearly Pension'!AI$1))))</f>
        <v>720</v>
      </c>
      <c r="AJ29" s="6">
        <f>(HLOOKUP('Yearly Pension'!AJ$2,'Credited Service'!$G$1:$BC$80,$A29+1,FALSE)) * (IF($B29=500, (Assumptions!$B$7)*12, IF((HLOOKUP(AJ$2,Earnings!$G$2:$BC$81,('Yearly Pension'!$A29)+1, FALSE)) &gt; AJ$1, (Assumptions!$B$8)*(AJ$1) + (Assumptions!$B$9)*MAX(0,  (HLOOKUP(AJ$2,Earnings!$G$2:$BC$81,('Yearly Pension'!$A29)+1, FALSE)) - AJ$1), ((Assumptions!$B$8)*'Yearly Pension'!AJ$1))))</f>
        <v>720</v>
      </c>
      <c r="AK29" s="6">
        <f>(HLOOKUP('Yearly Pension'!AK$2,'Credited Service'!$G$1:$BC$80,$A29+1,FALSE)) * (IF($B29=500, (Assumptions!$B$7)*12, IF((HLOOKUP(AK$2,Earnings!$G$2:$BC$81,('Yearly Pension'!$A29)+1, FALSE)) &gt; AK$1, (Assumptions!$B$8)*(AK$1) + (Assumptions!$B$9)*MAX(0,  (HLOOKUP(AK$2,Earnings!$G$2:$BC$81,('Yearly Pension'!$A29)+1, FALSE)) - AK$1), ((Assumptions!$B$8)*'Yearly Pension'!AK$1))))</f>
        <v>720</v>
      </c>
      <c r="AL29" s="6">
        <f>(HLOOKUP('Yearly Pension'!AL$2,'Credited Service'!$G$1:$BC$80,$A29+1,FALSE)) * (IF($B29=500, (Assumptions!$B$7)*12, IF((HLOOKUP(AL$2,Earnings!$G$2:$BC$81,('Yearly Pension'!$A29)+1, FALSE)) &gt; AL$1, (Assumptions!$B$8)*(AL$1) + (Assumptions!$B$9)*MAX(0,  (HLOOKUP(AL$2,Earnings!$G$2:$BC$81,('Yearly Pension'!$A29)+1, FALSE)) - AL$1), ((Assumptions!$B$8)*'Yearly Pension'!AL$1))))</f>
        <v>720</v>
      </c>
      <c r="AM29" s="6">
        <f>(HLOOKUP('Yearly Pension'!AM$2,'Credited Service'!$G$1:$BC$80,$A29+1,FALSE)) * (IF($B29=500, (Assumptions!$B$7)*12, IF((HLOOKUP(AM$2,Earnings!$G$2:$BC$81,('Yearly Pension'!$A29)+1, FALSE)) &gt; AM$1, (Assumptions!$B$8)*(AM$1) + (Assumptions!$B$9)*MAX(0,  (HLOOKUP(AM$2,Earnings!$G$2:$BC$81,('Yearly Pension'!$A29)+1, FALSE)) - AM$1), ((Assumptions!$B$8)*'Yearly Pension'!AM$1))))</f>
        <v>720</v>
      </c>
      <c r="AN29" s="6">
        <f>(HLOOKUP('Yearly Pension'!AN$2,'Credited Service'!$G$1:$BC$80,$A29+1,FALSE)) * (IF($B29=500, (Assumptions!$B$7)*12, IF((HLOOKUP(AN$2,Earnings!$G$2:$BC$81,('Yearly Pension'!$A29)+1, FALSE)) &gt; AN$1, (Assumptions!$B$8)*(AN$1) + (Assumptions!$B$9)*MAX(0,  (HLOOKUP(AN$2,Earnings!$G$2:$BC$81,('Yearly Pension'!$A29)+1, FALSE)) - AN$1), ((Assumptions!$B$8)*'Yearly Pension'!AN$1))))</f>
        <v>720</v>
      </c>
      <c r="AO29" s="6">
        <f>(HLOOKUP('Yearly Pension'!AO$2,'Credited Service'!$G$1:$BC$80,$A29+1,FALSE)) * (IF($B29=500, (Assumptions!$B$7)*12, IF((HLOOKUP(AO$2,Earnings!$G$2:$BC$81,('Yearly Pension'!$A29)+1, FALSE)) &gt; AO$1, (Assumptions!$B$8)*(AO$1) + (Assumptions!$B$9)*MAX(0,  (HLOOKUP(AO$2,Earnings!$G$2:$BC$81,('Yearly Pension'!$A29)+1, FALSE)) - AO$1), ((Assumptions!$B$8)*'Yearly Pension'!AO$1))))</f>
        <v>720</v>
      </c>
      <c r="AP29" s="6">
        <f>(HLOOKUP('Yearly Pension'!AP$2,'Credited Service'!$G$1:$BC$80,$A29+1,FALSE)) * (IF($B29=500, (Assumptions!$B$7)*12, IF((HLOOKUP(AP$2,Earnings!$G$2:$BC$81,('Yearly Pension'!$A29)+1, FALSE)) &gt; AP$1, (Assumptions!$B$8)*(AP$1) + (Assumptions!$B$9)*MAX(0,  (HLOOKUP(AP$2,Earnings!$G$2:$BC$81,('Yearly Pension'!$A29)+1, FALSE)) - AP$1), ((Assumptions!$B$8)*'Yearly Pension'!AP$1))))</f>
        <v>720</v>
      </c>
      <c r="AQ29" s="6">
        <f>(HLOOKUP('Yearly Pension'!AQ$2,'Credited Service'!$G$1:$BC$80,$A29+1,FALSE)) * (IF($B29=500, (Assumptions!$B$7)*12, IF((HLOOKUP(AQ$2,Earnings!$G$2:$BC$81,('Yearly Pension'!$A29)+1, FALSE)) &gt; AQ$1, (Assumptions!$B$8)*(AQ$1) + (Assumptions!$B$9)*MAX(0,  (HLOOKUP(AQ$2,Earnings!$G$2:$BC$81,('Yearly Pension'!$A29)+1, FALSE)) - AQ$1), ((Assumptions!$B$8)*'Yearly Pension'!AQ$1))))</f>
        <v>720</v>
      </c>
      <c r="AR29" s="6">
        <f>(HLOOKUP('Yearly Pension'!AR$2,'Credited Service'!$G$1:$BC$80,$A29+1,FALSE)) * (IF($B29=500, (Assumptions!$B$7)*12, IF((HLOOKUP(AR$2,Earnings!$G$2:$BC$81,('Yearly Pension'!$A29)+1, FALSE)) &gt; AR$1, (Assumptions!$B$8)*(AR$1) + (Assumptions!$B$9)*MAX(0,  (HLOOKUP(AR$2,Earnings!$G$2:$BC$81,('Yearly Pension'!$A29)+1, FALSE)) - AR$1), ((Assumptions!$B$8)*'Yearly Pension'!AR$1))))</f>
        <v>720</v>
      </c>
      <c r="AS29" s="6">
        <f>(HLOOKUP('Yearly Pension'!AS$2,'Credited Service'!$G$1:$BC$80,$A29+1,FALSE)) * (IF($B29=500, (Assumptions!$B$7)*12, IF((HLOOKUP(AS$2,Earnings!$G$2:$BC$81,('Yearly Pension'!$A29)+1, FALSE)) &gt; AS$1, (Assumptions!$B$8)*(AS$1) + (Assumptions!$B$9)*MAX(0,  (HLOOKUP(AS$2,Earnings!$G$2:$BC$81,('Yearly Pension'!$A29)+1, FALSE)) - AS$1), ((Assumptions!$B$8)*'Yearly Pension'!AS$1))))</f>
        <v>720</v>
      </c>
      <c r="AT29" s="6">
        <f>(HLOOKUP('Yearly Pension'!AT$2,'Credited Service'!$G$1:$BC$80,$A29+1,FALSE)) * (IF($B29=500, (Assumptions!$B$7)*12, IF((HLOOKUP(AT$2,Earnings!$G$2:$BC$81,('Yearly Pension'!$A29)+1, FALSE)) &gt; AT$1, (Assumptions!$B$8)*(AT$1) + (Assumptions!$B$9)*MAX(0,  (HLOOKUP(AT$2,Earnings!$G$2:$BC$81,('Yearly Pension'!$A29)+1, FALSE)) - AT$1), ((Assumptions!$B$8)*'Yearly Pension'!AT$1))))</f>
        <v>720</v>
      </c>
      <c r="AU29" s="6">
        <f>(HLOOKUP('Yearly Pension'!AU$2,'Credited Service'!$G$1:$BC$80,$A29+1,FALSE)) * (IF($B29=500, (Assumptions!$B$7)*12, IF((HLOOKUP(AU$2,Earnings!$G$2:$BC$81,('Yearly Pension'!$A29)+1, FALSE)) &gt; AU$1, (Assumptions!$B$8)*(AU$1) + (Assumptions!$B$9)*MAX(0,  (HLOOKUP(AU$2,Earnings!$G$2:$BC$81,('Yearly Pension'!$A29)+1, FALSE)) - AU$1), ((Assumptions!$B$8)*'Yearly Pension'!AU$1))))</f>
        <v>720</v>
      </c>
      <c r="AV29" s="6">
        <f>(HLOOKUP('Yearly Pension'!AV$2,'Credited Service'!$G$1:$BC$80,$A29+1,FALSE)) * (IF($B29=500, (Assumptions!$B$7)*12, IF((HLOOKUP(AV$2,Earnings!$G$2:$BC$81,('Yearly Pension'!$A29)+1, FALSE)) &gt; AV$1, (Assumptions!$B$8)*(AV$1) + (Assumptions!$B$9)*MAX(0,  (HLOOKUP(AV$2,Earnings!$G$2:$BC$81,('Yearly Pension'!$A29)+1, FALSE)) - AV$1), ((Assumptions!$B$8)*'Yearly Pension'!AV$1))))</f>
        <v>720</v>
      </c>
      <c r="AW29" s="6">
        <f>(HLOOKUP('Yearly Pension'!AW$2,'Credited Service'!$G$1:$BC$80,$A29+1,FALSE)) * (IF($B29=500, (Assumptions!$B$7)*12, IF((HLOOKUP(AW$2,Earnings!$G$2:$BC$81,('Yearly Pension'!$A29)+1, FALSE)) &gt; AW$1, (Assumptions!$B$8)*(AW$1) + (Assumptions!$B$9)*MAX(0,  (HLOOKUP(AW$2,Earnings!$G$2:$BC$81,('Yearly Pension'!$A29)+1, FALSE)) - AW$1), ((Assumptions!$B$8)*'Yearly Pension'!AW$1))))</f>
        <v>720</v>
      </c>
      <c r="AX29" s="6">
        <f>(HLOOKUP('Yearly Pension'!AX$2,'Credited Service'!$G$1:$BC$80,$A29+1,FALSE)) * (IF($B29=500, (Assumptions!$B$7)*12, IF((HLOOKUP(AX$2,Earnings!$G$2:$BC$81,('Yearly Pension'!$A29)+1, FALSE)) &gt; AX$1, (Assumptions!$B$8)*(AX$1) + (Assumptions!$B$9)*MAX(0,  (HLOOKUP(AX$2,Earnings!$G$2:$BC$81,('Yearly Pension'!$A29)+1, FALSE)) - AX$1), ((Assumptions!$B$8)*'Yearly Pension'!AX$1))))</f>
        <v>720</v>
      </c>
      <c r="AY29" s="6">
        <f>(HLOOKUP('Yearly Pension'!AY$2,'Credited Service'!$G$1:$BC$80,$A29+1,FALSE)) * (IF($B29=500, (Assumptions!$B$7)*12, IF((HLOOKUP(AY$2,Earnings!$G$2:$BC$81,('Yearly Pension'!$A29)+1, FALSE)) &gt; AY$1, (Assumptions!$B$8)*(AY$1) + (Assumptions!$B$9)*MAX(0,  (HLOOKUP(AY$2,Earnings!$G$2:$BC$81,('Yearly Pension'!$A29)+1, FALSE)) - AY$1), ((Assumptions!$B$8)*'Yearly Pension'!AY$1))))</f>
        <v>720</v>
      </c>
      <c r="AZ29" s="6">
        <f>(HLOOKUP('Yearly Pension'!AZ$2,'Credited Service'!$G$1:$BC$80,$A29+1,FALSE)) * (IF($B29=500, (Assumptions!$B$7)*12, IF((HLOOKUP(AZ$2,Earnings!$G$2:$BC$81,('Yearly Pension'!$A29)+1, FALSE)) &gt; AZ$1, (Assumptions!$B$8)*(AZ$1) + (Assumptions!$B$9)*MAX(0,  (HLOOKUP(AZ$2,Earnings!$G$2:$BC$81,('Yearly Pension'!$A29)+1, FALSE)) - AZ$1), ((Assumptions!$B$8)*'Yearly Pension'!AZ$1))))</f>
        <v>720</v>
      </c>
      <c r="BA29" s="6">
        <f>(HLOOKUP('Yearly Pension'!BA$2,'Credited Service'!$G$1:$BC$80,$A29+1,FALSE)) * (IF($B29=500, (Assumptions!$B$7)*12, IF((HLOOKUP(BA$2,Earnings!$G$2:$BC$81,('Yearly Pension'!$A29)+1, FALSE)) &gt; BA$1, (Assumptions!$B$8)*(BA$1) + (Assumptions!$B$9)*MAX(0,  (HLOOKUP(BA$2,Earnings!$G$2:$BC$81,('Yearly Pension'!$A29)+1, FALSE)) - BA$1), ((Assumptions!$B$8)*'Yearly Pension'!BA$1))))</f>
        <v>720</v>
      </c>
      <c r="BB29" s="6">
        <f>(HLOOKUP('Yearly Pension'!BB$2,'Credited Service'!$G$1:$BC$80,$A29+1,FALSE)) * (IF($B29=500, (Assumptions!$B$7)*12, IF((HLOOKUP(BB$2,Earnings!$G$2:$BC$81,('Yearly Pension'!$A29)+1, FALSE)) &gt; BB$1, (Assumptions!$B$8)*(BB$1) + (Assumptions!$B$9)*MAX(0,  (HLOOKUP(BB$2,Earnings!$G$2:$BC$81,('Yearly Pension'!$A29)+1, FALSE)) - BB$1), ((Assumptions!$B$8)*'Yearly Pension'!BB$1))))</f>
        <v>720</v>
      </c>
      <c r="BC29" s="6">
        <f>(HLOOKUP('Yearly Pension'!BC$2,'Credited Service'!$G$1:$BC$80,$A29+1,FALSE)) * (IF($B29=500, (Assumptions!$B$7)*12, IF((HLOOKUP(BC$2,Earnings!$G$2:$BC$81,('Yearly Pension'!$A29)+1, FALSE)) &gt; BC$1, (Assumptions!$B$8)*(BC$1) + (Assumptions!$B$9)*MAX(0,  (HLOOKUP(BC$2,Earnings!$G$2:$BC$81,('Yearly Pension'!$A29)+1, FALSE)) - BC$1), ((Assumptions!$B$8)*'Yearly Pension'!BC$1))))</f>
        <v>720</v>
      </c>
    </row>
    <row r="30" spans="1:55" x14ac:dyDescent="0.25">
      <c r="A30" s="204">
        <v>28</v>
      </c>
      <c r="B30" s="1">
        <v>600</v>
      </c>
      <c r="C30" s="1">
        <v>754</v>
      </c>
      <c r="D30" s="3">
        <v>37389</v>
      </c>
      <c r="E30" s="3">
        <v>52994</v>
      </c>
      <c r="G30" s="6">
        <f>(HLOOKUP('Yearly Pension'!G$2,'Credited Service'!$G$1:$BC$80,$A30+1,FALSE)) * (IF($B30=500, (Assumptions!$B$7)*12, IF((HLOOKUP(G$2,Earnings!$G$2:$BC$81,('Yearly Pension'!$A30)+1, FALSE)) &gt; G$1, (Assumptions!$B$8)*(G$1) + (Assumptions!$B$9)*MAX(0,  (HLOOKUP(G$2,Earnings!$G$2:$BC$81,('Yearly Pension'!$A30)+1, FALSE)) - G$1), ((Assumptions!$B$8)*'Yearly Pension'!G$1))))</f>
        <v>0</v>
      </c>
      <c r="H30" s="6">
        <f>(HLOOKUP('Yearly Pension'!H$2,'Credited Service'!$G$1:$BC$80,$A30+1,FALSE)) * (IF($B30=500, (Assumptions!$B$7)*12, IF((HLOOKUP(H$2,Earnings!$G$2:$BC$81,('Yearly Pension'!$A30)+1, FALSE)) &gt; H$1, (Assumptions!$B$8)*(H$1) + (Assumptions!$B$9)*MAX(0,  (HLOOKUP(H$2,Earnings!$G$2:$BC$81,('Yearly Pension'!$A30)+1, FALSE)) - H$1), ((Assumptions!$B$8)*'Yearly Pension'!H$1))))</f>
        <v>0</v>
      </c>
      <c r="I30" s="6">
        <f>(HLOOKUP('Yearly Pension'!I$2,'Credited Service'!$G$1:$BC$80,$A30+1,FALSE)) * (IF($B30=500, (Assumptions!$B$7)*12, IF((HLOOKUP(I$2,Earnings!$G$2:$BC$81,('Yearly Pension'!$A30)+1, FALSE)) &gt; I$1, (Assumptions!$B$8)*(I$1) + (Assumptions!$B$9)*MAX(0,  (HLOOKUP(I$2,Earnings!$G$2:$BC$81,('Yearly Pension'!$A30)+1, FALSE)) - I$1), ((Assumptions!$B$8)*'Yearly Pension'!I$1))))</f>
        <v>0</v>
      </c>
      <c r="J30" s="6">
        <f>(HLOOKUP('Yearly Pension'!J$2,'Credited Service'!$G$1:$BC$80,$A30+1,FALSE)) * (IF($B30=500, (Assumptions!$B$7)*12, IF((HLOOKUP(J$2,Earnings!$G$2:$BC$81,('Yearly Pension'!$A30)+1, FALSE)) &gt; J$1, (Assumptions!$B$8)*(J$1) + (Assumptions!$B$9)*MAX(0,  (HLOOKUP(J$2,Earnings!$G$2:$BC$81,('Yearly Pension'!$A30)+1, FALSE)) - J$1), ((Assumptions!$B$8)*'Yearly Pension'!J$1))))</f>
        <v>0</v>
      </c>
      <c r="K30" s="6">
        <f>(HLOOKUP('Yearly Pension'!K$2,'Credited Service'!$G$1:$BC$80,$A30+1,FALSE)) * (IF($B30=500, (Assumptions!$B$7)*12, IF((HLOOKUP(K$2,Earnings!$G$2:$BC$81,('Yearly Pension'!$A30)+1, FALSE)) &gt; K$1, (Assumptions!$B$8)*(K$1) + (Assumptions!$B$9)*MAX(0,  (HLOOKUP(K$2,Earnings!$G$2:$BC$81,('Yearly Pension'!$A30)+1, FALSE)) - K$1), ((Assumptions!$B$8)*'Yearly Pension'!K$1))))</f>
        <v>0</v>
      </c>
      <c r="L30" s="6">
        <f>(HLOOKUP('Yearly Pension'!L$2,'Credited Service'!$G$1:$BC$80,$A30+1,FALSE)) * (IF($B30=500, (Assumptions!$B$7)*12, IF((HLOOKUP(L$2,Earnings!$G$2:$BC$81,('Yearly Pension'!$A30)+1, FALSE)) &gt; L$1, (Assumptions!$B$8)*(L$1) + (Assumptions!$B$9)*MAX(0,  (HLOOKUP(L$2,Earnings!$G$2:$BC$81,('Yearly Pension'!$A30)+1, FALSE)) - L$1), ((Assumptions!$B$8)*'Yearly Pension'!L$1))))</f>
        <v>0</v>
      </c>
      <c r="M30" s="6">
        <f>(HLOOKUP('Yearly Pension'!M$2,'Credited Service'!$G$1:$BC$80,$A30+1,FALSE)) * (IF($B30=500, (Assumptions!$B$7)*12, IF((HLOOKUP(M$2,Earnings!$G$2:$BC$81,('Yearly Pension'!$A30)+1, FALSE)) &gt; M$1, (Assumptions!$B$8)*(M$1) + (Assumptions!$B$9)*MAX(0,  (HLOOKUP(M$2,Earnings!$G$2:$BC$81,('Yearly Pension'!$A30)+1, FALSE)) - M$1), ((Assumptions!$B$8)*'Yearly Pension'!M$1))))</f>
        <v>0</v>
      </c>
      <c r="N30" s="6">
        <f>(HLOOKUP('Yearly Pension'!N$2,'Credited Service'!$G$1:$BC$80,$A30+1,FALSE)) * (IF($B30=500, (Assumptions!$B$7)*12, IF((HLOOKUP(N$2,Earnings!$G$2:$BC$81,('Yearly Pension'!$A30)+1, FALSE)) &gt; N$1, (Assumptions!$B$8)*(N$1) + (Assumptions!$B$9)*MAX(0,  (HLOOKUP(N$2,Earnings!$G$2:$BC$81,('Yearly Pension'!$A30)+1, FALSE)) - N$1), ((Assumptions!$B$8)*'Yearly Pension'!N$1))))</f>
        <v>0</v>
      </c>
      <c r="O30" s="6">
        <f>(HLOOKUP('Yearly Pension'!O$2,'Credited Service'!$G$1:$BC$80,$A30+1,FALSE)) * (IF($B30=500, (Assumptions!$B$7)*12, IF((HLOOKUP(O$2,Earnings!$G$2:$BC$81,('Yearly Pension'!$A30)+1, FALSE)) &gt; O$1, (Assumptions!$B$8)*(O$1) + (Assumptions!$B$9)*MAX(0,  (HLOOKUP(O$2,Earnings!$G$2:$BC$81,('Yearly Pension'!$A30)+1, FALSE)) - O$1), ((Assumptions!$B$8)*'Yearly Pension'!O$1))))</f>
        <v>0</v>
      </c>
      <c r="P30" s="6">
        <f>(HLOOKUP('Yearly Pension'!P$2,'Credited Service'!$G$1:$BC$80,$A30+1,FALSE)) * (IF($B30=500, (Assumptions!$B$7)*12, IF((HLOOKUP(P$2,Earnings!$G$2:$BC$81,('Yearly Pension'!$A30)+1, FALSE)) &gt; P$1, (Assumptions!$B$8)*(P$1) + (Assumptions!$B$9)*MAX(0,  (HLOOKUP(P$2,Earnings!$G$2:$BC$81,('Yearly Pension'!$A30)+1, FALSE)) - P$1), ((Assumptions!$B$8)*'Yearly Pension'!P$1))))</f>
        <v>0</v>
      </c>
      <c r="Q30" s="6">
        <f>(HLOOKUP('Yearly Pension'!Q$2,'Credited Service'!$G$1:$BC$80,$A30+1,FALSE)) * (IF($B30=500, (Assumptions!$B$7)*12, IF((HLOOKUP(Q$2,Earnings!$G$2:$BC$81,('Yearly Pension'!$A30)+1, FALSE)) &gt; Q$1, (Assumptions!$B$8)*(Q$1) + (Assumptions!$B$9)*MAX(0,  (HLOOKUP(Q$2,Earnings!$G$2:$BC$81,('Yearly Pension'!$A30)+1, FALSE)) - Q$1), ((Assumptions!$B$8)*'Yearly Pension'!Q$1))))</f>
        <v>0</v>
      </c>
      <c r="R30" s="6">
        <f>(HLOOKUP('Yearly Pension'!R$2,'Credited Service'!$G$1:$BC$80,$A30+1,FALSE)) * (IF($B30=500, (Assumptions!$B$7)*12, IF((HLOOKUP(R$2,Earnings!$G$2:$BC$81,('Yearly Pension'!$A30)+1, FALSE)) &gt; R$1, (Assumptions!$B$8)*(R$1) + (Assumptions!$B$9)*MAX(0,  (HLOOKUP(R$2,Earnings!$G$2:$BC$81,('Yearly Pension'!$A30)+1, FALSE)) - R$1), ((Assumptions!$B$8)*'Yearly Pension'!R$1))))</f>
        <v>0</v>
      </c>
      <c r="S30" s="6">
        <f>(HLOOKUP('Yearly Pension'!S$2,'Credited Service'!$G$1:$BC$80,$A30+1,FALSE)) * (IF($B30=500, (Assumptions!$B$7)*12, IF((HLOOKUP(S$2,Earnings!$G$2:$BC$81,('Yearly Pension'!$A30)+1, FALSE)) &gt; S$1, (Assumptions!$B$8)*(S$1) + (Assumptions!$B$9)*MAX(0,  (HLOOKUP(S$2,Earnings!$G$2:$BC$81,('Yearly Pension'!$A30)+1, FALSE)) - S$1), ((Assumptions!$B$8)*'Yearly Pension'!S$1))))</f>
        <v>0</v>
      </c>
      <c r="T30" s="6">
        <f>(HLOOKUP('Yearly Pension'!T$2,'Credited Service'!$G$1:$BC$80,$A30+1,FALSE)) * (IF($B30=500, (Assumptions!$B$7)*12, IF((HLOOKUP(T$2,Earnings!$G$2:$BC$81,('Yearly Pension'!$A30)+1, FALSE)) &gt; T$1, (Assumptions!$B$8)*(T$1) + (Assumptions!$B$9)*MAX(0,  (HLOOKUP(T$2,Earnings!$G$2:$BC$81,('Yearly Pension'!$A30)+1, FALSE)) - T$1), ((Assumptions!$B$8)*'Yearly Pension'!T$1))))</f>
        <v>0</v>
      </c>
      <c r="U30" s="6">
        <f>(HLOOKUP('Yearly Pension'!U$2,'Credited Service'!$G$1:$BC$80,$A30+1,FALSE)) * (IF($B30=500, (Assumptions!$B$7)*12, IF((HLOOKUP(U$2,Earnings!$G$2:$BC$81,('Yearly Pension'!$A30)+1, FALSE)) &gt; U$1, (Assumptions!$B$8)*(U$1) + (Assumptions!$B$9)*MAX(0,  (HLOOKUP(U$2,Earnings!$G$2:$BC$81,('Yearly Pension'!$A30)+1, FALSE)) - U$1), ((Assumptions!$B$8)*'Yearly Pension'!U$1))))</f>
        <v>0</v>
      </c>
      <c r="V30" s="6">
        <f>(HLOOKUP('Yearly Pension'!V$2,'Credited Service'!$G$1:$BC$80,$A30+1,FALSE)) * (IF($B30=500, (Assumptions!$B$7)*12, IF((HLOOKUP(V$2,Earnings!$G$2:$BC$81,('Yearly Pension'!$A30)+1, FALSE)) &gt; V$1, (Assumptions!$B$8)*(V$1) + (Assumptions!$B$9)*MAX(0,  (HLOOKUP(V$2,Earnings!$G$2:$BC$81,('Yearly Pension'!$A30)+1, FALSE)) - V$1), ((Assumptions!$B$8)*'Yearly Pension'!V$1))))</f>
        <v>0</v>
      </c>
      <c r="W30" s="6">
        <f>(HLOOKUP('Yearly Pension'!W$2,'Credited Service'!$G$1:$BC$80,$A30+1,FALSE)) * (IF($B30=500, (Assumptions!$B$7)*12, IF((HLOOKUP(W$2,Earnings!$G$2:$BC$81,('Yearly Pension'!$A30)+1, FALSE)) &gt; W$1, (Assumptions!$B$8)*(W$1) + (Assumptions!$B$9)*MAX(0,  (HLOOKUP(W$2,Earnings!$G$2:$BC$81,('Yearly Pension'!$A30)+1, FALSE)) - W$1), ((Assumptions!$B$8)*'Yearly Pension'!W$1))))</f>
        <v>0</v>
      </c>
      <c r="X30" s="6">
        <f>(HLOOKUP('Yearly Pension'!X$2,'Credited Service'!$G$1:$BC$80,$A30+1,FALSE)) * (IF($B30=500, (Assumptions!$B$7)*12, IF((HLOOKUP(X$2,Earnings!$G$2:$BC$81,('Yearly Pension'!$A30)+1, FALSE)) &gt; X$1, (Assumptions!$B$8)*(X$1) + (Assumptions!$B$9)*MAX(0,  (HLOOKUP(X$2,Earnings!$G$2:$BC$81,('Yearly Pension'!$A30)+1, FALSE)) - X$1), ((Assumptions!$B$8)*'Yearly Pension'!X$1))))</f>
        <v>0</v>
      </c>
      <c r="Y30" s="6">
        <f>(HLOOKUP('Yearly Pension'!Y$2,'Credited Service'!$G$1:$BC$80,$A30+1,FALSE)) * (IF($B30=500, (Assumptions!$B$7)*12, IF((HLOOKUP(Y$2,Earnings!$G$2:$BC$81,('Yearly Pension'!$A30)+1, FALSE)) &gt; Y$1, (Assumptions!$B$8)*(Y$1) + (Assumptions!$B$9)*MAX(0,  (HLOOKUP(Y$2,Earnings!$G$2:$BC$81,('Yearly Pension'!$A30)+1, FALSE)) - Y$1), ((Assumptions!$B$8)*'Yearly Pension'!Y$1))))</f>
        <v>0</v>
      </c>
      <c r="Z30" s="6">
        <f>(HLOOKUP('Yearly Pension'!Z$2,'Credited Service'!$G$1:$BC$80,$A30+1,FALSE)) * (IF($B30=500, (Assumptions!$B$7)*12, IF((HLOOKUP(Z$2,Earnings!$G$2:$BC$81,('Yearly Pension'!$A30)+1, FALSE)) &gt; Z$1, (Assumptions!$B$8)*(Z$1) + (Assumptions!$B$9)*MAX(0,  (HLOOKUP(Z$2,Earnings!$G$2:$BC$81,('Yearly Pension'!$A30)+1, FALSE)) - Z$1), ((Assumptions!$B$8)*'Yearly Pension'!Z$1))))</f>
        <v>0</v>
      </c>
      <c r="AA30" s="6">
        <f>(HLOOKUP('Yearly Pension'!AA$2,'Credited Service'!$G$1:$BC$80,$A30+1,FALSE)) * (IF($B30=500, (Assumptions!$B$7)*12, IF((HLOOKUP(AA$2,Earnings!$G$2:$BC$81,('Yearly Pension'!$A30)+1, FALSE)) &gt; AA$1, (Assumptions!$B$8)*(AA$1) + (Assumptions!$B$9)*MAX(0,  (HLOOKUP(AA$2,Earnings!$G$2:$BC$81,('Yearly Pension'!$A30)+1, FALSE)) - AA$1), ((Assumptions!$B$8)*'Yearly Pension'!AA$1))))</f>
        <v>0</v>
      </c>
      <c r="AB30" s="6">
        <f>(HLOOKUP('Yearly Pension'!AB$2,'Credited Service'!$G$1:$BC$80,$A30+1,FALSE)) * (IF($B30=500, (Assumptions!$B$7)*12, IF((HLOOKUP(AB$2,Earnings!$G$2:$BC$81,('Yearly Pension'!$A30)+1, FALSE)) &gt; AB$1, (Assumptions!$B$8)*(AB$1) + (Assumptions!$B$9)*MAX(0,  (HLOOKUP(AB$2,Earnings!$G$2:$BC$81,('Yearly Pension'!$A30)+1, FALSE)) - AB$1), ((Assumptions!$B$8)*'Yearly Pension'!AB$1))))</f>
        <v>0</v>
      </c>
      <c r="AC30" s="6">
        <f>(HLOOKUP('Yearly Pension'!AC$2,'Credited Service'!$G$1:$BC$80,$A30+1,FALSE)) * (IF($B30=500, (Assumptions!$B$7)*12, IF((HLOOKUP(AC$2,Earnings!$G$2:$BC$81,('Yearly Pension'!$A30)+1, FALSE)) &gt; AC$1, (Assumptions!$B$8)*(AC$1) + (Assumptions!$B$9)*MAX(0,  (HLOOKUP(AC$2,Earnings!$G$2:$BC$81,('Yearly Pension'!$A30)+1, FALSE)) - AC$1), ((Assumptions!$B$8)*'Yearly Pension'!AC$1))))</f>
        <v>0</v>
      </c>
      <c r="AD30" s="6">
        <f>(HLOOKUP('Yearly Pension'!AD$2,'Credited Service'!$G$1:$BC$80,$A30+1,FALSE)) * (IF($B30=500, (Assumptions!$B$7)*12, IF((HLOOKUP(AD$2,Earnings!$G$2:$BC$81,('Yearly Pension'!$A30)+1, FALSE)) &gt; AD$1, (Assumptions!$B$8)*(AD$1) + (Assumptions!$B$9)*MAX(0,  (HLOOKUP(AD$2,Earnings!$G$2:$BC$81,('Yearly Pension'!$A30)+1, FALSE)) - AD$1), ((Assumptions!$B$8)*'Yearly Pension'!AD$1))))</f>
        <v>0</v>
      </c>
      <c r="AE30" s="6">
        <f>(HLOOKUP('Yearly Pension'!AE$2,'Credited Service'!$G$1:$BC$80,$A30+1,FALSE)) * (IF($B30=500, (Assumptions!$B$7)*12, IF((HLOOKUP(AE$2,Earnings!$G$2:$BC$81,('Yearly Pension'!$A30)+1, FALSE)) &gt; AE$1, (Assumptions!$B$8)*(AE$1) + (Assumptions!$B$9)*MAX(0,  (HLOOKUP(AE$2,Earnings!$G$2:$BC$81,('Yearly Pension'!$A30)+1, FALSE)) - AE$1), ((Assumptions!$B$8)*'Yearly Pension'!AE$1))))</f>
        <v>0</v>
      </c>
      <c r="AF30" s="6">
        <f>(HLOOKUP('Yearly Pension'!AF$2,'Credited Service'!$G$1:$BC$80,$A30+1,FALSE)) * (IF($B30=500, (Assumptions!$B$7)*12, IF((HLOOKUP(AF$2,Earnings!$G$2:$BC$81,('Yearly Pension'!$A30)+1, FALSE)) &gt; AF$1, (Assumptions!$B$8)*(AF$1) + (Assumptions!$B$9)*MAX(0,  (HLOOKUP(AF$2,Earnings!$G$2:$BC$81,('Yearly Pension'!$A30)+1, FALSE)) - AF$1), ((Assumptions!$B$8)*'Yearly Pension'!AF$1))))</f>
        <v>369.35664593349031</v>
      </c>
      <c r="AG30" s="6">
        <f>(HLOOKUP('Yearly Pension'!AG$2,'Credited Service'!$G$1:$BC$80,$A30+1,FALSE)) * (IF($B30=500, (Assumptions!$B$7)*12, IF((HLOOKUP(AG$2,Earnings!$G$2:$BC$81,('Yearly Pension'!$A30)+1, FALSE)) &gt; AG$1, (Assumptions!$B$8)*(AG$1) + (Assumptions!$B$9)*MAX(0,  (HLOOKUP(AG$2,Earnings!$G$2:$BC$81,('Yearly Pension'!$A30)+1, FALSE)) - AG$1), ((Assumptions!$B$8)*'Yearly Pension'!AG$1))))</f>
        <v>663.39973446427985</v>
      </c>
      <c r="AH30" s="6">
        <f>(HLOOKUP('Yearly Pension'!AH$2,'Credited Service'!$G$1:$BC$80,$A30+1,FALSE)) * (IF($B30=500, (Assumptions!$B$7)*12, IF((HLOOKUP(AH$2,Earnings!$G$2:$BC$81,('Yearly Pension'!$A30)+1, FALSE)) &gt; AH$1, (Assumptions!$B$8)*(AH$1) + (Assumptions!$B$9)*MAX(0,  (HLOOKUP(AH$2,Earnings!$G$2:$BC$81,('Yearly Pension'!$A30)+1, FALSE)) - AH$1), ((Assumptions!$B$8)*'Yearly Pension'!AH$1))))</f>
        <v>696.31012384285111</v>
      </c>
      <c r="AI30" s="6">
        <f>(HLOOKUP('Yearly Pension'!AI$2,'Credited Service'!$G$1:$BC$80,$A30+1,FALSE)) * (IF($B30=500, (Assumptions!$B$7)*12, IF((HLOOKUP(AI$2,Earnings!$G$2:$BC$81,('Yearly Pension'!$A30)+1, FALSE)) &gt; AI$1, (Assumptions!$B$8)*(AI$1) + (Assumptions!$B$9)*MAX(0,  (HLOOKUP(AI$2,Earnings!$G$2:$BC$81,('Yearly Pension'!$A30)+1, FALSE)) - AI$1), ((Assumptions!$B$8)*'Yearly Pension'!AI$1))))</f>
        <v>730.6905287965651</v>
      </c>
      <c r="AJ30" s="6">
        <f>(HLOOKUP('Yearly Pension'!AJ$2,'Credited Service'!$G$1:$BC$80,$A30+1,FALSE)) * (IF($B30=500, (Assumptions!$B$7)*12, IF((HLOOKUP(AJ$2,Earnings!$G$2:$BC$81,('Yearly Pension'!$A30)+1, FALSE)) &gt; AJ$1, (Assumptions!$B$8)*(AJ$1) + (Assumptions!$B$9)*MAX(0,  (HLOOKUP(AJ$2,Earnings!$G$2:$BC$81,('Yearly Pension'!$A30)+1, FALSE)) - AJ$1), ((Assumptions!$B$8)*'Yearly Pension'!AJ$1))))</f>
        <v>764.0397499484277</v>
      </c>
      <c r="AK30" s="6">
        <f>(HLOOKUP('Yearly Pension'!AK$2,'Credited Service'!$G$1:$BC$80,$A30+1,FALSE)) * (IF($B30=500, (Assumptions!$B$7)*12, IF((HLOOKUP(AK$2,Earnings!$G$2:$BC$81,('Yearly Pension'!$A30)+1, FALSE)) &gt; AK$1, (Assumptions!$B$8)*(AK$1) + (Assumptions!$B$9)*MAX(0,  (HLOOKUP(AK$2,Earnings!$G$2:$BC$81,('Yearly Pension'!$A30)+1, FALSE)) - AK$1), ((Assumptions!$B$8)*'Yearly Pension'!AK$1))))</f>
        <v>795.13893994636487</v>
      </c>
      <c r="AL30" s="6">
        <f>(HLOOKUP('Yearly Pension'!AL$2,'Credited Service'!$G$1:$BC$80,$A30+1,FALSE)) * (IF($B30=500, (Assumptions!$B$7)*12, IF((HLOOKUP(AL$2,Earnings!$G$2:$BC$81,('Yearly Pension'!$A30)+1, FALSE)) &gt; AL$1, (Assumptions!$B$8)*(AL$1) + (Assumptions!$B$9)*MAX(0,  (HLOOKUP(AL$2,Earnings!$G$2:$BC$81,('Yearly Pension'!$A30)+1, FALSE)) - AL$1), ((Assumptions!$B$8)*'Yearly Pension'!AL$1))))</f>
        <v>830.45169754421966</v>
      </c>
      <c r="AM30" s="6">
        <f>(HLOOKUP('Yearly Pension'!AM$2,'Credited Service'!$G$1:$BC$80,$A30+1,FALSE)) * (IF($B30=500, (Assumptions!$B$7)*12, IF((HLOOKUP(AM$2,Earnings!$G$2:$BC$81,('Yearly Pension'!$A30)+1, FALSE)) &gt; AM$1, (Assumptions!$B$8)*(AM$1) + (Assumptions!$B$9)*MAX(0,  (HLOOKUP(AM$2,Earnings!$G$2:$BC$81,('Yearly Pension'!$A30)+1, FALSE)) - AM$1), ((Assumptions!$B$8)*'Yearly Pension'!AM$1))))</f>
        <v>866.20416544598845</v>
      </c>
      <c r="AN30" s="6">
        <f>(HLOOKUP('Yearly Pension'!AN$2,'Credited Service'!$G$1:$BC$80,$A30+1,FALSE)) * (IF($B30=500, (Assumptions!$B$7)*12, IF((HLOOKUP(AN$2,Earnings!$G$2:$BC$81,('Yearly Pension'!$A30)+1, FALSE)) &gt; AN$1, (Assumptions!$B$8)*(AN$1) + (Assumptions!$B$9)*MAX(0,  (HLOOKUP(AN$2,Earnings!$G$2:$BC$81,('Yearly Pension'!$A30)+1, FALSE)) - AN$1), ((Assumptions!$B$8)*'Yearly Pension'!AN$1))))</f>
        <v>906.94513206382794</v>
      </c>
      <c r="AO30" s="6">
        <f>(HLOOKUP('Yearly Pension'!AO$2,'Credited Service'!$G$1:$BC$80,$A30+1,FALSE)) * (IF($B30=500, (Assumptions!$B$7)*12, IF((HLOOKUP(AO$2,Earnings!$G$2:$BC$81,('Yearly Pension'!$A30)+1, FALSE)) &gt; AO$1, (Assumptions!$B$8)*(AO$1) + (Assumptions!$B$9)*MAX(0,  (HLOOKUP(AO$2,Earnings!$G$2:$BC$81,('Yearly Pension'!$A30)+1, FALSE)) - AO$1), ((Assumptions!$B$8)*'Yearly Pension'!AO$1))))</f>
        <v>948.26613734638136</v>
      </c>
      <c r="AP30" s="6">
        <f>(HLOOKUP('Yearly Pension'!AP$2,'Credited Service'!$G$1:$BC$80,$A30+1,FALSE)) * (IF($B30=500, (Assumptions!$B$7)*12, IF((HLOOKUP(AP$2,Earnings!$G$2:$BC$81,('Yearly Pension'!$A30)+1, FALSE)) &gt; AP$1, (Assumptions!$B$8)*(AP$1) + (Assumptions!$B$9)*MAX(0,  (HLOOKUP(AP$2,Earnings!$G$2:$BC$81,('Yearly Pension'!$A30)+1, FALSE)) - AP$1), ((Assumptions!$B$8)*'Yearly Pension'!AP$1))))</f>
        <v>987.04158284023652</v>
      </c>
      <c r="AQ30" s="6">
        <f>(HLOOKUP('Yearly Pension'!AQ$2,'Credited Service'!$G$1:$BC$80,$A30+1,FALSE)) * (IF($B30=500, (Assumptions!$B$7)*12, IF((HLOOKUP(AQ$2,Earnings!$G$2:$BC$81,('Yearly Pension'!$A30)+1, FALSE)) &gt; AQ$1, (Assumptions!$B$8)*(AQ$1) + (Assumptions!$B$9)*MAX(0,  (HLOOKUP(AQ$2,Earnings!$G$2:$BC$81,('Yearly Pension'!$A30)+1, FALSE)) - AQ$1), ((Assumptions!$B$8)*'Yearly Pension'!AQ$1))))</f>
        <v>1032.9488461538458</v>
      </c>
      <c r="AR30" s="6">
        <f>(HLOOKUP('Yearly Pension'!AR$2,'Credited Service'!$G$1:$BC$80,$A30+1,FALSE)) * (IF($B30=500, (Assumptions!$B$7)*12, IF((HLOOKUP(AR$2,Earnings!$G$2:$BC$81,('Yearly Pension'!$A30)+1, FALSE)) &gt; AR$1, (Assumptions!$B$8)*(AR$1) + (Assumptions!$B$9)*MAX(0,  (HLOOKUP(AR$2,Earnings!$G$2:$BC$81,('Yearly Pension'!$A30)+1, FALSE)) - AR$1), ((Assumptions!$B$8)*'Yearly Pension'!AR$1))))</f>
        <v>1078.3884</v>
      </c>
      <c r="AS30" s="6">
        <f>(HLOOKUP('Yearly Pension'!AS$2,'Credited Service'!$G$1:$BC$80,$A30+1,FALSE)) * (IF($B30=500, (Assumptions!$B$7)*12, IF((HLOOKUP(AS$2,Earnings!$G$2:$BC$81,('Yearly Pension'!$A30)+1, FALSE)) &gt; AS$1, (Assumptions!$B$8)*(AS$1) + (Assumptions!$B$9)*MAX(0,  (HLOOKUP(AS$2,Earnings!$G$2:$BC$81,('Yearly Pension'!$A30)+1, FALSE)) - AS$1), ((Assumptions!$B$8)*'Yearly Pension'!AS$1))))</f>
        <v>1113.7800520000001</v>
      </c>
      <c r="AT30" s="6">
        <f>(HLOOKUP('Yearly Pension'!AT$2,'Credited Service'!$G$1:$BC$80,$A30+1,FALSE)) * (IF($B30=500, (Assumptions!$B$7)*12, IF((HLOOKUP(AT$2,Earnings!$G$2:$BC$81,('Yearly Pension'!$A30)+1, FALSE)) &gt; AT$1, (Assumptions!$B$8)*(AT$1) + (Assumptions!$B$9)*MAX(0,  (HLOOKUP(AT$2,Earnings!$G$2:$BC$81,('Yearly Pension'!$A30)+1, FALSE)) - AT$1), ((Assumptions!$B$8)*'Yearly Pension'!AT$1))))</f>
        <v>1149.1646535600003</v>
      </c>
      <c r="AU30" s="6">
        <f>(HLOOKUP('Yearly Pension'!AU$2,'Credited Service'!$G$1:$BC$80,$A30+1,FALSE)) * (IF($B30=500, (Assumptions!$B$7)*12, IF((HLOOKUP(AU$2,Earnings!$G$2:$BC$81,('Yearly Pension'!$A30)+1, FALSE)) &gt; AU$1, (Assumptions!$B$8)*(AU$1) + (Assumptions!$B$9)*MAX(0,  (HLOOKUP(AU$2,Earnings!$G$2:$BC$81,('Yearly Pension'!$A30)+1, FALSE)) - AU$1), ((Assumptions!$B$8)*'Yearly Pension'!AU$1))))</f>
        <v>1191.6203931668001</v>
      </c>
      <c r="AV30" s="6">
        <f>(HLOOKUP('Yearly Pension'!AV$2,'Credited Service'!$G$1:$BC$80,$A30+1,FALSE)) * (IF($B30=500, (Assumptions!$B$7)*12, IF((HLOOKUP(AV$2,Earnings!$G$2:$BC$81,('Yearly Pension'!$A30)+1, FALSE)) &gt; AV$1, (Assumptions!$B$8)*(AV$1) + (Assumptions!$B$9)*MAX(0,  (HLOOKUP(AV$2,Earnings!$G$2:$BC$81,('Yearly Pension'!$A30)+1, FALSE)) - AV$1), ((Assumptions!$B$8)*'Yearly Pension'!AV$1))))</f>
        <v>1234.1466049618041</v>
      </c>
      <c r="AW30" s="6">
        <f>(HLOOKUP('Yearly Pension'!AW$2,'Credited Service'!$G$1:$BC$80,$A30+1,FALSE)) * (IF($B30=500, (Assumptions!$B$7)*12, IF((HLOOKUP(AW$2,Earnings!$G$2:$BC$81,('Yearly Pension'!$A30)+1, FALSE)) &gt; AW$1, (Assumptions!$B$8)*(AW$1) + (Assumptions!$B$9)*MAX(0,  (HLOOKUP(AW$2,Earnings!$G$2:$BC$81,('Yearly Pension'!$A30)+1, FALSE)) - AW$1), ((Assumptions!$B$8)*'Yearly Pension'!AW$1))))</f>
        <v>1272.3038031106582</v>
      </c>
      <c r="AX30" s="6">
        <f>(HLOOKUP('Yearly Pension'!AX$2,'Credited Service'!$G$1:$BC$80,$A30+1,FALSE)) * (IF($B30=500, (Assumptions!$B$7)*12, IF((HLOOKUP(AX$2,Earnings!$G$2:$BC$81,('Yearly Pension'!$A30)+1, FALSE)) &gt; AX$1, (Assumptions!$B$8)*(AX$1) + (Assumptions!$B$9)*MAX(0,  (HLOOKUP(AX$2,Earnings!$G$2:$BC$81,('Yearly Pension'!$A30)+1, FALSE)) - AX$1), ((Assumptions!$B$8)*'Yearly Pension'!AX$1))))</f>
        <v>1306.7993172039778</v>
      </c>
      <c r="AY30" s="6">
        <f>(HLOOKUP('Yearly Pension'!AY$2,'Credited Service'!$G$1:$BC$80,$A30+1,FALSE)) * (IF($B30=500, (Assumptions!$B$7)*12, IF((HLOOKUP(AY$2,Earnings!$G$2:$BC$81,('Yearly Pension'!$A30)+1, FALSE)) &gt; AY$1, (Assumptions!$B$8)*(AY$1) + (Assumptions!$B$9)*MAX(0,  (HLOOKUP(AY$2,Earnings!$G$2:$BC$81,('Yearly Pension'!$A30)+1, FALSE)) - AY$1), ((Assumptions!$B$8)*'Yearly Pension'!AY$1))))</f>
        <v>1342.1827527200971</v>
      </c>
      <c r="AZ30" s="6">
        <f>(HLOOKUP('Yearly Pension'!AZ$2,'Credited Service'!$G$1:$BC$80,$A30+1,FALSE)) * (IF($B30=500, (Assumptions!$B$7)*12, IF((HLOOKUP(AZ$2,Earnings!$G$2:$BC$81,('Yearly Pension'!$A30)+1, FALSE)) &gt; AZ$1, (Assumptions!$B$8)*(AZ$1) + (Assumptions!$B$9)*MAX(0,  (HLOOKUP(AZ$2,Earnings!$G$2:$BC$81,('Yearly Pension'!$A30)+1, FALSE)) - AZ$1), ((Assumptions!$B$8)*'Yearly Pension'!AZ$1))))</f>
        <v>1378.4748695417002</v>
      </c>
      <c r="BA30" s="6">
        <f>(HLOOKUP('Yearly Pension'!BA$2,'Credited Service'!$G$1:$BC$80,$A30+1,FALSE)) * (IF($B30=500, (Assumptions!$B$7)*12, IF((HLOOKUP(BA$2,Earnings!$G$2:$BC$81,('Yearly Pension'!$A30)+1, FALSE)) &gt; BA$1, (Assumptions!$B$8)*(BA$1) + (Assumptions!$B$9)*MAX(0,  (HLOOKUP(BA$2,Earnings!$G$2:$BC$81,('Yearly Pension'!$A30)+1, FALSE)) - BA$1), ((Assumptions!$B$8)*'Yearly Pension'!BA$1))))</f>
        <v>1415.6968152375512</v>
      </c>
      <c r="BB30" s="6">
        <f>(HLOOKUP('Yearly Pension'!BB$2,'Credited Service'!$G$1:$BC$80,$A30+1,FALSE)) * (IF($B30=500, (Assumptions!$B$7)*12, IF((HLOOKUP(BB$2,Earnings!$G$2:$BC$81,('Yearly Pension'!$A30)+1, FALSE)) &gt; BB$1, (Assumptions!$B$8)*(BB$1) + (Assumptions!$B$9)*MAX(0,  (HLOOKUP(BB$2,Earnings!$G$2:$BC$81,('Yearly Pension'!$A30)+1, FALSE)) - BB$1), ((Assumptions!$B$8)*'Yearly Pension'!BB$1))))</f>
        <v>1453.8701272886617</v>
      </c>
      <c r="BC30" s="6">
        <f>(HLOOKUP('Yearly Pension'!BC$2,'Credited Service'!$G$1:$BC$80,$A30+1,FALSE)) * (IF($B30=500, (Assumptions!$B$7)*12, IF((HLOOKUP(BC$2,Earnings!$G$2:$BC$81,('Yearly Pension'!$A30)+1, FALSE)) &gt; BC$1, (Assumptions!$B$8)*(BC$1) + (Assumptions!$B$9)*MAX(0,  (HLOOKUP(BC$2,Earnings!$G$2:$BC$81,('Yearly Pension'!$A30)+1, FALSE)) - BC$1), ((Assumptions!$B$8)*'Yearly Pension'!BC$1))))</f>
        <v>1493.0167350050649</v>
      </c>
    </row>
    <row r="31" spans="1:55" x14ac:dyDescent="0.25">
      <c r="A31" s="204">
        <v>29</v>
      </c>
      <c r="B31" s="1">
        <v>600</v>
      </c>
      <c r="C31" s="1">
        <v>753</v>
      </c>
      <c r="D31" s="3">
        <v>37662</v>
      </c>
      <c r="E31" s="3">
        <v>48396</v>
      </c>
      <c r="G31" s="6">
        <f>(HLOOKUP('Yearly Pension'!G$2,'Credited Service'!$G$1:$BC$80,$A31+1,FALSE)) * (IF($B31=500, (Assumptions!$B$7)*12, IF((HLOOKUP(G$2,Earnings!$G$2:$BC$81,('Yearly Pension'!$A31)+1, FALSE)) &gt; G$1, (Assumptions!$B$8)*(G$1) + (Assumptions!$B$9)*MAX(0,  (HLOOKUP(G$2,Earnings!$G$2:$BC$81,('Yearly Pension'!$A31)+1, FALSE)) - G$1), ((Assumptions!$B$8)*'Yearly Pension'!G$1))))</f>
        <v>0</v>
      </c>
      <c r="H31" s="6">
        <f>(HLOOKUP('Yearly Pension'!H$2,'Credited Service'!$G$1:$BC$80,$A31+1,FALSE)) * (IF($B31=500, (Assumptions!$B$7)*12, IF((HLOOKUP(H$2,Earnings!$G$2:$BC$81,('Yearly Pension'!$A31)+1, FALSE)) &gt; H$1, (Assumptions!$B$8)*(H$1) + (Assumptions!$B$9)*MAX(0,  (HLOOKUP(H$2,Earnings!$G$2:$BC$81,('Yearly Pension'!$A31)+1, FALSE)) - H$1), ((Assumptions!$B$8)*'Yearly Pension'!H$1))))</f>
        <v>0</v>
      </c>
      <c r="I31" s="6">
        <f>(HLOOKUP('Yearly Pension'!I$2,'Credited Service'!$G$1:$BC$80,$A31+1,FALSE)) * (IF($B31=500, (Assumptions!$B$7)*12, IF((HLOOKUP(I$2,Earnings!$G$2:$BC$81,('Yearly Pension'!$A31)+1, FALSE)) &gt; I$1, (Assumptions!$B$8)*(I$1) + (Assumptions!$B$9)*MAX(0,  (HLOOKUP(I$2,Earnings!$G$2:$BC$81,('Yearly Pension'!$A31)+1, FALSE)) - I$1), ((Assumptions!$B$8)*'Yearly Pension'!I$1))))</f>
        <v>0</v>
      </c>
      <c r="J31" s="6">
        <f>(HLOOKUP('Yearly Pension'!J$2,'Credited Service'!$G$1:$BC$80,$A31+1,FALSE)) * (IF($B31=500, (Assumptions!$B$7)*12, IF((HLOOKUP(J$2,Earnings!$G$2:$BC$81,('Yearly Pension'!$A31)+1, FALSE)) &gt; J$1, (Assumptions!$B$8)*(J$1) + (Assumptions!$B$9)*MAX(0,  (HLOOKUP(J$2,Earnings!$G$2:$BC$81,('Yearly Pension'!$A31)+1, FALSE)) - J$1), ((Assumptions!$B$8)*'Yearly Pension'!J$1))))</f>
        <v>0</v>
      </c>
      <c r="K31" s="6">
        <f>(HLOOKUP('Yearly Pension'!K$2,'Credited Service'!$G$1:$BC$80,$A31+1,FALSE)) * (IF($B31=500, (Assumptions!$B$7)*12, IF((HLOOKUP(K$2,Earnings!$G$2:$BC$81,('Yearly Pension'!$A31)+1, FALSE)) &gt; K$1, (Assumptions!$B$8)*(K$1) + (Assumptions!$B$9)*MAX(0,  (HLOOKUP(K$2,Earnings!$G$2:$BC$81,('Yearly Pension'!$A31)+1, FALSE)) - K$1), ((Assumptions!$B$8)*'Yearly Pension'!K$1))))</f>
        <v>0</v>
      </c>
      <c r="L31" s="6">
        <f>(HLOOKUP('Yearly Pension'!L$2,'Credited Service'!$G$1:$BC$80,$A31+1,FALSE)) * (IF($B31=500, (Assumptions!$B$7)*12, IF((HLOOKUP(L$2,Earnings!$G$2:$BC$81,('Yearly Pension'!$A31)+1, FALSE)) &gt; L$1, (Assumptions!$B$8)*(L$1) + (Assumptions!$B$9)*MAX(0,  (HLOOKUP(L$2,Earnings!$G$2:$BC$81,('Yearly Pension'!$A31)+1, FALSE)) - L$1), ((Assumptions!$B$8)*'Yearly Pension'!L$1))))</f>
        <v>0</v>
      </c>
      <c r="M31" s="6">
        <f>(HLOOKUP('Yearly Pension'!M$2,'Credited Service'!$G$1:$BC$80,$A31+1,FALSE)) * (IF($B31=500, (Assumptions!$B$7)*12, IF((HLOOKUP(M$2,Earnings!$G$2:$BC$81,('Yearly Pension'!$A31)+1, FALSE)) &gt; M$1, (Assumptions!$B$8)*(M$1) + (Assumptions!$B$9)*MAX(0,  (HLOOKUP(M$2,Earnings!$G$2:$BC$81,('Yearly Pension'!$A31)+1, FALSE)) - M$1), ((Assumptions!$B$8)*'Yearly Pension'!M$1))))</f>
        <v>0</v>
      </c>
      <c r="N31" s="6">
        <f>(HLOOKUP('Yearly Pension'!N$2,'Credited Service'!$G$1:$BC$80,$A31+1,FALSE)) * (IF($B31=500, (Assumptions!$B$7)*12, IF((HLOOKUP(N$2,Earnings!$G$2:$BC$81,('Yearly Pension'!$A31)+1, FALSE)) &gt; N$1, (Assumptions!$B$8)*(N$1) + (Assumptions!$B$9)*MAX(0,  (HLOOKUP(N$2,Earnings!$G$2:$BC$81,('Yearly Pension'!$A31)+1, FALSE)) - N$1), ((Assumptions!$B$8)*'Yearly Pension'!N$1))))</f>
        <v>0</v>
      </c>
      <c r="O31" s="6">
        <f>(HLOOKUP('Yearly Pension'!O$2,'Credited Service'!$G$1:$BC$80,$A31+1,FALSE)) * (IF($B31=500, (Assumptions!$B$7)*12, IF((HLOOKUP(O$2,Earnings!$G$2:$BC$81,('Yearly Pension'!$A31)+1, FALSE)) &gt; O$1, (Assumptions!$B$8)*(O$1) + (Assumptions!$B$9)*MAX(0,  (HLOOKUP(O$2,Earnings!$G$2:$BC$81,('Yearly Pension'!$A31)+1, FALSE)) - O$1), ((Assumptions!$B$8)*'Yearly Pension'!O$1))))</f>
        <v>0</v>
      </c>
      <c r="P31" s="6">
        <f>(HLOOKUP('Yearly Pension'!P$2,'Credited Service'!$G$1:$BC$80,$A31+1,FALSE)) * (IF($B31=500, (Assumptions!$B$7)*12, IF((HLOOKUP(P$2,Earnings!$G$2:$BC$81,('Yearly Pension'!$A31)+1, FALSE)) &gt; P$1, (Assumptions!$B$8)*(P$1) + (Assumptions!$B$9)*MAX(0,  (HLOOKUP(P$2,Earnings!$G$2:$BC$81,('Yearly Pension'!$A31)+1, FALSE)) - P$1), ((Assumptions!$B$8)*'Yearly Pension'!P$1))))</f>
        <v>0</v>
      </c>
      <c r="Q31" s="6">
        <f>(HLOOKUP('Yearly Pension'!Q$2,'Credited Service'!$G$1:$BC$80,$A31+1,FALSE)) * (IF($B31=500, (Assumptions!$B$7)*12, IF((HLOOKUP(Q$2,Earnings!$G$2:$BC$81,('Yearly Pension'!$A31)+1, FALSE)) &gt; Q$1, (Assumptions!$B$8)*(Q$1) + (Assumptions!$B$9)*MAX(0,  (HLOOKUP(Q$2,Earnings!$G$2:$BC$81,('Yearly Pension'!$A31)+1, FALSE)) - Q$1), ((Assumptions!$B$8)*'Yearly Pension'!Q$1))))</f>
        <v>0</v>
      </c>
      <c r="R31" s="6">
        <f>(HLOOKUP('Yearly Pension'!R$2,'Credited Service'!$G$1:$BC$80,$A31+1,FALSE)) * (IF($B31=500, (Assumptions!$B$7)*12, IF((HLOOKUP(R$2,Earnings!$G$2:$BC$81,('Yearly Pension'!$A31)+1, FALSE)) &gt; R$1, (Assumptions!$B$8)*(R$1) + (Assumptions!$B$9)*MAX(0,  (HLOOKUP(R$2,Earnings!$G$2:$BC$81,('Yearly Pension'!$A31)+1, FALSE)) - R$1), ((Assumptions!$B$8)*'Yearly Pension'!R$1))))</f>
        <v>0</v>
      </c>
      <c r="S31" s="6">
        <f>(HLOOKUP('Yearly Pension'!S$2,'Credited Service'!$G$1:$BC$80,$A31+1,FALSE)) * (IF($B31=500, (Assumptions!$B$7)*12, IF((HLOOKUP(S$2,Earnings!$G$2:$BC$81,('Yearly Pension'!$A31)+1, FALSE)) &gt; S$1, (Assumptions!$B$8)*(S$1) + (Assumptions!$B$9)*MAX(0,  (HLOOKUP(S$2,Earnings!$G$2:$BC$81,('Yearly Pension'!$A31)+1, FALSE)) - S$1), ((Assumptions!$B$8)*'Yearly Pension'!S$1))))</f>
        <v>0</v>
      </c>
      <c r="T31" s="6">
        <f>(HLOOKUP('Yearly Pension'!T$2,'Credited Service'!$G$1:$BC$80,$A31+1,FALSE)) * (IF($B31=500, (Assumptions!$B$7)*12, IF((HLOOKUP(T$2,Earnings!$G$2:$BC$81,('Yearly Pension'!$A31)+1, FALSE)) &gt; T$1, (Assumptions!$B$8)*(T$1) + (Assumptions!$B$9)*MAX(0,  (HLOOKUP(T$2,Earnings!$G$2:$BC$81,('Yearly Pension'!$A31)+1, FALSE)) - T$1), ((Assumptions!$B$8)*'Yearly Pension'!T$1))))</f>
        <v>0</v>
      </c>
      <c r="U31" s="6">
        <f>(HLOOKUP('Yearly Pension'!U$2,'Credited Service'!$G$1:$BC$80,$A31+1,FALSE)) * (IF($B31=500, (Assumptions!$B$7)*12, IF((HLOOKUP(U$2,Earnings!$G$2:$BC$81,('Yearly Pension'!$A31)+1, FALSE)) &gt; U$1, (Assumptions!$B$8)*(U$1) + (Assumptions!$B$9)*MAX(0,  (HLOOKUP(U$2,Earnings!$G$2:$BC$81,('Yearly Pension'!$A31)+1, FALSE)) - U$1), ((Assumptions!$B$8)*'Yearly Pension'!U$1))))</f>
        <v>0</v>
      </c>
      <c r="V31" s="6">
        <f>(HLOOKUP('Yearly Pension'!V$2,'Credited Service'!$G$1:$BC$80,$A31+1,FALSE)) * (IF($B31=500, (Assumptions!$B$7)*12, IF((HLOOKUP(V$2,Earnings!$G$2:$BC$81,('Yearly Pension'!$A31)+1, FALSE)) &gt; V$1, (Assumptions!$B$8)*(V$1) + (Assumptions!$B$9)*MAX(0,  (HLOOKUP(V$2,Earnings!$G$2:$BC$81,('Yearly Pension'!$A31)+1, FALSE)) - V$1), ((Assumptions!$B$8)*'Yearly Pension'!V$1))))</f>
        <v>0</v>
      </c>
      <c r="W31" s="6">
        <f>(HLOOKUP('Yearly Pension'!W$2,'Credited Service'!$G$1:$BC$80,$A31+1,FALSE)) * (IF($B31=500, (Assumptions!$B$7)*12, IF((HLOOKUP(W$2,Earnings!$G$2:$BC$81,('Yearly Pension'!$A31)+1, FALSE)) &gt; W$1, (Assumptions!$B$8)*(W$1) + (Assumptions!$B$9)*MAX(0,  (HLOOKUP(W$2,Earnings!$G$2:$BC$81,('Yearly Pension'!$A31)+1, FALSE)) - W$1), ((Assumptions!$B$8)*'Yearly Pension'!W$1))))</f>
        <v>0</v>
      </c>
      <c r="X31" s="6">
        <f>(HLOOKUP('Yearly Pension'!X$2,'Credited Service'!$G$1:$BC$80,$A31+1,FALSE)) * (IF($B31=500, (Assumptions!$B$7)*12, IF((HLOOKUP(X$2,Earnings!$G$2:$BC$81,('Yearly Pension'!$A31)+1, FALSE)) &gt; X$1, (Assumptions!$B$8)*(X$1) + (Assumptions!$B$9)*MAX(0,  (HLOOKUP(X$2,Earnings!$G$2:$BC$81,('Yearly Pension'!$A31)+1, FALSE)) - X$1), ((Assumptions!$B$8)*'Yearly Pension'!X$1))))</f>
        <v>0</v>
      </c>
      <c r="Y31" s="6">
        <f>(HLOOKUP('Yearly Pension'!Y$2,'Credited Service'!$G$1:$BC$80,$A31+1,FALSE)) * (IF($B31=500, (Assumptions!$B$7)*12, IF((HLOOKUP(Y$2,Earnings!$G$2:$BC$81,('Yearly Pension'!$A31)+1, FALSE)) &gt; Y$1, (Assumptions!$B$8)*(Y$1) + (Assumptions!$B$9)*MAX(0,  (HLOOKUP(Y$2,Earnings!$G$2:$BC$81,('Yearly Pension'!$A31)+1, FALSE)) - Y$1), ((Assumptions!$B$8)*'Yearly Pension'!Y$1))))</f>
        <v>0</v>
      </c>
      <c r="Z31" s="6">
        <f>(HLOOKUP('Yearly Pension'!Z$2,'Credited Service'!$G$1:$BC$80,$A31+1,FALSE)) * (IF($B31=500, (Assumptions!$B$7)*12, IF((HLOOKUP(Z$2,Earnings!$G$2:$BC$81,('Yearly Pension'!$A31)+1, FALSE)) &gt; Z$1, (Assumptions!$B$8)*(Z$1) + (Assumptions!$B$9)*MAX(0,  (HLOOKUP(Z$2,Earnings!$G$2:$BC$81,('Yearly Pension'!$A31)+1, FALSE)) - Z$1), ((Assumptions!$B$8)*'Yearly Pension'!Z$1))))</f>
        <v>0</v>
      </c>
      <c r="AA31" s="6">
        <f>(HLOOKUP('Yearly Pension'!AA$2,'Credited Service'!$G$1:$BC$80,$A31+1,FALSE)) * (IF($B31=500, (Assumptions!$B$7)*12, IF((HLOOKUP(AA$2,Earnings!$G$2:$BC$81,('Yearly Pension'!$A31)+1, FALSE)) &gt; AA$1, (Assumptions!$B$8)*(AA$1) + (Assumptions!$B$9)*MAX(0,  (HLOOKUP(AA$2,Earnings!$G$2:$BC$81,('Yearly Pension'!$A31)+1, FALSE)) - AA$1), ((Assumptions!$B$8)*'Yearly Pension'!AA$1))))</f>
        <v>0</v>
      </c>
      <c r="AB31" s="6">
        <f>(HLOOKUP('Yearly Pension'!AB$2,'Credited Service'!$G$1:$BC$80,$A31+1,FALSE)) * (IF($B31=500, (Assumptions!$B$7)*12, IF((HLOOKUP(AB$2,Earnings!$G$2:$BC$81,('Yearly Pension'!$A31)+1, FALSE)) &gt; AB$1, (Assumptions!$B$8)*(AB$1) + (Assumptions!$B$9)*MAX(0,  (HLOOKUP(AB$2,Earnings!$G$2:$BC$81,('Yearly Pension'!$A31)+1, FALSE)) - AB$1), ((Assumptions!$B$8)*'Yearly Pension'!AB$1))))</f>
        <v>0</v>
      </c>
      <c r="AC31" s="6">
        <f>(HLOOKUP('Yearly Pension'!AC$2,'Credited Service'!$G$1:$BC$80,$A31+1,FALSE)) * (IF($B31=500, (Assumptions!$B$7)*12, IF((HLOOKUP(AC$2,Earnings!$G$2:$BC$81,('Yearly Pension'!$A31)+1, FALSE)) &gt; AC$1, (Assumptions!$B$8)*(AC$1) + (Assumptions!$B$9)*MAX(0,  (HLOOKUP(AC$2,Earnings!$G$2:$BC$81,('Yearly Pension'!$A31)+1, FALSE)) - AC$1), ((Assumptions!$B$8)*'Yearly Pension'!AC$1))))</f>
        <v>0</v>
      </c>
      <c r="AD31" s="6">
        <f>(HLOOKUP('Yearly Pension'!AD$2,'Credited Service'!$G$1:$BC$80,$A31+1,FALSE)) * (IF($B31=500, (Assumptions!$B$7)*12, IF((HLOOKUP(AD$2,Earnings!$G$2:$BC$81,('Yearly Pension'!$A31)+1, FALSE)) &gt; AD$1, (Assumptions!$B$8)*(AD$1) + (Assumptions!$B$9)*MAX(0,  (HLOOKUP(AD$2,Earnings!$G$2:$BC$81,('Yearly Pension'!$A31)+1, FALSE)) - AD$1), ((Assumptions!$B$8)*'Yearly Pension'!AD$1))))</f>
        <v>0</v>
      </c>
      <c r="AE31" s="6">
        <f>(HLOOKUP('Yearly Pension'!AE$2,'Credited Service'!$G$1:$BC$80,$A31+1,FALSE)) * (IF($B31=500, (Assumptions!$B$7)*12, IF((HLOOKUP(AE$2,Earnings!$G$2:$BC$81,('Yearly Pension'!$A31)+1, FALSE)) &gt; AE$1, (Assumptions!$B$8)*(AE$1) + (Assumptions!$B$9)*MAX(0,  (HLOOKUP(AE$2,Earnings!$G$2:$BC$81,('Yearly Pension'!$A31)+1, FALSE)) - AE$1), ((Assumptions!$B$8)*'Yearly Pension'!AE$1))))</f>
        <v>0</v>
      </c>
      <c r="AF31" s="6">
        <f>(HLOOKUP('Yearly Pension'!AF$2,'Credited Service'!$G$1:$BC$80,$A31+1,FALSE)) * (IF($B31=500, (Assumptions!$B$7)*12, IF((HLOOKUP(AF$2,Earnings!$G$2:$BC$81,('Yearly Pension'!$A31)+1, FALSE)) &gt; AF$1, (Assumptions!$B$8)*(AF$1) + (Assumptions!$B$9)*MAX(0,  (HLOOKUP(AF$2,Earnings!$G$2:$BC$81,('Yearly Pension'!$A31)+1, FALSE)) - AF$1), ((Assumptions!$B$8)*'Yearly Pension'!AF$1))))</f>
        <v>0</v>
      </c>
      <c r="AG31" s="6">
        <f>(HLOOKUP('Yearly Pension'!AG$2,'Credited Service'!$G$1:$BC$80,$A31+1,FALSE)) * (IF($B31=500, (Assumptions!$B$7)*12, IF((HLOOKUP(AG$2,Earnings!$G$2:$BC$81,('Yearly Pension'!$A31)+1, FALSE)) &gt; AG$1, (Assumptions!$B$8)*(AG$1) + (Assumptions!$B$9)*MAX(0,  (HLOOKUP(AG$2,Earnings!$G$2:$BC$81,('Yearly Pension'!$A31)+1, FALSE)) - AG$1), ((Assumptions!$B$8)*'Yearly Pension'!AG$1))))</f>
        <v>561.76290111976721</v>
      </c>
      <c r="AH31" s="6">
        <f>(HLOOKUP('Yearly Pension'!AH$2,'Credited Service'!$G$1:$BC$80,$A31+1,FALSE)) * (IF($B31=500, (Assumptions!$B$7)*12, IF((HLOOKUP(AH$2,Earnings!$G$2:$BC$81,('Yearly Pension'!$A31)+1, FALSE)) &gt; AH$1, (Assumptions!$B$8)*(AH$1) + (Assumptions!$B$9)*MAX(0,  (HLOOKUP(AH$2,Earnings!$G$2:$BC$81,('Yearly Pension'!$A31)+1, FALSE)) - AH$1), ((Assumptions!$B$8)*'Yearly Pension'!AH$1))))</f>
        <v>707.4545005974694</v>
      </c>
      <c r="AI31" s="6">
        <f>(HLOOKUP('Yearly Pension'!AI$2,'Credited Service'!$G$1:$BC$80,$A31+1,FALSE)) * (IF($B31=500, (Assumptions!$B$7)*12, IF((HLOOKUP(AI$2,Earnings!$G$2:$BC$81,('Yearly Pension'!$A31)+1, FALSE)) &gt; AI$1, (Assumptions!$B$8)*(AI$1) + (Assumptions!$B$9)*MAX(0,  (HLOOKUP(AI$2,Earnings!$G$2:$BC$81,('Yearly Pension'!$A31)+1, FALSE)) - AI$1), ((Assumptions!$B$8)*'Yearly Pension'!AI$1))))</f>
        <v>742.28068062136822</v>
      </c>
      <c r="AJ31" s="6">
        <f>(HLOOKUP('Yearly Pension'!AJ$2,'Credited Service'!$G$1:$BC$80,$A31+1,FALSE)) * (IF($B31=500, (Assumptions!$B$7)*12, IF((HLOOKUP(AJ$2,Earnings!$G$2:$BC$81,('Yearly Pension'!$A31)+1, FALSE)) &gt; AJ$1, (Assumptions!$B$8)*(AJ$1) + (Assumptions!$B$9)*MAX(0,  (HLOOKUP(AJ$2,Earnings!$G$2:$BC$81,('Yearly Pension'!$A31)+1, FALSE)) - AJ$1), ((Assumptions!$B$8)*'Yearly Pension'!AJ$1))))</f>
        <v>776.09350784622291</v>
      </c>
      <c r="AK31" s="6">
        <f>(HLOOKUP('Yearly Pension'!AK$2,'Credited Service'!$G$1:$BC$80,$A31+1,FALSE)) * (IF($B31=500, (Assumptions!$B$7)*12, IF((HLOOKUP(AK$2,Earnings!$G$2:$BC$81,('Yearly Pension'!$A31)+1, FALSE)) &gt; AK$1, (Assumptions!$B$8)*(AK$1) + (Assumptions!$B$9)*MAX(0,  (HLOOKUP(AK$2,Earnings!$G$2:$BC$81,('Yearly Pension'!$A31)+1, FALSE)) - AK$1), ((Assumptions!$B$8)*'Yearly Pension'!AK$1))))</f>
        <v>807.67484816007186</v>
      </c>
      <c r="AL31" s="6">
        <f>(HLOOKUP('Yearly Pension'!AL$2,'Credited Service'!$G$1:$BC$80,$A31+1,FALSE)) * (IF($B31=500, (Assumptions!$B$7)*12, IF((HLOOKUP(AL$2,Earnings!$G$2:$BC$81,('Yearly Pension'!$A31)+1, FALSE)) &gt; AL$1, (Assumptions!$B$8)*(AL$1) + (Assumptions!$B$9)*MAX(0,  (HLOOKUP(AL$2,Earnings!$G$2:$BC$81,('Yearly Pension'!$A31)+1, FALSE)) - AL$1), ((Assumptions!$B$8)*'Yearly Pension'!AL$1))))</f>
        <v>843.4890420864748</v>
      </c>
      <c r="AM31" s="6">
        <f>(HLOOKUP('Yearly Pension'!AM$2,'Credited Service'!$G$1:$BC$80,$A31+1,FALSE)) * (IF($B31=500, (Assumptions!$B$7)*12, IF((HLOOKUP(AM$2,Earnings!$G$2:$BC$81,('Yearly Pension'!$A31)+1, FALSE)) &gt; AM$1, (Assumptions!$B$8)*(AM$1) + (Assumptions!$B$9)*MAX(0,  (HLOOKUP(AM$2,Earnings!$G$2:$BC$81,('Yearly Pension'!$A31)+1, FALSE)) - AM$1), ((Assumptions!$B$8)*'Yearly Pension'!AM$1))))</f>
        <v>879.76300376993379</v>
      </c>
      <c r="AN31" s="6">
        <f>(HLOOKUP('Yearly Pension'!AN$2,'Credited Service'!$G$1:$BC$80,$A31+1,FALSE)) * (IF($B31=500, (Assumptions!$B$7)*12, IF((HLOOKUP(AN$2,Earnings!$G$2:$BC$81,('Yearly Pension'!$A31)+1, FALSE)) &gt; AN$1, (Assumptions!$B$8)*(AN$1) + (Assumptions!$B$9)*MAX(0,  (HLOOKUP(AN$2,Earnings!$G$2:$BC$81,('Yearly Pension'!$A31)+1, FALSE)) - AN$1), ((Assumptions!$B$8)*'Yearly Pension'!AN$1))))</f>
        <v>921.0463239207312</v>
      </c>
      <c r="AO31" s="6">
        <f>(HLOOKUP('Yearly Pension'!AO$2,'Credited Service'!$G$1:$BC$80,$A31+1,FALSE)) * (IF($B31=500, (Assumptions!$B$7)*12, IF((HLOOKUP(AO$2,Earnings!$G$2:$BC$81,('Yearly Pension'!$A31)+1, FALSE)) &gt; AO$1, (Assumptions!$B$8)*(AO$1) + (Assumptions!$B$9)*MAX(0,  (HLOOKUP(AO$2,Earnings!$G$2:$BC$81,('Yearly Pension'!$A31)+1, FALSE)) - AO$1), ((Assumptions!$B$8)*'Yearly Pension'!AO$1))))</f>
        <v>962.93137687756052</v>
      </c>
      <c r="AP31" s="6">
        <f>(HLOOKUP('Yearly Pension'!AP$2,'Credited Service'!$G$1:$BC$80,$A31+1,FALSE)) * (IF($B31=500, (Assumptions!$B$7)*12, IF((HLOOKUP(AP$2,Earnings!$G$2:$BC$81,('Yearly Pension'!$A31)+1, FALSE)) &gt; AP$1, (Assumptions!$B$8)*(AP$1) + (Assumptions!$B$9)*MAX(0,  (HLOOKUP(AP$2,Earnings!$G$2:$BC$81,('Yearly Pension'!$A31)+1, FALSE)) - AP$1), ((Assumptions!$B$8)*'Yearly Pension'!AP$1))))</f>
        <v>1002.293431952663</v>
      </c>
      <c r="AQ31" s="6">
        <f>(HLOOKUP('Yearly Pension'!AQ$2,'Credited Service'!$G$1:$BC$80,$A31+1,FALSE)) * (IF($B31=500, (Assumptions!$B$7)*12, IF((HLOOKUP(AQ$2,Earnings!$G$2:$BC$81,('Yearly Pension'!$A31)+1, FALSE)) &gt; AQ$1, (Assumptions!$B$8)*(AQ$1) + (Assumptions!$B$9)*MAX(0,  (HLOOKUP(AQ$2,Earnings!$G$2:$BC$81,('Yearly Pension'!$A31)+1, FALSE)) - AQ$1), ((Assumptions!$B$8)*'Yearly Pension'!AQ$1))))</f>
        <v>1048.8107692307692</v>
      </c>
      <c r="AR31" s="6">
        <f>(HLOOKUP('Yearly Pension'!AR$2,'Credited Service'!$G$1:$BC$80,$A31+1,FALSE)) * (IF($B31=500, (Assumptions!$B$7)*12, IF((HLOOKUP(AR$2,Earnings!$G$2:$BC$81,('Yearly Pension'!$A31)+1, FALSE)) &gt; AR$1, (Assumptions!$B$8)*(AR$1) + (Assumptions!$B$9)*MAX(0,  (HLOOKUP(AR$2,Earnings!$G$2:$BC$81,('Yearly Pension'!$A31)+1, FALSE)) - AR$1), ((Assumptions!$B$8)*'Yearly Pension'!AR$1))))</f>
        <v>1094.8848</v>
      </c>
      <c r="AS31" s="6">
        <f>(HLOOKUP('Yearly Pension'!AS$2,'Credited Service'!$G$1:$BC$80,$A31+1,FALSE)) * (IF($B31=500, (Assumptions!$B$7)*12, IF((HLOOKUP(AS$2,Earnings!$G$2:$BC$81,('Yearly Pension'!$A31)+1, FALSE)) &gt; AS$1, (Assumptions!$B$8)*(AS$1) + (Assumptions!$B$9)*MAX(0,  (HLOOKUP(AS$2,Earnings!$G$2:$BC$81,('Yearly Pension'!$A31)+1, FALSE)) - AS$1), ((Assumptions!$B$8)*'Yearly Pension'!AS$1))))</f>
        <v>1130.771344</v>
      </c>
      <c r="AT31" s="6">
        <f>(HLOOKUP('Yearly Pension'!AT$2,'Credited Service'!$G$1:$BC$80,$A31+1,FALSE)) * (IF($B31=500, (Assumptions!$B$7)*12, IF((HLOOKUP(AT$2,Earnings!$G$2:$BC$81,('Yearly Pension'!$A31)+1, FALSE)) &gt; AT$1, (Assumptions!$B$8)*(AT$1) + (Assumptions!$B$9)*MAX(0,  (HLOOKUP(AT$2,Earnings!$G$2:$BC$81,('Yearly Pension'!$A31)+1, FALSE)) - AT$1), ((Assumptions!$B$8)*'Yearly Pension'!AT$1))))</f>
        <v>1166.6656843199999</v>
      </c>
      <c r="AU31" s="6">
        <f>(HLOOKUP('Yearly Pension'!AU$2,'Credited Service'!$G$1:$BC$80,$A31+1,FALSE)) * (IF($B31=500, (Assumptions!$B$7)*12, IF((HLOOKUP(AU$2,Earnings!$G$2:$BC$81,('Yearly Pension'!$A31)+1, FALSE)) &gt; AU$1, (Assumptions!$B$8)*(AU$1) + (Assumptions!$B$9)*MAX(0,  (HLOOKUP(AU$2,Earnings!$G$2:$BC$81,('Yearly Pension'!$A31)+1, FALSE)) - AU$1), ((Assumptions!$B$8)*'Yearly Pension'!AU$1))))</f>
        <v>1209.6464548495999</v>
      </c>
      <c r="AV31" s="6">
        <f>(HLOOKUP('Yearly Pension'!AV$2,'Credited Service'!$G$1:$BC$80,$A31+1,FALSE)) * (IF($B31=500, (Assumptions!$B$7)*12, IF((HLOOKUP(AV$2,Earnings!$G$2:$BC$81,('Yearly Pension'!$A31)+1, FALSE)) &gt; AV$1, (Assumptions!$B$8)*(AV$1) + (Assumptions!$B$9)*MAX(0,  (HLOOKUP(AV$2,Earnings!$G$2:$BC$81,('Yearly Pension'!$A31)+1, FALSE)) - AV$1), ((Assumptions!$B$8)*'Yearly Pension'!AV$1))))</f>
        <v>1252.7134484950882</v>
      </c>
      <c r="AW31" s="6">
        <f>(HLOOKUP('Yearly Pension'!AW$2,'Credited Service'!$G$1:$BC$80,$A31+1,FALSE)) * (IF($B31=500, (Assumptions!$B$7)*12, IF((HLOOKUP(AW$2,Earnings!$G$2:$BC$81,('Yearly Pension'!$A31)+1, FALSE)) &gt; AW$1, (Assumptions!$B$8)*(AW$1) + (Assumptions!$B$9)*MAX(0,  (HLOOKUP(AW$2,Earnings!$G$2:$BC$81,('Yearly Pension'!$A31)+1, FALSE)) - AW$1), ((Assumptions!$B$8)*'Yearly Pension'!AW$1))))</f>
        <v>1291.4276519499408</v>
      </c>
      <c r="AX31" s="6">
        <f>(HLOOKUP('Yearly Pension'!AX$2,'Credited Service'!$G$1:$BC$80,$A31+1,FALSE)) * (IF($B31=500, (Assumptions!$B$7)*12, IF((HLOOKUP(AX$2,Earnings!$G$2:$BC$81,('Yearly Pension'!$A31)+1, FALSE)) &gt; AX$1, (Assumptions!$B$8)*(AX$1) + (Assumptions!$B$9)*MAX(0,  (HLOOKUP(AX$2,Earnings!$G$2:$BC$81,('Yearly Pension'!$A31)+1, FALSE)) - AX$1), ((Assumptions!$B$8)*'Yearly Pension'!AX$1))))</f>
        <v>1326.4968815084389</v>
      </c>
      <c r="AY31" s="6">
        <f>(HLOOKUP('Yearly Pension'!AY$2,'Credited Service'!$G$1:$BC$80,$A31+1,FALSE)) * (IF($B31=500, (Assumptions!$B$7)*12, IF((HLOOKUP(AY$2,Earnings!$G$2:$BC$81,('Yearly Pension'!$A31)+1, FALSE)) &gt; AY$1, (Assumptions!$B$8)*(AY$1) + (Assumptions!$B$9)*MAX(0,  (HLOOKUP(AY$2,Earnings!$G$2:$BC$81,('Yearly Pension'!$A31)+1, FALSE)) - AY$1), ((Assumptions!$B$8)*'Yearly Pension'!AY$1))))</f>
        <v>1362.471243953692</v>
      </c>
      <c r="AZ31" s="6">
        <f>(HLOOKUP('Yearly Pension'!AZ$2,'Credited Service'!$G$1:$BC$80,$A31+1,FALSE)) * (IF($B31=500, (Assumptions!$B$7)*12, IF((HLOOKUP(AZ$2,Earnings!$G$2:$BC$81,('Yearly Pension'!$A31)+1, FALSE)) &gt; AZ$1, (Assumptions!$B$8)*(AZ$1) + (Assumptions!$B$9)*MAX(0,  (HLOOKUP(AZ$2,Earnings!$G$2:$BC$81,('Yearly Pension'!$A31)+1, FALSE)) - AZ$1), ((Assumptions!$B$8)*'Yearly Pension'!AZ$1))))</f>
        <v>1399.3720155123028</v>
      </c>
      <c r="BA31" s="6">
        <f>(HLOOKUP('Yearly Pension'!BA$2,'Credited Service'!$G$1:$BC$80,$A31+1,FALSE)) * (IF($B31=500, (Assumptions!$B$7)*12, IF((HLOOKUP(BA$2,Earnings!$G$2:$BC$81,('Yearly Pension'!$A31)+1, FALSE)) &gt; BA$1, (Assumptions!$B$8)*(BA$1) + (Assumptions!$B$9)*MAX(0,  (HLOOKUP(BA$2,Earnings!$G$2:$BC$81,('Yearly Pension'!$A31)+1, FALSE)) - BA$1), ((Assumptions!$B$8)*'Yearly Pension'!BA$1))))</f>
        <v>1437.2208755872718</v>
      </c>
      <c r="BB31" s="6">
        <f>(HLOOKUP('Yearly Pension'!BB$2,'Credited Service'!$G$1:$BC$80,$A31+1,FALSE)) * (IF($B31=500, (Assumptions!$B$7)*12, IF((HLOOKUP(BB$2,Earnings!$G$2:$BC$81,('Yearly Pension'!$A31)+1, FALSE)) &gt; BB$1, (Assumptions!$B$8)*(BB$1) + (Assumptions!$B$9)*MAX(0,  (HLOOKUP(BB$2,Earnings!$G$2:$BC$81,('Yearly Pension'!$A31)+1, FALSE)) - BB$1), ((Assumptions!$B$8)*'Yearly Pension'!BB$1))))</f>
        <v>1476.0399094488741</v>
      </c>
      <c r="BC31" s="6">
        <f>(HLOOKUP('Yearly Pension'!BC$2,'Credited Service'!$G$1:$BC$80,$A31+1,FALSE)) * (IF($B31=500, (Assumptions!$B$7)*12, IF((HLOOKUP(BC$2,Earnings!$G$2:$BC$81,('Yearly Pension'!$A31)+1, FALSE)) &gt; BC$1, (Assumptions!$B$8)*(BC$1) + (Assumptions!$B$9)*MAX(0,  (HLOOKUP(BC$2,Earnings!$G$2:$BC$81,('Yearly Pension'!$A31)+1, FALSE)) - BC$1), ((Assumptions!$B$8)*'Yearly Pension'!BC$1))))</f>
        <v>1515.8516106300838</v>
      </c>
    </row>
    <row r="32" spans="1:55" x14ac:dyDescent="0.25">
      <c r="A32" s="204">
        <v>30</v>
      </c>
      <c r="B32" s="1">
        <v>600</v>
      </c>
      <c r="C32" s="1">
        <v>752</v>
      </c>
      <c r="D32" s="3">
        <v>37650</v>
      </c>
      <c r="E32" s="3">
        <v>53936</v>
      </c>
      <c r="G32" s="6">
        <f>(HLOOKUP('Yearly Pension'!G$2,'Credited Service'!$G$1:$BC$80,$A32+1,FALSE)) * (IF($B32=500, (Assumptions!$B$7)*12, IF((HLOOKUP(G$2,Earnings!$G$2:$BC$81,('Yearly Pension'!$A32)+1, FALSE)) &gt; G$1, (Assumptions!$B$8)*(G$1) + (Assumptions!$B$9)*MAX(0,  (HLOOKUP(G$2,Earnings!$G$2:$BC$81,('Yearly Pension'!$A32)+1, FALSE)) - G$1), ((Assumptions!$B$8)*'Yearly Pension'!G$1))))</f>
        <v>0</v>
      </c>
      <c r="H32" s="6">
        <f>(HLOOKUP('Yearly Pension'!H$2,'Credited Service'!$G$1:$BC$80,$A32+1,FALSE)) * (IF($B32=500, (Assumptions!$B$7)*12, IF((HLOOKUP(H$2,Earnings!$G$2:$BC$81,('Yearly Pension'!$A32)+1, FALSE)) &gt; H$1, (Assumptions!$B$8)*(H$1) + (Assumptions!$B$9)*MAX(0,  (HLOOKUP(H$2,Earnings!$G$2:$BC$81,('Yearly Pension'!$A32)+1, FALSE)) - H$1), ((Assumptions!$B$8)*'Yearly Pension'!H$1))))</f>
        <v>0</v>
      </c>
      <c r="I32" s="6">
        <f>(HLOOKUP('Yearly Pension'!I$2,'Credited Service'!$G$1:$BC$80,$A32+1,FALSE)) * (IF($B32=500, (Assumptions!$B$7)*12, IF((HLOOKUP(I$2,Earnings!$G$2:$BC$81,('Yearly Pension'!$A32)+1, FALSE)) &gt; I$1, (Assumptions!$B$8)*(I$1) + (Assumptions!$B$9)*MAX(0,  (HLOOKUP(I$2,Earnings!$G$2:$BC$81,('Yearly Pension'!$A32)+1, FALSE)) - I$1), ((Assumptions!$B$8)*'Yearly Pension'!I$1))))</f>
        <v>0</v>
      </c>
      <c r="J32" s="6">
        <f>(HLOOKUP('Yearly Pension'!J$2,'Credited Service'!$G$1:$BC$80,$A32+1,FALSE)) * (IF($B32=500, (Assumptions!$B$7)*12, IF((HLOOKUP(J$2,Earnings!$G$2:$BC$81,('Yearly Pension'!$A32)+1, FALSE)) &gt; J$1, (Assumptions!$B$8)*(J$1) + (Assumptions!$B$9)*MAX(0,  (HLOOKUP(J$2,Earnings!$G$2:$BC$81,('Yearly Pension'!$A32)+1, FALSE)) - J$1), ((Assumptions!$B$8)*'Yearly Pension'!J$1))))</f>
        <v>0</v>
      </c>
      <c r="K32" s="6">
        <f>(HLOOKUP('Yearly Pension'!K$2,'Credited Service'!$G$1:$BC$80,$A32+1,FALSE)) * (IF($B32=500, (Assumptions!$B$7)*12, IF((HLOOKUP(K$2,Earnings!$G$2:$BC$81,('Yearly Pension'!$A32)+1, FALSE)) &gt; K$1, (Assumptions!$B$8)*(K$1) + (Assumptions!$B$9)*MAX(0,  (HLOOKUP(K$2,Earnings!$G$2:$BC$81,('Yearly Pension'!$A32)+1, FALSE)) - K$1), ((Assumptions!$B$8)*'Yearly Pension'!K$1))))</f>
        <v>0</v>
      </c>
      <c r="L32" s="6">
        <f>(HLOOKUP('Yearly Pension'!L$2,'Credited Service'!$G$1:$BC$80,$A32+1,FALSE)) * (IF($B32=500, (Assumptions!$B$7)*12, IF((HLOOKUP(L$2,Earnings!$G$2:$BC$81,('Yearly Pension'!$A32)+1, FALSE)) &gt; L$1, (Assumptions!$B$8)*(L$1) + (Assumptions!$B$9)*MAX(0,  (HLOOKUP(L$2,Earnings!$G$2:$BC$81,('Yearly Pension'!$A32)+1, FALSE)) - L$1), ((Assumptions!$B$8)*'Yearly Pension'!L$1))))</f>
        <v>0</v>
      </c>
      <c r="M32" s="6">
        <f>(HLOOKUP('Yearly Pension'!M$2,'Credited Service'!$G$1:$BC$80,$A32+1,FALSE)) * (IF($B32=500, (Assumptions!$B$7)*12, IF((HLOOKUP(M$2,Earnings!$G$2:$BC$81,('Yearly Pension'!$A32)+1, FALSE)) &gt; M$1, (Assumptions!$B$8)*(M$1) + (Assumptions!$B$9)*MAX(0,  (HLOOKUP(M$2,Earnings!$G$2:$BC$81,('Yearly Pension'!$A32)+1, FALSE)) - M$1), ((Assumptions!$B$8)*'Yearly Pension'!M$1))))</f>
        <v>0</v>
      </c>
      <c r="N32" s="6">
        <f>(HLOOKUP('Yearly Pension'!N$2,'Credited Service'!$G$1:$BC$80,$A32+1,FALSE)) * (IF($B32=500, (Assumptions!$B$7)*12, IF((HLOOKUP(N$2,Earnings!$G$2:$BC$81,('Yearly Pension'!$A32)+1, FALSE)) &gt; N$1, (Assumptions!$B$8)*(N$1) + (Assumptions!$B$9)*MAX(0,  (HLOOKUP(N$2,Earnings!$G$2:$BC$81,('Yearly Pension'!$A32)+1, FALSE)) - N$1), ((Assumptions!$B$8)*'Yearly Pension'!N$1))))</f>
        <v>0</v>
      </c>
      <c r="O32" s="6">
        <f>(HLOOKUP('Yearly Pension'!O$2,'Credited Service'!$G$1:$BC$80,$A32+1,FALSE)) * (IF($B32=500, (Assumptions!$B$7)*12, IF((HLOOKUP(O$2,Earnings!$G$2:$BC$81,('Yearly Pension'!$A32)+1, FALSE)) &gt; O$1, (Assumptions!$B$8)*(O$1) + (Assumptions!$B$9)*MAX(0,  (HLOOKUP(O$2,Earnings!$G$2:$BC$81,('Yearly Pension'!$A32)+1, FALSE)) - O$1), ((Assumptions!$B$8)*'Yearly Pension'!O$1))))</f>
        <v>0</v>
      </c>
      <c r="P32" s="6">
        <f>(HLOOKUP('Yearly Pension'!P$2,'Credited Service'!$G$1:$BC$80,$A32+1,FALSE)) * (IF($B32=500, (Assumptions!$B$7)*12, IF((HLOOKUP(P$2,Earnings!$G$2:$BC$81,('Yearly Pension'!$A32)+1, FALSE)) &gt; P$1, (Assumptions!$B$8)*(P$1) + (Assumptions!$B$9)*MAX(0,  (HLOOKUP(P$2,Earnings!$G$2:$BC$81,('Yearly Pension'!$A32)+1, FALSE)) - P$1), ((Assumptions!$B$8)*'Yearly Pension'!P$1))))</f>
        <v>0</v>
      </c>
      <c r="Q32" s="6">
        <f>(HLOOKUP('Yearly Pension'!Q$2,'Credited Service'!$G$1:$BC$80,$A32+1,FALSE)) * (IF($B32=500, (Assumptions!$B$7)*12, IF((HLOOKUP(Q$2,Earnings!$G$2:$BC$81,('Yearly Pension'!$A32)+1, FALSE)) &gt; Q$1, (Assumptions!$B$8)*(Q$1) + (Assumptions!$B$9)*MAX(0,  (HLOOKUP(Q$2,Earnings!$G$2:$BC$81,('Yearly Pension'!$A32)+1, FALSE)) - Q$1), ((Assumptions!$B$8)*'Yearly Pension'!Q$1))))</f>
        <v>0</v>
      </c>
      <c r="R32" s="6">
        <f>(HLOOKUP('Yearly Pension'!R$2,'Credited Service'!$G$1:$BC$80,$A32+1,FALSE)) * (IF($B32=500, (Assumptions!$B$7)*12, IF((HLOOKUP(R$2,Earnings!$G$2:$BC$81,('Yearly Pension'!$A32)+1, FALSE)) &gt; R$1, (Assumptions!$B$8)*(R$1) + (Assumptions!$B$9)*MAX(0,  (HLOOKUP(R$2,Earnings!$G$2:$BC$81,('Yearly Pension'!$A32)+1, FALSE)) - R$1), ((Assumptions!$B$8)*'Yearly Pension'!R$1))))</f>
        <v>0</v>
      </c>
      <c r="S32" s="6">
        <f>(HLOOKUP('Yearly Pension'!S$2,'Credited Service'!$G$1:$BC$80,$A32+1,FALSE)) * (IF($B32=500, (Assumptions!$B$7)*12, IF((HLOOKUP(S$2,Earnings!$G$2:$BC$81,('Yearly Pension'!$A32)+1, FALSE)) &gt; S$1, (Assumptions!$B$8)*(S$1) + (Assumptions!$B$9)*MAX(0,  (HLOOKUP(S$2,Earnings!$G$2:$BC$81,('Yearly Pension'!$A32)+1, FALSE)) - S$1), ((Assumptions!$B$8)*'Yearly Pension'!S$1))))</f>
        <v>0</v>
      </c>
      <c r="T32" s="6">
        <f>(HLOOKUP('Yearly Pension'!T$2,'Credited Service'!$G$1:$BC$80,$A32+1,FALSE)) * (IF($B32=500, (Assumptions!$B$7)*12, IF((HLOOKUP(T$2,Earnings!$G$2:$BC$81,('Yearly Pension'!$A32)+1, FALSE)) &gt; T$1, (Assumptions!$B$8)*(T$1) + (Assumptions!$B$9)*MAX(0,  (HLOOKUP(T$2,Earnings!$G$2:$BC$81,('Yearly Pension'!$A32)+1, FALSE)) - T$1), ((Assumptions!$B$8)*'Yearly Pension'!T$1))))</f>
        <v>0</v>
      </c>
      <c r="U32" s="6">
        <f>(HLOOKUP('Yearly Pension'!U$2,'Credited Service'!$G$1:$BC$80,$A32+1,FALSE)) * (IF($B32=500, (Assumptions!$B$7)*12, IF((HLOOKUP(U$2,Earnings!$G$2:$BC$81,('Yearly Pension'!$A32)+1, FALSE)) &gt; U$1, (Assumptions!$B$8)*(U$1) + (Assumptions!$B$9)*MAX(0,  (HLOOKUP(U$2,Earnings!$G$2:$BC$81,('Yearly Pension'!$A32)+1, FALSE)) - U$1), ((Assumptions!$B$8)*'Yearly Pension'!U$1))))</f>
        <v>0</v>
      </c>
      <c r="V32" s="6">
        <f>(HLOOKUP('Yearly Pension'!V$2,'Credited Service'!$G$1:$BC$80,$A32+1,FALSE)) * (IF($B32=500, (Assumptions!$B$7)*12, IF((HLOOKUP(V$2,Earnings!$G$2:$BC$81,('Yearly Pension'!$A32)+1, FALSE)) &gt; V$1, (Assumptions!$B$8)*(V$1) + (Assumptions!$B$9)*MAX(0,  (HLOOKUP(V$2,Earnings!$G$2:$BC$81,('Yearly Pension'!$A32)+1, FALSE)) - V$1), ((Assumptions!$B$8)*'Yearly Pension'!V$1))))</f>
        <v>0</v>
      </c>
      <c r="W32" s="6">
        <f>(HLOOKUP('Yearly Pension'!W$2,'Credited Service'!$G$1:$BC$80,$A32+1,FALSE)) * (IF($B32=500, (Assumptions!$B$7)*12, IF((HLOOKUP(W$2,Earnings!$G$2:$BC$81,('Yearly Pension'!$A32)+1, FALSE)) &gt; W$1, (Assumptions!$B$8)*(W$1) + (Assumptions!$B$9)*MAX(0,  (HLOOKUP(W$2,Earnings!$G$2:$BC$81,('Yearly Pension'!$A32)+1, FALSE)) - W$1), ((Assumptions!$B$8)*'Yearly Pension'!W$1))))</f>
        <v>0</v>
      </c>
      <c r="X32" s="6">
        <f>(HLOOKUP('Yearly Pension'!X$2,'Credited Service'!$G$1:$BC$80,$A32+1,FALSE)) * (IF($B32=500, (Assumptions!$B$7)*12, IF((HLOOKUP(X$2,Earnings!$G$2:$BC$81,('Yearly Pension'!$A32)+1, FALSE)) &gt; X$1, (Assumptions!$B$8)*(X$1) + (Assumptions!$B$9)*MAX(0,  (HLOOKUP(X$2,Earnings!$G$2:$BC$81,('Yearly Pension'!$A32)+1, FALSE)) - X$1), ((Assumptions!$B$8)*'Yearly Pension'!X$1))))</f>
        <v>0</v>
      </c>
      <c r="Y32" s="6">
        <f>(HLOOKUP('Yearly Pension'!Y$2,'Credited Service'!$G$1:$BC$80,$A32+1,FALSE)) * (IF($B32=500, (Assumptions!$B$7)*12, IF((HLOOKUP(Y$2,Earnings!$G$2:$BC$81,('Yearly Pension'!$A32)+1, FALSE)) &gt; Y$1, (Assumptions!$B$8)*(Y$1) + (Assumptions!$B$9)*MAX(0,  (HLOOKUP(Y$2,Earnings!$G$2:$BC$81,('Yearly Pension'!$A32)+1, FALSE)) - Y$1), ((Assumptions!$B$8)*'Yearly Pension'!Y$1))))</f>
        <v>0</v>
      </c>
      <c r="Z32" s="6">
        <f>(HLOOKUP('Yearly Pension'!Z$2,'Credited Service'!$G$1:$BC$80,$A32+1,FALSE)) * (IF($B32=500, (Assumptions!$B$7)*12, IF((HLOOKUP(Z$2,Earnings!$G$2:$BC$81,('Yearly Pension'!$A32)+1, FALSE)) &gt; Z$1, (Assumptions!$B$8)*(Z$1) + (Assumptions!$B$9)*MAX(0,  (HLOOKUP(Z$2,Earnings!$G$2:$BC$81,('Yearly Pension'!$A32)+1, FALSE)) - Z$1), ((Assumptions!$B$8)*'Yearly Pension'!Z$1))))</f>
        <v>0</v>
      </c>
      <c r="AA32" s="6">
        <f>(HLOOKUP('Yearly Pension'!AA$2,'Credited Service'!$G$1:$BC$80,$A32+1,FALSE)) * (IF($B32=500, (Assumptions!$B$7)*12, IF((HLOOKUP(AA$2,Earnings!$G$2:$BC$81,('Yearly Pension'!$A32)+1, FALSE)) &gt; AA$1, (Assumptions!$B$8)*(AA$1) + (Assumptions!$B$9)*MAX(0,  (HLOOKUP(AA$2,Earnings!$G$2:$BC$81,('Yearly Pension'!$A32)+1, FALSE)) - AA$1), ((Assumptions!$B$8)*'Yearly Pension'!AA$1))))</f>
        <v>0</v>
      </c>
      <c r="AB32" s="6">
        <f>(HLOOKUP('Yearly Pension'!AB$2,'Credited Service'!$G$1:$BC$80,$A32+1,FALSE)) * (IF($B32=500, (Assumptions!$B$7)*12, IF((HLOOKUP(AB$2,Earnings!$G$2:$BC$81,('Yearly Pension'!$A32)+1, FALSE)) &gt; AB$1, (Assumptions!$B$8)*(AB$1) + (Assumptions!$B$9)*MAX(0,  (HLOOKUP(AB$2,Earnings!$G$2:$BC$81,('Yearly Pension'!$A32)+1, FALSE)) - AB$1), ((Assumptions!$B$8)*'Yearly Pension'!AB$1))))</f>
        <v>0</v>
      </c>
      <c r="AC32" s="6">
        <f>(HLOOKUP('Yearly Pension'!AC$2,'Credited Service'!$G$1:$BC$80,$A32+1,FALSE)) * (IF($B32=500, (Assumptions!$B$7)*12, IF((HLOOKUP(AC$2,Earnings!$G$2:$BC$81,('Yearly Pension'!$A32)+1, FALSE)) &gt; AC$1, (Assumptions!$B$8)*(AC$1) + (Assumptions!$B$9)*MAX(0,  (HLOOKUP(AC$2,Earnings!$G$2:$BC$81,('Yearly Pension'!$A32)+1, FALSE)) - AC$1), ((Assumptions!$B$8)*'Yearly Pension'!AC$1))))</f>
        <v>0</v>
      </c>
      <c r="AD32" s="6">
        <f>(HLOOKUP('Yearly Pension'!AD$2,'Credited Service'!$G$1:$BC$80,$A32+1,FALSE)) * (IF($B32=500, (Assumptions!$B$7)*12, IF((HLOOKUP(AD$2,Earnings!$G$2:$BC$81,('Yearly Pension'!$A32)+1, FALSE)) &gt; AD$1, (Assumptions!$B$8)*(AD$1) + (Assumptions!$B$9)*MAX(0,  (HLOOKUP(AD$2,Earnings!$G$2:$BC$81,('Yearly Pension'!$A32)+1, FALSE)) - AD$1), ((Assumptions!$B$8)*'Yearly Pension'!AD$1))))</f>
        <v>0</v>
      </c>
      <c r="AE32" s="6">
        <f>(HLOOKUP('Yearly Pension'!AE$2,'Credited Service'!$G$1:$BC$80,$A32+1,FALSE)) * (IF($B32=500, (Assumptions!$B$7)*12, IF((HLOOKUP(AE$2,Earnings!$G$2:$BC$81,('Yearly Pension'!$A32)+1, FALSE)) &gt; AE$1, (Assumptions!$B$8)*(AE$1) + (Assumptions!$B$9)*MAX(0,  (HLOOKUP(AE$2,Earnings!$G$2:$BC$81,('Yearly Pension'!$A32)+1, FALSE)) - AE$1), ((Assumptions!$B$8)*'Yearly Pension'!AE$1))))</f>
        <v>0</v>
      </c>
      <c r="AF32" s="6">
        <f>(HLOOKUP('Yearly Pension'!AF$2,'Credited Service'!$G$1:$BC$80,$A32+1,FALSE)) * (IF($B32=500, (Assumptions!$B$7)*12, IF((HLOOKUP(AF$2,Earnings!$G$2:$BC$81,('Yearly Pension'!$A32)+1, FALSE)) &gt; AF$1, (Assumptions!$B$8)*(AF$1) + (Assumptions!$B$9)*MAX(0,  (HLOOKUP(AF$2,Earnings!$G$2:$BC$81,('Yearly Pension'!$A32)+1, FALSE)) - AF$1), ((Assumptions!$B$8)*'Yearly Pension'!AF$1))))</f>
        <v>0</v>
      </c>
      <c r="AG32" s="6">
        <f>(HLOOKUP('Yearly Pension'!AG$2,'Credited Service'!$G$1:$BC$80,$A32+1,FALSE)) * (IF($B32=500, (Assumptions!$B$7)*12, IF((HLOOKUP(AG$2,Earnings!$G$2:$BC$81,('Yearly Pension'!$A32)+1, FALSE)) &gt; AG$1, (Assumptions!$B$8)*(AG$1) + (Assumptions!$B$9)*MAX(0,  (HLOOKUP(AG$2,Earnings!$G$2:$BC$81,('Yearly Pension'!$A32)+1, FALSE)) - AG$1), ((Assumptions!$B$8)*'Yearly Pension'!AG$1))))</f>
        <v>627.76184011472628</v>
      </c>
      <c r="AH32" s="6">
        <f>(HLOOKUP('Yearly Pension'!AH$2,'Credited Service'!$G$1:$BC$80,$A32+1,FALSE)) * (IF($B32=500, (Assumptions!$B$7)*12, IF((HLOOKUP(AH$2,Earnings!$G$2:$BC$81,('Yearly Pension'!$A32)+1, FALSE)) &gt; AH$1, (Assumptions!$B$8)*(AH$1) + (Assumptions!$B$9)*MAX(0,  (HLOOKUP(AH$2,Earnings!$G$2:$BC$81,('Yearly Pension'!$A32)+1, FALSE)) - AH$1), ((Assumptions!$B$8)*'Yearly Pension'!AH$1))))</f>
        <v>718.59874223925317</v>
      </c>
      <c r="AI32" s="6">
        <f>(HLOOKUP('Yearly Pension'!AI$2,'Credited Service'!$G$1:$BC$80,$A32+1,FALSE)) * (IF($B32=500, (Assumptions!$B$7)*12, IF((HLOOKUP(AI$2,Earnings!$G$2:$BC$81,('Yearly Pension'!$A32)+1, FALSE)) &gt; AI$1, (Assumptions!$B$8)*(AI$1) + (Assumptions!$B$9)*MAX(0,  (HLOOKUP(AI$2,Earnings!$G$2:$BC$81,('Yearly Pension'!$A32)+1, FALSE)) - AI$1), ((Assumptions!$B$8)*'Yearly Pension'!AI$1))))</f>
        <v>753.87069192882325</v>
      </c>
      <c r="AJ32" s="6">
        <f>(HLOOKUP('Yearly Pension'!AJ$2,'Credited Service'!$G$1:$BC$80,$A32+1,FALSE)) * (IF($B32=500, (Assumptions!$B$7)*12, IF((HLOOKUP(AJ$2,Earnings!$G$2:$BC$81,('Yearly Pension'!$A32)+1, FALSE)) &gt; AJ$1, (Assumptions!$B$8)*(AJ$1) + (Assumptions!$B$9)*MAX(0,  (HLOOKUP(AJ$2,Earnings!$G$2:$BC$81,('Yearly Pension'!$A32)+1, FALSE)) - AJ$1), ((Assumptions!$B$8)*'Yearly Pension'!AJ$1))))</f>
        <v>788.14711960597629</v>
      </c>
      <c r="AK32" s="6">
        <f>(HLOOKUP('Yearly Pension'!AK$2,'Credited Service'!$G$1:$BC$80,$A32+1,FALSE)) * (IF($B32=500, (Assumptions!$B$7)*12, IF((HLOOKUP(AK$2,Earnings!$G$2:$BC$81,('Yearly Pension'!$A32)+1, FALSE)) &gt; AK$1, (Assumptions!$B$8)*(AK$1) + (Assumptions!$B$9)*MAX(0,  (HLOOKUP(AK$2,Earnings!$G$2:$BC$81,('Yearly Pension'!$A32)+1, FALSE)) - AK$1), ((Assumptions!$B$8)*'Yearly Pension'!AK$1))))</f>
        <v>820.21060439021539</v>
      </c>
      <c r="AL32" s="6">
        <f>(HLOOKUP('Yearly Pension'!AL$2,'Credited Service'!$G$1:$BC$80,$A32+1,FALSE)) * (IF($B32=500, (Assumptions!$B$7)*12, IF((HLOOKUP(AL$2,Earnings!$G$2:$BC$81,('Yearly Pension'!$A32)+1, FALSE)) &gt; AL$1, (Assumptions!$B$8)*(AL$1) + (Assumptions!$B$9)*MAX(0,  (HLOOKUP(AL$2,Earnings!$G$2:$BC$81,('Yearly Pension'!$A32)+1, FALSE)) - AL$1), ((Assumptions!$B$8)*'Yearly Pension'!AL$1))))</f>
        <v>856.52622856582411</v>
      </c>
      <c r="AM32" s="6">
        <f>(HLOOKUP('Yearly Pension'!AM$2,'Credited Service'!$G$1:$BC$80,$A32+1,FALSE)) * (IF($B32=500, (Assumptions!$B$7)*12, IF((HLOOKUP(AM$2,Earnings!$G$2:$BC$81,('Yearly Pension'!$A32)+1, FALSE)) &gt; AM$1, (Assumptions!$B$8)*(AM$1) + (Assumptions!$B$9)*MAX(0,  (HLOOKUP(AM$2,Earnings!$G$2:$BC$81,('Yearly Pension'!$A32)+1, FALSE)) - AM$1), ((Assumptions!$B$8)*'Yearly Pension'!AM$1))))</f>
        <v>893.32167770845717</v>
      </c>
      <c r="AN32" s="6">
        <f>(HLOOKUP('Yearly Pension'!AN$2,'Credited Service'!$G$1:$BC$80,$A32+1,FALSE)) * (IF($B32=500, (Assumptions!$B$7)*12, IF((HLOOKUP(AN$2,Earnings!$G$2:$BC$81,('Yearly Pension'!$A32)+1, FALSE)) &gt; AN$1, (Assumptions!$B$8)*(AN$1) + (Assumptions!$B$9)*MAX(0,  (HLOOKUP(AN$2,Earnings!$G$2:$BC$81,('Yearly Pension'!$A32)+1, FALSE)) - AN$1), ((Assumptions!$B$8)*'Yearly Pension'!AN$1))))</f>
        <v>935.14734481679557</v>
      </c>
      <c r="AO32" s="6">
        <f>(HLOOKUP('Yearly Pension'!AO$2,'Credited Service'!$G$1:$BC$80,$A32+1,FALSE)) * (IF($B32=500, (Assumptions!$B$7)*12, IF((HLOOKUP(AO$2,Earnings!$G$2:$BC$81,('Yearly Pension'!$A32)+1, FALSE)) &gt; AO$1, (Assumptions!$B$8)*(AO$1) + (Assumptions!$B$9)*MAX(0,  (HLOOKUP(AO$2,Earnings!$G$2:$BC$81,('Yearly Pension'!$A32)+1, FALSE)) - AO$1), ((Assumptions!$B$8)*'Yearly Pension'!AO$1))))</f>
        <v>977.59643860946744</v>
      </c>
      <c r="AP32" s="6">
        <f>(HLOOKUP('Yearly Pension'!AP$2,'Credited Service'!$G$1:$BC$80,$A32+1,FALSE)) * (IF($B32=500, (Assumptions!$B$7)*12, IF((HLOOKUP(AP$2,Earnings!$G$2:$BC$81,('Yearly Pension'!$A32)+1, FALSE)) &gt; AP$1, (Assumptions!$B$8)*(AP$1) + (Assumptions!$B$9)*MAX(0,  (HLOOKUP(AP$2,Earnings!$G$2:$BC$81,('Yearly Pension'!$A32)+1, FALSE)) - AP$1), ((Assumptions!$B$8)*'Yearly Pension'!AP$1))))</f>
        <v>1017.5450961538463</v>
      </c>
      <c r="AQ32" s="6">
        <f>(HLOOKUP('Yearly Pension'!AQ$2,'Credited Service'!$G$1:$BC$80,$A32+1,FALSE)) * (IF($B32=500, (Assumptions!$B$7)*12, IF((HLOOKUP(AQ$2,Earnings!$G$2:$BC$81,('Yearly Pension'!$A32)+1, FALSE)) &gt; AQ$1, (Assumptions!$B$8)*(AQ$1) + (Assumptions!$B$9)*MAX(0,  (HLOOKUP(AQ$2,Earnings!$G$2:$BC$81,('Yearly Pension'!$A32)+1, FALSE)) - AQ$1), ((Assumptions!$B$8)*'Yearly Pension'!AQ$1))))</f>
        <v>1064.6724999999999</v>
      </c>
      <c r="AR32" s="6">
        <f>(HLOOKUP('Yearly Pension'!AR$2,'Credited Service'!$G$1:$BC$80,$A32+1,FALSE)) * (IF($B32=500, (Assumptions!$B$7)*12, IF((HLOOKUP(AR$2,Earnings!$G$2:$BC$81,('Yearly Pension'!$A32)+1, FALSE)) &gt; AR$1, (Assumptions!$B$8)*(AR$1) + (Assumptions!$B$9)*MAX(0,  (HLOOKUP(AR$2,Earnings!$G$2:$BC$81,('Yearly Pension'!$A32)+1, FALSE)) - AR$1), ((Assumptions!$B$8)*'Yearly Pension'!AR$1))))</f>
        <v>1111.3810000000001</v>
      </c>
      <c r="AS32" s="6">
        <f>(HLOOKUP('Yearly Pension'!AS$2,'Credited Service'!$G$1:$BC$80,$A32+1,FALSE)) * (IF($B32=500, (Assumptions!$B$7)*12, IF((HLOOKUP(AS$2,Earnings!$G$2:$BC$81,('Yearly Pension'!$A32)+1, FALSE)) &gt; AS$1, (Assumptions!$B$8)*(AS$1) + (Assumptions!$B$9)*MAX(0,  (HLOOKUP(AS$2,Earnings!$G$2:$BC$81,('Yearly Pension'!$A32)+1, FALSE)) - AS$1), ((Assumptions!$B$8)*'Yearly Pension'!AS$1))))</f>
        <v>1147.7624300000002</v>
      </c>
      <c r="AT32" s="6">
        <f>(HLOOKUP('Yearly Pension'!AT$2,'Credited Service'!$G$1:$BC$80,$A32+1,FALSE)) * (IF($B32=500, (Assumptions!$B$7)*12, IF((HLOOKUP(AT$2,Earnings!$G$2:$BC$81,('Yearly Pension'!$A32)+1, FALSE)) &gt; AT$1, (Assumptions!$B$8)*(AT$1) + (Assumptions!$B$9)*MAX(0,  (HLOOKUP(AT$2,Earnings!$G$2:$BC$81,('Yearly Pension'!$A32)+1, FALSE)) - AT$1), ((Assumptions!$B$8)*'Yearly Pension'!AT$1))))</f>
        <v>1184.1665029000001</v>
      </c>
      <c r="AU32" s="6">
        <f>(HLOOKUP('Yearly Pension'!AU$2,'Credited Service'!$G$1:$BC$80,$A32+1,FALSE)) * (IF($B32=500, (Assumptions!$B$7)*12, IF((HLOOKUP(AU$2,Earnings!$G$2:$BC$81,('Yearly Pension'!$A32)+1, FALSE)) &gt; AU$1, (Assumptions!$B$8)*(AU$1) + (Assumptions!$B$9)*MAX(0,  (HLOOKUP(AU$2,Earnings!$G$2:$BC$81,('Yearly Pension'!$A32)+1, FALSE)) - AU$1), ((Assumptions!$B$8)*'Yearly Pension'!AU$1))))</f>
        <v>1227.6722979870001</v>
      </c>
      <c r="AV32" s="6">
        <f>(HLOOKUP('Yearly Pension'!AV$2,'Credited Service'!$G$1:$BC$80,$A32+1,FALSE)) * (IF($B32=500, (Assumptions!$B$7)*12, IF((HLOOKUP(AV$2,Earnings!$G$2:$BC$81,('Yearly Pension'!$A32)+1, FALSE)) &gt; AV$1, (Assumptions!$B$8)*(AV$1) + (Assumptions!$B$9)*MAX(0,  (HLOOKUP(AV$2,Earnings!$G$2:$BC$81,('Yearly Pension'!$A32)+1, FALSE)) - AV$1), ((Assumptions!$B$8)*'Yearly Pension'!AV$1))))</f>
        <v>1271.2800669266103</v>
      </c>
      <c r="AW32" s="6">
        <f>(HLOOKUP('Yearly Pension'!AW$2,'Credited Service'!$G$1:$BC$80,$A32+1,FALSE)) * (IF($B32=500, (Assumptions!$B$7)*12, IF((HLOOKUP(AW$2,Earnings!$G$2:$BC$81,('Yearly Pension'!$A32)+1, FALSE)) &gt; AW$1, (Assumptions!$B$8)*(AW$1) + (Assumptions!$B$9)*MAX(0,  (HLOOKUP(AW$2,Earnings!$G$2:$BC$81,('Yearly Pension'!$A32)+1, FALSE)) - AW$1), ((Assumptions!$B$8)*'Yearly Pension'!AW$1))))</f>
        <v>1310.5512689344087</v>
      </c>
      <c r="AX32" s="6">
        <f>(HLOOKUP('Yearly Pension'!AX$2,'Credited Service'!$G$1:$BC$80,$A32+1,FALSE)) * (IF($B32=500, (Assumptions!$B$7)*12, IF((HLOOKUP(AX$2,Earnings!$G$2:$BC$81,('Yearly Pension'!$A32)+1, FALSE)) &gt; AX$1, (Assumptions!$B$8)*(AX$1) + (Assumptions!$B$9)*MAX(0,  (HLOOKUP(AX$2,Earnings!$G$2:$BC$81,('Yearly Pension'!$A32)+1, FALSE)) - AX$1), ((Assumptions!$B$8)*'Yearly Pension'!AX$1))))</f>
        <v>1346.1942070024411</v>
      </c>
      <c r="AY32" s="6">
        <f>(HLOOKUP('Yearly Pension'!AY$2,'Credited Service'!$G$1:$BC$80,$A32+1,FALSE)) * (IF($B32=500, (Assumptions!$B$7)*12, IF((HLOOKUP(AY$2,Earnings!$G$2:$BC$81,('Yearly Pension'!$A32)+1, FALSE)) &gt; AY$1, (Assumptions!$B$8)*(AY$1) + (Assumptions!$B$9)*MAX(0,  (HLOOKUP(AY$2,Earnings!$G$2:$BC$81,('Yearly Pension'!$A32)+1, FALSE)) - AY$1), ((Assumptions!$B$8)*'Yearly Pension'!AY$1))))</f>
        <v>1382.7594892125144</v>
      </c>
      <c r="AZ32" s="6">
        <f>(HLOOKUP('Yearly Pension'!AZ$2,'Credited Service'!$G$1:$BC$80,$A32+1,FALSE)) * (IF($B32=500, (Assumptions!$B$7)*12, IF((HLOOKUP(AZ$2,Earnings!$G$2:$BC$81,('Yearly Pension'!$A32)+1, FALSE)) &gt; AZ$1, (Assumptions!$B$8)*(AZ$1) + (Assumptions!$B$9)*MAX(0,  (HLOOKUP(AZ$2,Earnings!$G$2:$BC$81,('Yearly Pension'!$A32)+1, FALSE)) - AZ$1), ((Assumptions!$B$8)*'Yearly Pension'!AZ$1))))</f>
        <v>1420.26890812889</v>
      </c>
      <c r="BA32" s="6">
        <f>(HLOOKUP('Yearly Pension'!BA$2,'Credited Service'!$G$1:$BC$80,$A32+1,FALSE)) * (IF($B32=500, (Assumptions!$B$7)*12, IF((HLOOKUP(BA$2,Earnings!$G$2:$BC$81,('Yearly Pension'!$A32)+1, FALSE)) &gt; BA$1, (Assumptions!$B$8)*(BA$1) + (Assumptions!$B$9)*MAX(0,  (HLOOKUP(BA$2,Earnings!$G$2:$BC$81,('Yearly Pension'!$A32)+1, FALSE)) - BA$1), ((Assumptions!$B$8)*'Yearly Pension'!BA$1))))</f>
        <v>1458.7446749823566</v>
      </c>
      <c r="BB32" s="6">
        <f>(HLOOKUP('Yearly Pension'!BB$2,'Credited Service'!$G$1:$BC$80,$A32+1,FALSE)) * (IF($B32=500, (Assumptions!$B$7)*12, IF((HLOOKUP(BB$2,Earnings!$G$2:$BC$81,('Yearly Pension'!$A32)+1, FALSE)) &gt; BB$1, (Assumptions!$B$8)*(BB$1) + (Assumptions!$B$9)*MAX(0,  (HLOOKUP(BB$2,Earnings!$G$2:$BC$81,('Yearly Pension'!$A32)+1, FALSE)) - BB$1), ((Assumptions!$B$8)*'Yearly Pension'!BB$1))))</f>
        <v>1498.2094228258113</v>
      </c>
      <c r="BC32" s="6">
        <f>(HLOOKUP('Yearly Pension'!BC$2,'Credited Service'!$G$1:$BC$80,$A32+1,FALSE)) * (IF($B32=500, (Assumptions!$B$7)*12, IF((HLOOKUP(BC$2,Earnings!$G$2:$BC$81,('Yearly Pension'!$A32)+1, FALSE)) &gt; BC$1, (Assumptions!$B$8)*(BC$1) + (Assumptions!$B$9)*MAX(0,  (HLOOKUP(BC$2,Earnings!$G$2:$BC$81,('Yearly Pension'!$A32)+1, FALSE)) - BC$1), ((Assumptions!$B$8)*'Yearly Pension'!BC$1))))</f>
        <v>1538.686209408329</v>
      </c>
    </row>
    <row r="33" spans="1:55" x14ac:dyDescent="0.25">
      <c r="A33" s="204">
        <v>31</v>
      </c>
      <c r="B33" s="1">
        <v>600</v>
      </c>
      <c r="C33" s="1">
        <v>747</v>
      </c>
      <c r="D33" s="3">
        <v>37313</v>
      </c>
      <c r="E33" s="3">
        <v>48122</v>
      </c>
      <c r="G33" s="6">
        <f>(HLOOKUP('Yearly Pension'!G$2,'Credited Service'!$G$1:$BC$80,$A33+1,FALSE)) * (IF($B33=500, (Assumptions!$B$7)*12, IF((HLOOKUP(G$2,Earnings!$G$2:$BC$81,('Yearly Pension'!$A33)+1, FALSE)) &gt; G$1, (Assumptions!$B$8)*(G$1) + (Assumptions!$B$9)*MAX(0,  (HLOOKUP(G$2,Earnings!$G$2:$BC$81,('Yearly Pension'!$A33)+1, FALSE)) - G$1), ((Assumptions!$B$8)*'Yearly Pension'!G$1))))</f>
        <v>0</v>
      </c>
      <c r="H33" s="6">
        <f>(HLOOKUP('Yearly Pension'!H$2,'Credited Service'!$G$1:$BC$80,$A33+1,FALSE)) * (IF($B33=500, (Assumptions!$B$7)*12, IF((HLOOKUP(H$2,Earnings!$G$2:$BC$81,('Yearly Pension'!$A33)+1, FALSE)) &gt; H$1, (Assumptions!$B$8)*(H$1) + (Assumptions!$B$9)*MAX(0,  (HLOOKUP(H$2,Earnings!$G$2:$BC$81,('Yearly Pension'!$A33)+1, FALSE)) - H$1), ((Assumptions!$B$8)*'Yearly Pension'!H$1))))</f>
        <v>0</v>
      </c>
      <c r="I33" s="6">
        <f>(HLOOKUP('Yearly Pension'!I$2,'Credited Service'!$G$1:$BC$80,$A33+1,FALSE)) * (IF($B33=500, (Assumptions!$B$7)*12, IF((HLOOKUP(I$2,Earnings!$G$2:$BC$81,('Yearly Pension'!$A33)+1, FALSE)) &gt; I$1, (Assumptions!$B$8)*(I$1) + (Assumptions!$B$9)*MAX(0,  (HLOOKUP(I$2,Earnings!$G$2:$BC$81,('Yearly Pension'!$A33)+1, FALSE)) - I$1), ((Assumptions!$B$8)*'Yearly Pension'!I$1))))</f>
        <v>0</v>
      </c>
      <c r="J33" s="6">
        <f>(HLOOKUP('Yearly Pension'!J$2,'Credited Service'!$G$1:$BC$80,$A33+1,FALSE)) * (IF($B33=500, (Assumptions!$B$7)*12, IF((HLOOKUP(J$2,Earnings!$G$2:$BC$81,('Yearly Pension'!$A33)+1, FALSE)) &gt; J$1, (Assumptions!$B$8)*(J$1) + (Assumptions!$B$9)*MAX(0,  (HLOOKUP(J$2,Earnings!$G$2:$BC$81,('Yearly Pension'!$A33)+1, FALSE)) - J$1), ((Assumptions!$B$8)*'Yearly Pension'!J$1))))</f>
        <v>0</v>
      </c>
      <c r="K33" s="6">
        <f>(HLOOKUP('Yearly Pension'!K$2,'Credited Service'!$G$1:$BC$80,$A33+1,FALSE)) * (IF($B33=500, (Assumptions!$B$7)*12, IF((HLOOKUP(K$2,Earnings!$G$2:$BC$81,('Yearly Pension'!$A33)+1, FALSE)) &gt; K$1, (Assumptions!$B$8)*(K$1) + (Assumptions!$B$9)*MAX(0,  (HLOOKUP(K$2,Earnings!$G$2:$BC$81,('Yearly Pension'!$A33)+1, FALSE)) - K$1), ((Assumptions!$B$8)*'Yearly Pension'!K$1))))</f>
        <v>0</v>
      </c>
      <c r="L33" s="6">
        <f>(HLOOKUP('Yearly Pension'!L$2,'Credited Service'!$G$1:$BC$80,$A33+1,FALSE)) * (IF($B33=500, (Assumptions!$B$7)*12, IF((HLOOKUP(L$2,Earnings!$G$2:$BC$81,('Yearly Pension'!$A33)+1, FALSE)) &gt; L$1, (Assumptions!$B$8)*(L$1) + (Assumptions!$B$9)*MAX(0,  (HLOOKUP(L$2,Earnings!$G$2:$BC$81,('Yearly Pension'!$A33)+1, FALSE)) - L$1), ((Assumptions!$B$8)*'Yearly Pension'!L$1))))</f>
        <v>0</v>
      </c>
      <c r="M33" s="6">
        <f>(HLOOKUP('Yearly Pension'!M$2,'Credited Service'!$G$1:$BC$80,$A33+1,FALSE)) * (IF($B33=500, (Assumptions!$B$7)*12, IF((HLOOKUP(M$2,Earnings!$G$2:$BC$81,('Yearly Pension'!$A33)+1, FALSE)) &gt; M$1, (Assumptions!$B$8)*(M$1) + (Assumptions!$B$9)*MAX(0,  (HLOOKUP(M$2,Earnings!$G$2:$BC$81,('Yearly Pension'!$A33)+1, FALSE)) - M$1), ((Assumptions!$B$8)*'Yearly Pension'!M$1))))</f>
        <v>0</v>
      </c>
      <c r="N33" s="6">
        <f>(HLOOKUP('Yearly Pension'!N$2,'Credited Service'!$G$1:$BC$80,$A33+1,FALSE)) * (IF($B33=500, (Assumptions!$B$7)*12, IF((HLOOKUP(N$2,Earnings!$G$2:$BC$81,('Yearly Pension'!$A33)+1, FALSE)) &gt; N$1, (Assumptions!$B$8)*(N$1) + (Assumptions!$B$9)*MAX(0,  (HLOOKUP(N$2,Earnings!$G$2:$BC$81,('Yearly Pension'!$A33)+1, FALSE)) - N$1), ((Assumptions!$B$8)*'Yearly Pension'!N$1))))</f>
        <v>0</v>
      </c>
      <c r="O33" s="6">
        <f>(HLOOKUP('Yearly Pension'!O$2,'Credited Service'!$G$1:$BC$80,$A33+1,FALSE)) * (IF($B33=500, (Assumptions!$B$7)*12, IF((HLOOKUP(O$2,Earnings!$G$2:$BC$81,('Yearly Pension'!$A33)+1, FALSE)) &gt; O$1, (Assumptions!$B$8)*(O$1) + (Assumptions!$B$9)*MAX(0,  (HLOOKUP(O$2,Earnings!$G$2:$BC$81,('Yearly Pension'!$A33)+1, FALSE)) - O$1), ((Assumptions!$B$8)*'Yearly Pension'!O$1))))</f>
        <v>0</v>
      </c>
      <c r="P33" s="6">
        <f>(HLOOKUP('Yearly Pension'!P$2,'Credited Service'!$G$1:$BC$80,$A33+1,FALSE)) * (IF($B33=500, (Assumptions!$B$7)*12, IF((HLOOKUP(P$2,Earnings!$G$2:$BC$81,('Yearly Pension'!$A33)+1, FALSE)) &gt; P$1, (Assumptions!$B$8)*(P$1) + (Assumptions!$B$9)*MAX(0,  (HLOOKUP(P$2,Earnings!$G$2:$BC$81,('Yearly Pension'!$A33)+1, FALSE)) - P$1), ((Assumptions!$B$8)*'Yearly Pension'!P$1))))</f>
        <v>0</v>
      </c>
      <c r="Q33" s="6">
        <f>(HLOOKUP('Yearly Pension'!Q$2,'Credited Service'!$G$1:$BC$80,$A33+1,FALSE)) * (IF($B33=500, (Assumptions!$B$7)*12, IF((HLOOKUP(Q$2,Earnings!$G$2:$BC$81,('Yearly Pension'!$A33)+1, FALSE)) &gt; Q$1, (Assumptions!$B$8)*(Q$1) + (Assumptions!$B$9)*MAX(0,  (HLOOKUP(Q$2,Earnings!$G$2:$BC$81,('Yearly Pension'!$A33)+1, FALSE)) - Q$1), ((Assumptions!$B$8)*'Yearly Pension'!Q$1))))</f>
        <v>0</v>
      </c>
      <c r="R33" s="6">
        <f>(HLOOKUP('Yearly Pension'!R$2,'Credited Service'!$G$1:$BC$80,$A33+1,FALSE)) * (IF($B33=500, (Assumptions!$B$7)*12, IF((HLOOKUP(R$2,Earnings!$G$2:$BC$81,('Yearly Pension'!$A33)+1, FALSE)) &gt; R$1, (Assumptions!$B$8)*(R$1) + (Assumptions!$B$9)*MAX(0,  (HLOOKUP(R$2,Earnings!$G$2:$BC$81,('Yearly Pension'!$A33)+1, FALSE)) - R$1), ((Assumptions!$B$8)*'Yearly Pension'!R$1))))</f>
        <v>0</v>
      </c>
      <c r="S33" s="6">
        <f>(HLOOKUP('Yearly Pension'!S$2,'Credited Service'!$G$1:$BC$80,$A33+1,FALSE)) * (IF($B33=500, (Assumptions!$B$7)*12, IF((HLOOKUP(S$2,Earnings!$G$2:$BC$81,('Yearly Pension'!$A33)+1, FALSE)) &gt; S$1, (Assumptions!$B$8)*(S$1) + (Assumptions!$B$9)*MAX(0,  (HLOOKUP(S$2,Earnings!$G$2:$BC$81,('Yearly Pension'!$A33)+1, FALSE)) - S$1), ((Assumptions!$B$8)*'Yearly Pension'!S$1))))</f>
        <v>0</v>
      </c>
      <c r="T33" s="6">
        <f>(HLOOKUP('Yearly Pension'!T$2,'Credited Service'!$G$1:$BC$80,$A33+1,FALSE)) * (IF($B33=500, (Assumptions!$B$7)*12, IF((HLOOKUP(T$2,Earnings!$G$2:$BC$81,('Yearly Pension'!$A33)+1, FALSE)) &gt; T$1, (Assumptions!$B$8)*(T$1) + (Assumptions!$B$9)*MAX(0,  (HLOOKUP(T$2,Earnings!$G$2:$BC$81,('Yearly Pension'!$A33)+1, FALSE)) - T$1), ((Assumptions!$B$8)*'Yearly Pension'!T$1))))</f>
        <v>0</v>
      </c>
      <c r="U33" s="6">
        <f>(HLOOKUP('Yearly Pension'!U$2,'Credited Service'!$G$1:$BC$80,$A33+1,FALSE)) * (IF($B33=500, (Assumptions!$B$7)*12, IF((HLOOKUP(U$2,Earnings!$G$2:$BC$81,('Yearly Pension'!$A33)+1, FALSE)) &gt; U$1, (Assumptions!$B$8)*(U$1) + (Assumptions!$B$9)*MAX(0,  (HLOOKUP(U$2,Earnings!$G$2:$BC$81,('Yearly Pension'!$A33)+1, FALSE)) - U$1), ((Assumptions!$B$8)*'Yearly Pension'!U$1))))</f>
        <v>0</v>
      </c>
      <c r="V33" s="6">
        <f>(HLOOKUP('Yearly Pension'!V$2,'Credited Service'!$G$1:$BC$80,$A33+1,FALSE)) * (IF($B33=500, (Assumptions!$B$7)*12, IF((HLOOKUP(V$2,Earnings!$G$2:$BC$81,('Yearly Pension'!$A33)+1, FALSE)) &gt; V$1, (Assumptions!$B$8)*(V$1) + (Assumptions!$B$9)*MAX(0,  (HLOOKUP(V$2,Earnings!$G$2:$BC$81,('Yearly Pension'!$A33)+1, FALSE)) - V$1), ((Assumptions!$B$8)*'Yearly Pension'!V$1))))</f>
        <v>0</v>
      </c>
      <c r="W33" s="6">
        <f>(HLOOKUP('Yearly Pension'!W$2,'Credited Service'!$G$1:$BC$80,$A33+1,FALSE)) * (IF($B33=500, (Assumptions!$B$7)*12, IF((HLOOKUP(W$2,Earnings!$G$2:$BC$81,('Yearly Pension'!$A33)+1, FALSE)) &gt; W$1, (Assumptions!$B$8)*(W$1) + (Assumptions!$B$9)*MAX(0,  (HLOOKUP(W$2,Earnings!$G$2:$BC$81,('Yearly Pension'!$A33)+1, FALSE)) - W$1), ((Assumptions!$B$8)*'Yearly Pension'!W$1))))</f>
        <v>0</v>
      </c>
      <c r="X33" s="6">
        <f>(HLOOKUP('Yearly Pension'!X$2,'Credited Service'!$G$1:$BC$80,$A33+1,FALSE)) * (IF($B33=500, (Assumptions!$B$7)*12, IF((HLOOKUP(X$2,Earnings!$G$2:$BC$81,('Yearly Pension'!$A33)+1, FALSE)) &gt; X$1, (Assumptions!$B$8)*(X$1) + (Assumptions!$B$9)*MAX(0,  (HLOOKUP(X$2,Earnings!$G$2:$BC$81,('Yearly Pension'!$A33)+1, FALSE)) - X$1), ((Assumptions!$B$8)*'Yearly Pension'!X$1))))</f>
        <v>0</v>
      </c>
      <c r="Y33" s="6">
        <f>(HLOOKUP('Yearly Pension'!Y$2,'Credited Service'!$G$1:$BC$80,$A33+1,FALSE)) * (IF($B33=500, (Assumptions!$B$7)*12, IF((HLOOKUP(Y$2,Earnings!$G$2:$BC$81,('Yearly Pension'!$A33)+1, FALSE)) &gt; Y$1, (Assumptions!$B$8)*(Y$1) + (Assumptions!$B$9)*MAX(0,  (HLOOKUP(Y$2,Earnings!$G$2:$BC$81,('Yearly Pension'!$A33)+1, FALSE)) - Y$1), ((Assumptions!$B$8)*'Yearly Pension'!Y$1))))</f>
        <v>0</v>
      </c>
      <c r="Z33" s="6">
        <f>(HLOOKUP('Yearly Pension'!Z$2,'Credited Service'!$G$1:$BC$80,$A33+1,FALSE)) * (IF($B33=500, (Assumptions!$B$7)*12, IF((HLOOKUP(Z$2,Earnings!$G$2:$BC$81,('Yearly Pension'!$A33)+1, FALSE)) &gt; Z$1, (Assumptions!$B$8)*(Z$1) + (Assumptions!$B$9)*MAX(0,  (HLOOKUP(Z$2,Earnings!$G$2:$BC$81,('Yearly Pension'!$A33)+1, FALSE)) - Z$1), ((Assumptions!$B$8)*'Yearly Pension'!Z$1))))</f>
        <v>0</v>
      </c>
      <c r="AA33" s="6">
        <f>(HLOOKUP('Yearly Pension'!AA$2,'Credited Service'!$G$1:$BC$80,$A33+1,FALSE)) * (IF($B33=500, (Assumptions!$B$7)*12, IF((HLOOKUP(AA$2,Earnings!$G$2:$BC$81,('Yearly Pension'!$A33)+1, FALSE)) &gt; AA$1, (Assumptions!$B$8)*(AA$1) + (Assumptions!$B$9)*MAX(0,  (HLOOKUP(AA$2,Earnings!$G$2:$BC$81,('Yearly Pension'!$A33)+1, FALSE)) - AA$1), ((Assumptions!$B$8)*'Yearly Pension'!AA$1))))</f>
        <v>0</v>
      </c>
      <c r="AB33" s="6">
        <f>(HLOOKUP('Yearly Pension'!AB$2,'Credited Service'!$G$1:$BC$80,$A33+1,FALSE)) * (IF($B33=500, (Assumptions!$B$7)*12, IF((HLOOKUP(AB$2,Earnings!$G$2:$BC$81,('Yearly Pension'!$A33)+1, FALSE)) &gt; AB$1, (Assumptions!$B$8)*(AB$1) + (Assumptions!$B$9)*MAX(0,  (HLOOKUP(AB$2,Earnings!$G$2:$BC$81,('Yearly Pension'!$A33)+1, FALSE)) - AB$1), ((Assumptions!$B$8)*'Yearly Pension'!AB$1))))</f>
        <v>0</v>
      </c>
      <c r="AC33" s="6">
        <f>(HLOOKUP('Yearly Pension'!AC$2,'Credited Service'!$G$1:$BC$80,$A33+1,FALSE)) * (IF($B33=500, (Assumptions!$B$7)*12, IF((HLOOKUP(AC$2,Earnings!$G$2:$BC$81,('Yearly Pension'!$A33)+1, FALSE)) &gt; AC$1, (Assumptions!$B$8)*(AC$1) + (Assumptions!$B$9)*MAX(0,  (HLOOKUP(AC$2,Earnings!$G$2:$BC$81,('Yearly Pension'!$A33)+1, FALSE)) - AC$1), ((Assumptions!$B$8)*'Yearly Pension'!AC$1))))</f>
        <v>0</v>
      </c>
      <c r="AD33" s="6">
        <f>(HLOOKUP('Yearly Pension'!AD$2,'Credited Service'!$G$1:$BC$80,$A33+1,FALSE)) * (IF($B33=500, (Assumptions!$B$7)*12, IF((HLOOKUP(AD$2,Earnings!$G$2:$BC$81,('Yearly Pension'!$A33)+1, FALSE)) &gt; AD$1, (Assumptions!$B$8)*(AD$1) + (Assumptions!$B$9)*MAX(0,  (HLOOKUP(AD$2,Earnings!$G$2:$BC$81,('Yearly Pension'!$A33)+1, FALSE)) - AD$1), ((Assumptions!$B$8)*'Yearly Pension'!AD$1))))</f>
        <v>0</v>
      </c>
      <c r="AE33" s="6">
        <f>(HLOOKUP('Yearly Pension'!AE$2,'Credited Service'!$G$1:$BC$80,$A33+1,FALSE)) * (IF($B33=500, (Assumptions!$B$7)*12, IF((HLOOKUP(AE$2,Earnings!$G$2:$BC$81,('Yearly Pension'!$A33)+1, FALSE)) &gt; AE$1, (Assumptions!$B$8)*(AE$1) + (Assumptions!$B$9)*MAX(0,  (HLOOKUP(AE$2,Earnings!$G$2:$BC$81,('Yearly Pension'!$A33)+1, FALSE)) - AE$1), ((Assumptions!$B$8)*'Yearly Pension'!AE$1))))</f>
        <v>0</v>
      </c>
      <c r="AF33" s="6">
        <f>(HLOOKUP('Yearly Pension'!AF$2,'Credited Service'!$G$1:$BC$80,$A33+1,FALSE)) * (IF($B33=500, (Assumptions!$B$7)*12, IF((HLOOKUP(AF$2,Earnings!$G$2:$BC$81,('Yearly Pension'!$A33)+1, FALSE)) &gt; AF$1, (Assumptions!$B$8)*(AF$1) + (Assumptions!$B$9)*MAX(0,  (HLOOKUP(AF$2,Earnings!$G$2:$BC$81,('Yearly Pension'!$A33)+1, FALSE)) - AF$1), ((Assumptions!$B$8)*'Yearly Pension'!AF$1))))</f>
        <v>553.41115005627262</v>
      </c>
      <c r="AG33" s="6">
        <f>(HLOOKUP('Yearly Pension'!AG$2,'Credited Service'!$G$1:$BC$80,$A33+1,FALSE)) * (IF($B33=500, (Assumptions!$B$7)*12, IF((HLOOKUP(AG$2,Earnings!$G$2:$BC$81,('Yearly Pension'!$A33)+1, FALSE)) &gt; AG$1, (Assumptions!$B$8)*(AG$1) + (Assumptions!$B$9)*MAX(0,  (HLOOKUP(AG$2,Earnings!$G$2:$BC$81,('Yearly Pension'!$A33)+1, FALSE)) - AG$1), ((Assumptions!$B$8)*'Yearly Pension'!AG$1))))</f>
        <v>695.54671527022811</v>
      </c>
      <c r="AH33" s="6">
        <f>(HLOOKUP('Yearly Pension'!AH$2,'Credited Service'!$G$1:$BC$80,$A33+1,FALSE)) * (IF($B33=500, (Assumptions!$B$7)*12, IF((HLOOKUP(AH$2,Earnings!$G$2:$BC$81,('Yearly Pension'!$A33)+1, FALSE)) &gt; AH$1, (Assumptions!$B$8)*(AH$1) + (Assumptions!$B$9)*MAX(0,  (HLOOKUP(AH$2,Earnings!$G$2:$BC$81,('Yearly Pension'!$A33)+1, FALSE)) - AH$1), ((Assumptions!$B$8)*'Yearly Pension'!AH$1))))</f>
        <v>729.74298388103739</v>
      </c>
      <c r="AI33" s="6">
        <f>(HLOOKUP('Yearly Pension'!AI$2,'Credited Service'!$G$1:$BC$80,$A33+1,FALSE)) * (IF($B33=500, (Assumptions!$B$7)*12, IF((HLOOKUP(AI$2,Earnings!$G$2:$BC$81,('Yearly Pension'!$A33)+1, FALSE)) &gt; AI$1, (Assumptions!$B$8)*(AI$1) + (Assumptions!$B$9)*MAX(0,  (HLOOKUP(AI$2,Earnings!$G$2:$BC$81,('Yearly Pension'!$A33)+1, FALSE)) - AI$1), ((Assumptions!$B$8)*'Yearly Pension'!AI$1))))</f>
        <v>765.46070323627885</v>
      </c>
      <c r="AJ33" s="6">
        <f>(HLOOKUP('Yearly Pension'!AJ$2,'Credited Service'!$G$1:$BC$80,$A33+1,FALSE)) * (IF($B33=500, (Assumptions!$B$7)*12, IF((HLOOKUP(AJ$2,Earnings!$G$2:$BC$81,('Yearly Pension'!$A33)+1, FALSE)) &gt; AJ$1, (Assumptions!$B$8)*(AJ$1) + (Assumptions!$B$9)*MAX(0,  (HLOOKUP(AJ$2,Earnings!$G$2:$BC$81,('Yearly Pension'!$A33)+1, FALSE)) - AJ$1), ((Assumptions!$B$8)*'Yearly Pension'!AJ$1))))</f>
        <v>800.20073136573012</v>
      </c>
      <c r="AK33" s="6">
        <f>(HLOOKUP('Yearly Pension'!AK$2,'Credited Service'!$G$1:$BC$80,$A33+1,FALSE)) * (IF($B33=500, (Assumptions!$B$7)*12, IF((HLOOKUP(AK$2,Earnings!$G$2:$BC$81,('Yearly Pension'!$A33)+1, FALSE)) &gt; AK$1, (Assumptions!$B$8)*(AK$1) + (Assumptions!$B$9)*MAX(0,  (HLOOKUP(AK$2,Earnings!$G$2:$BC$81,('Yearly Pension'!$A33)+1, FALSE)) - AK$1), ((Assumptions!$B$8)*'Yearly Pension'!AK$1))))</f>
        <v>832.74636062035938</v>
      </c>
      <c r="AL33" s="6">
        <f>(HLOOKUP('Yearly Pension'!AL$2,'Credited Service'!$G$1:$BC$80,$A33+1,FALSE)) * (IF($B33=500, (Assumptions!$B$7)*12, IF((HLOOKUP(AL$2,Earnings!$G$2:$BC$81,('Yearly Pension'!$A33)+1, FALSE)) &gt; AL$1, (Assumptions!$B$8)*(AL$1) + (Assumptions!$B$9)*MAX(0,  (HLOOKUP(AL$2,Earnings!$G$2:$BC$81,('Yearly Pension'!$A33)+1, FALSE)) - AL$1), ((Assumptions!$B$8)*'Yearly Pension'!AL$1))))</f>
        <v>869.56341504517388</v>
      </c>
      <c r="AM33" s="6">
        <f>(HLOOKUP('Yearly Pension'!AM$2,'Credited Service'!$G$1:$BC$80,$A33+1,FALSE)) * (IF($B33=500, (Assumptions!$B$7)*12, IF((HLOOKUP(AM$2,Earnings!$G$2:$BC$81,('Yearly Pension'!$A33)+1, FALSE)) &gt; AM$1, (Assumptions!$B$8)*(AM$1) + (Assumptions!$B$9)*MAX(0,  (HLOOKUP(AM$2,Earnings!$G$2:$BC$81,('Yearly Pension'!$A33)+1, FALSE)) - AM$1), ((Assumptions!$B$8)*'Yearly Pension'!AM$1))))</f>
        <v>906.88035164698078</v>
      </c>
      <c r="AN33" s="6">
        <f>(HLOOKUP('Yearly Pension'!AN$2,'Credited Service'!$G$1:$BC$80,$A33+1,FALSE)) * (IF($B33=500, (Assumptions!$B$7)*12, IF((HLOOKUP(AN$2,Earnings!$G$2:$BC$81,('Yearly Pension'!$A33)+1, FALSE)) &gt; AN$1, (Assumptions!$B$8)*(AN$1) + (Assumptions!$B$9)*MAX(0,  (HLOOKUP(AN$2,Earnings!$G$2:$BC$81,('Yearly Pension'!$A33)+1, FALSE)) - AN$1), ((Assumptions!$B$8)*'Yearly Pension'!AN$1))))</f>
        <v>949.24836571286005</v>
      </c>
      <c r="AO33" s="6">
        <f>(HLOOKUP('Yearly Pension'!AO$2,'Credited Service'!$G$1:$BC$80,$A33+1,FALSE)) * (IF($B33=500, (Assumptions!$B$7)*12, IF((HLOOKUP(AO$2,Earnings!$G$2:$BC$81,('Yearly Pension'!$A33)+1, FALSE)) &gt; AO$1, (Assumptions!$B$8)*(AO$1) + (Assumptions!$B$9)*MAX(0,  (HLOOKUP(AO$2,Earnings!$G$2:$BC$81,('Yearly Pension'!$A33)+1, FALSE)) - AO$1), ((Assumptions!$B$8)*'Yearly Pension'!AO$1))))</f>
        <v>992.26150034137447</v>
      </c>
      <c r="AP33" s="6">
        <f>(HLOOKUP('Yearly Pension'!AP$2,'Credited Service'!$G$1:$BC$80,$A33+1,FALSE)) * (IF($B33=500, (Assumptions!$B$7)*12, IF((HLOOKUP(AP$2,Earnings!$G$2:$BC$81,('Yearly Pension'!$A33)+1, FALSE)) &gt; AP$1, (Assumptions!$B$8)*(AP$1) + (Assumptions!$B$9)*MAX(0,  (HLOOKUP(AP$2,Earnings!$G$2:$BC$81,('Yearly Pension'!$A33)+1, FALSE)) - AP$1), ((Assumptions!$B$8)*'Yearly Pension'!AP$1))))</f>
        <v>1032.7967603550296</v>
      </c>
      <c r="AQ33" s="6">
        <f>(HLOOKUP('Yearly Pension'!AQ$2,'Credited Service'!$G$1:$BC$80,$A33+1,FALSE)) * (IF($B33=500, (Assumptions!$B$7)*12, IF((HLOOKUP(AQ$2,Earnings!$G$2:$BC$81,('Yearly Pension'!$A33)+1, FALSE)) &gt; AQ$1, (Assumptions!$B$8)*(AQ$1) + (Assumptions!$B$9)*MAX(0,  (HLOOKUP(AQ$2,Earnings!$G$2:$BC$81,('Yearly Pension'!$A33)+1, FALSE)) - AQ$1), ((Assumptions!$B$8)*'Yearly Pension'!AQ$1))))</f>
        <v>1080.5342307692306</v>
      </c>
      <c r="AR33" s="6">
        <f>(HLOOKUP('Yearly Pension'!AR$2,'Credited Service'!$G$1:$BC$80,$A33+1,FALSE)) * (IF($B33=500, (Assumptions!$B$7)*12, IF((HLOOKUP(AR$2,Earnings!$G$2:$BC$81,('Yearly Pension'!$A33)+1, FALSE)) &gt; AR$1, (Assumptions!$B$8)*(AR$1) + (Assumptions!$B$9)*MAX(0,  (HLOOKUP(AR$2,Earnings!$G$2:$BC$81,('Yearly Pension'!$A33)+1, FALSE)) - AR$1), ((Assumptions!$B$8)*'Yearly Pension'!AR$1))))</f>
        <v>1127.8771999999999</v>
      </c>
      <c r="AS33" s="6">
        <f>(HLOOKUP('Yearly Pension'!AS$2,'Credited Service'!$G$1:$BC$80,$A33+1,FALSE)) * (IF($B33=500, (Assumptions!$B$7)*12, IF((HLOOKUP(AS$2,Earnings!$G$2:$BC$81,('Yearly Pension'!$A33)+1, FALSE)) &gt; AS$1, (Assumptions!$B$8)*(AS$1) + (Assumptions!$B$9)*MAX(0,  (HLOOKUP(AS$2,Earnings!$G$2:$BC$81,('Yearly Pension'!$A33)+1, FALSE)) - AS$1), ((Assumptions!$B$8)*'Yearly Pension'!AS$1))))</f>
        <v>1164.7535159999998</v>
      </c>
      <c r="AT33" s="6">
        <f>(HLOOKUP('Yearly Pension'!AT$2,'Credited Service'!$G$1:$BC$80,$A33+1,FALSE)) * (IF($B33=500, (Assumptions!$B$7)*12, IF((HLOOKUP(AT$2,Earnings!$G$2:$BC$81,('Yearly Pension'!$A33)+1, FALSE)) &gt; AT$1, (Assumptions!$B$8)*(AT$1) + (Assumptions!$B$9)*MAX(0,  (HLOOKUP(AT$2,Earnings!$G$2:$BC$81,('Yearly Pension'!$A33)+1, FALSE)) - AT$1), ((Assumptions!$B$8)*'Yearly Pension'!AT$1))))</f>
        <v>1201.6673214800001</v>
      </c>
      <c r="AU33" s="6">
        <f>(HLOOKUP('Yearly Pension'!AU$2,'Credited Service'!$G$1:$BC$80,$A33+1,FALSE)) * (IF($B33=500, (Assumptions!$B$7)*12, IF((HLOOKUP(AU$2,Earnings!$G$2:$BC$81,('Yearly Pension'!$A33)+1, FALSE)) &gt; AU$1, (Assumptions!$B$8)*(AU$1) + (Assumptions!$B$9)*MAX(0,  (HLOOKUP(AU$2,Earnings!$G$2:$BC$81,('Yearly Pension'!$A33)+1, FALSE)) - AU$1), ((Assumptions!$B$8)*'Yearly Pension'!AU$1))))</f>
        <v>1245.6981411244001</v>
      </c>
      <c r="AV33" s="6">
        <f>(HLOOKUP('Yearly Pension'!AV$2,'Credited Service'!$G$1:$BC$80,$A33+1,FALSE)) * (IF($B33=500, (Assumptions!$B$7)*12, IF((HLOOKUP(AV$2,Earnings!$G$2:$BC$81,('Yearly Pension'!$A33)+1, FALSE)) &gt; AV$1, (Assumptions!$B$8)*(AV$1) + (Assumptions!$B$9)*MAX(0,  (HLOOKUP(AV$2,Earnings!$G$2:$BC$81,('Yearly Pension'!$A33)+1, FALSE)) - AV$1), ((Assumptions!$B$8)*'Yearly Pension'!AV$1))))</f>
        <v>1289.8466853581322</v>
      </c>
      <c r="AW33" s="6">
        <f>(HLOOKUP('Yearly Pension'!AW$2,'Credited Service'!$G$1:$BC$80,$A33+1,FALSE)) * (IF($B33=500, (Assumptions!$B$7)*12, IF((HLOOKUP(AW$2,Earnings!$G$2:$BC$81,('Yearly Pension'!$A33)+1, FALSE)) &gt; AW$1, (Assumptions!$B$8)*(AW$1) + (Assumptions!$B$9)*MAX(0,  (HLOOKUP(AW$2,Earnings!$G$2:$BC$81,('Yearly Pension'!$A33)+1, FALSE)) - AW$1), ((Assumptions!$B$8)*'Yearly Pension'!AW$1))))</f>
        <v>1329.6748859188765</v>
      </c>
      <c r="AX33" s="6">
        <f>(HLOOKUP('Yearly Pension'!AX$2,'Credited Service'!$G$1:$BC$80,$A33+1,FALSE)) * (IF($B33=500, (Assumptions!$B$7)*12, IF((HLOOKUP(AX$2,Earnings!$G$2:$BC$81,('Yearly Pension'!$A33)+1, FALSE)) &gt; AX$1, (Assumptions!$B$8)*(AX$1) + (Assumptions!$B$9)*MAX(0,  (HLOOKUP(AX$2,Earnings!$G$2:$BC$81,('Yearly Pension'!$A33)+1, FALSE)) - AX$1), ((Assumptions!$B$8)*'Yearly Pension'!AX$1))))</f>
        <v>1365.8915324964428</v>
      </c>
      <c r="AY33" s="6">
        <f>(HLOOKUP('Yearly Pension'!AY$2,'Credited Service'!$G$1:$BC$80,$A33+1,FALSE)) * (IF($B33=500, (Assumptions!$B$7)*12, IF((HLOOKUP(AY$2,Earnings!$G$2:$BC$81,('Yearly Pension'!$A33)+1, FALSE)) &gt; AY$1, (Assumptions!$B$8)*(AY$1) + (Assumptions!$B$9)*MAX(0,  (HLOOKUP(AY$2,Earnings!$G$2:$BC$81,('Yearly Pension'!$A33)+1, FALSE)) - AY$1), ((Assumptions!$B$8)*'Yearly Pension'!AY$1))))</f>
        <v>1403.0477344713361</v>
      </c>
      <c r="AZ33" s="6">
        <f>(HLOOKUP('Yearly Pension'!AZ$2,'Credited Service'!$G$1:$BC$80,$A33+1,FALSE)) * (IF($B33=500, (Assumptions!$B$7)*12, IF((HLOOKUP(AZ$2,Earnings!$G$2:$BC$81,('Yearly Pension'!$A33)+1, FALSE)) &gt; AZ$1, (Assumptions!$B$8)*(AZ$1) + (Assumptions!$B$9)*MAX(0,  (HLOOKUP(AZ$2,Earnings!$G$2:$BC$81,('Yearly Pension'!$A33)+1, FALSE)) - AZ$1), ((Assumptions!$B$8)*'Yearly Pension'!AZ$1))))</f>
        <v>1441.1658007454762</v>
      </c>
      <c r="BA33" s="6">
        <f>(HLOOKUP('Yearly Pension'!BA$2,'Credited Service'!$G$1:$BC$80,$A33+1,FALSE)) * (IF($B33=500, (Assumptions!$B$7)*12, IF((HLOOKUP(BA$2,Earnings!$G$2:$BC$81,('Yearly Pension'!$A33)+1, FALSE)) &gt; BA$1, (Assumptions!$B$8)*(BA$1) + (Assumptions!$B$9)*MAX(0,  (HLOOKUP(BA$2,Earnings!$G$2:$BC$81,('Yearly Pension'!$A33)+1, FALSE)) - BA$1), ((Assumptions!$B$8)*'Yearly Pension'!BA$1))))</f>
        <v>1480.2684743774405</v>
      </c>
      <c r="BB33" s="6">
        <f>(HLOOKUP('Yearly Pension'!BB$2,'Credited Service'!$G$1:$BC$80,$A33+1,FALSE)) * (IF($B33=500, (Assumptions!$B$7)*12, IF((HLOOKUP(BB$2,Earnings!$G$2:$BC$81,('Yearly Pension'!$A33)+1, FALSE)) &gt; BB$1, (Assumptions!$B$8)*(BB$1) + (Assumptions!$B$9)*MAX(0,  (HLOOKUP(BB$2,Earnings!$G$2:$BC$81,('Yearly Pension'!$A33)+1, FALSE)) - BB$1), ((Assumptions!$B$8)*'Yearly Pension'!BB$1))))</f>
        <v>1520.3789362027478</v>
      </c>
      <c r="BC33" s="6">
        <f>(HLOOKUP('Yearly Pension'!BC$2,'Credited Service'!$G$1:$BC$80,$A33+1,FALSE)) * (IF($B33=500, (Assumptions!$B$7)*12, IF((HLOOKUP(BC$2,Earnings!$G$2:$BC$81,('Yearly Pension'!$A33)+1, FALSE)) &gt; BC$1, (Assumptions!$B$8)*(BC$1) + (Assumptions!$B$9)*MAX(0,  (HLOOKUP(BC$2,Earnings!$G$2:$BC$81,('Yearly Pension'!$A33)+1, FALSE)) - BC$1), ((Assumptions!$B$8)*'Yearly Pension'!BC$1))))</f>
        <v>1561.5208081865735</v>
      </c>
    </row>
    <row r="34" spans="1:55" x14ac:dyDescent="0.25">
      <c r="A34" s="204">
        <v>32</v>
      </c>
      <c r="B34" s="1">
        <v>600</v>
      </c>
      <c r="C34" s="1">
        <v>746</v>
      </c>
      <c r="D34" s="3">
        <v>37305</v>
      </c>
      <c r="E34" s="3">
        <v>44197</v>
      </c>
      <c r="G34" s="6">
        <f>(HLOOKUP('Yearly Pension'!G$2,'Credited Service'!$G$1:$BC$80,$A34+1,FALSE)) * (IF($B34=500, (Assumptions!$B$7)*12, IF((HLOOKUP(G$2,Earnings!$G$2:$BC$81,('Yearly Pension'!$A34)+1, FALSE)) &gt; G$1, (Assumptions!$B$8)*(G$1) + (Assumptions!$B$9)*MAX(0,  (HLOOKUP(G$2,Earnings!$G$2:$BC$81,('Yearly Pension'!$A34)+1, FALSE)) - G$1), ((Assumptions!$B$8)*'Yearly Pension'!G$1))))</f>
        <v>0</v>
      </c>
      <c r="H34" s="6">
        <f>(HLOOKUP('Yearly Pension'!H$2,'Credited Service'!$G$1:$BC$80,$A34+1,FALSE)) * (IF($B34=500, (Assumptions!$B$7)*12, IF((HLOOKUP(H$2,Earnings!$G$2:$BC$81,('Yearly Pension'!$A34)+1, FALSE)) &gt; H$1, (Assumptions!$B$8)*(H$1) + (Assumptions!$B$9)*MAX(0,  (HLOOKUP(H$2,Earnings!$G$2:$BC$81,('Yearly Pension'!$A34)+1, FALSE)) - H$1), ((Assumptions!$B$8)*'Yearly Pension'!H$1))))</f>
        <v>0</v>
      </c>
      <c r="I34" s="6">
        <f>(HLOOKUP('Yearly Pension'!I$2,'Credited Service'!$G$1:$BC$80,$A34+1,FALSE)) * (IF($B34=500, (Assumptions!$B$7)*12, IF((HLOOKUP(I$2,Earnings!$G$2:$BC$81,('Yearly Pension'!$A34)+1, FALSE)) &gt; I$1, (Assumptions!$B$8)*(I$1) + (Assumptions!$B$9)*MAX(0,  (HLOOKUP(I$2,Earnings!$G$2:$BC$81,('Yearly Pension'!$A34)+1, FALSE)) - I$1), ((Assumptions!$B$8)*'Yearly Pension'!I$1))))</f>
        <v>0</v>
      </c>
      <c r="J34" s="6">
        <f>(HLOOKUP('Yearly Pension'!J$2,'Credited Service'!$G$1:$BC$80,$A34+1,FALSE)) * (IF($B34=500, (Assumptions!$B$7)*12, IF((HLOOKUP(J$2,Earnings!$G$2:$BC$81,('Yearly Pension'!$A34)+1, FALSE)) &gt; J$1, (Assumptions!$B$8)*(J$1) + (Assumptions!$B$9)*MAX(0,  (HLOOKUP(J$2,Earnings!$G$2:$BC$81,('Yearly Pension'!$A34)+1, FALSE)) - J$1), ((Assumptions!$B$8)*'Yearly Pension'!J$1))))</f>
        <v>0</v>
      </c>
      <c r="K34" s="6">
        <f>(HLOOKUP('Yearly Pension'!K$2,'Credited Service'!$G$1:$BC$80,$A34+1,FALSE)) * (IF($B34=500, (Assumptions!$B$7)*12, IF((HLOOKUP(K$2,Earnings!$G$2:$BC$81,('Yearly Pension'!$A34)+1, FALSE)) &gt; K$1, (Assumptions!$B$8)*(K$1) + (Assumptions!$B$9)*MAX(0,  (HLOOKUP(K$2,Earnings!$G$2:$BC$81,('Yearly Pension'!$A34)+1, FALSE)) - K$1), ((Assumptions!$B$8)*'Yearly Pension'!K$1))))</f>
        <v>0</v>
      </c>
      <c r="L34" s="6">
        <f>(HLOOKUP('Yearly Pension'!L$2,'Credited Service'!$G$1:$BC$80,$A34+1,FALSE)) * (IF($B34=500, (Assumptions!$B$7)*12, IF((HLOOKUP(L$2,Earnings!$G$2:$BC$81,('Yearly Pension'!$A34)+1, FALSE)) &gt; L$1, (Assumptions!$B$8)*(L$1) + (Assumptions!$B$9)*MAX(0,  (HLOOKUP(L$2,Earnings!$G$2:$BC$81,('Yearly Pension'!$A34)+1, FALSE)) - L$1), ((Assumptions!$B$8)*'Yearly Pension'!L$1))))</f>
        <v>0</v>
      </c>
      <c r="M34" s="6">
        <f>(HLOOKUP('Yearly Pension'!M$2,'Credited Service'!$G$1:$BC$80,$A34+1,FALSE)) * (IF($B34=500, (Assumptions!$B$7)*12, IF((HLOOKUP(M$2,Earnings!$G$2:$BC$81,('Yearly Pension'!$A34)+1, FALSE)) &gt; M$1, (Assumptions!$B$8)*(M$1) + (Assumptions!$B$9)*MAX(0,  (HLOOKUP(M$2,Earnings!$G$2:$BC$81,('Yearly Pension'!$A34)+1, FALSE)) - M$1), ((Assumptions!$B$8)*'Yearly Pension'!M$1))))</f>
        <v>0</v>
      </c>
      <c r="N34" s="6">
        <f>(HLOOKUP('Yearly Pension'!N$2,'Credited Service'!$G$1:$BC$80,$A34+1,FALSE)) * (IF($B34=500, (Assumptions!$B$7)*12, IF((HLOOKUP(N$2,Earnings!$G$2:$BC$81,('Yearly Pension'!$A34)+1, FALSE)) &gt; N$1, (Assumptions!$B$8)*(N$1) + (Assumptions!$B$9)*MAX(0,  (HLOOKUP(N$2,Earnings!$G$2:$BC$81,('Yearly Pension'!$A34)+1, FALSE)) - N$1), ((Assumptions!$B$8)*'Yearly Pension'!N$1))))</f>
        <v>0</v>
      </c>
      <c r="O34" s="6">
        <f>(HLOOKUP('Yearly Pension'!O$2,'Credited Service'!$G$1:$BC$80,$A34+1,FALSE)) * (IF($B34=500, (Assumptions!$B$7)*12, IF((HLOOKUP(O$2,Earnings!$G$2:$BC$81,('Yearly Pension'!$A34)+1, FALSE)) &gt; O$1, (Assumptions!$B$8)*(O$1) + (Assumptions!$B$9)*MAX(0,  (HLOOKUP(O$2,Earnings!$G$2:$BC$81,('Yearly Pension'!$A34)+1, FALSE)) - O$1), ((Assumptions!$B$8)*'Yearly Pension'!O$1))))</f>
        <v>0</v>
      </c>
      <c r="P34" s="6">
        <f>(HLOOKUP('Yearly Pension'!P$2,'Credited Service'!$G$1:$BC$80,$A34+1,FALSE)) * (IF($B34=500, (Assumptions!$B$7)*12, IF((HLOOKUP(P$2,Earnings!$G$2:$BC$81,('Yearly Pension'!$A34)+1, FALSE)) &gt; P$1, (Assumptions!$B$8)*(P$1) + (Assumptions!$B$9)*MAX(0,  (HLOOKUP(P$2,Earnings!$G$2:$BC$81,('Yearly Pension'!$A34)+1, FALSE)) - P$1), ((Assumptions!$B$8)*'Yearly Pension'!P$1))))</f>
        <v>0</v>
      </c>
      <c r="Q34" s="6">
        <f>(HLOOKUP('Yearly Pension'!Q$2,'Credited Service'!$G$1:$BC$80,$A34+1,FALSE)) * (IF($B34=500, (Assumptions!$B$7)*12, IF((HLOOKUP(Q$2,Earnings!$G$2:$BC$81,('Yearly Pension'!$A34)+1, FALSE)) &gt; Q$1, (Assumptions!$B$8)*(Q$1) + (Assumptions!$B$9)*MAX(0,  (HLOOKUP(Q$2,Earnings!$G$2:$BC$81,('Yearly Pension'!$A34)+1, FALSE)) - Q$1), ((Assumptions!$B$8)*'Yearly Pension'!Q$1))))</f>
        <v>0</v>
      </c>
      <c r="R34" s="6">
        <f>(HLOOKUP('Yearly Pension'!R$2,'Credited Service'!$G$1:$BC$80,$A34+1,FALSE)) * (IF($B34=500, (Assumptions!$B$7)*12, IF((HLOOKUP(R$2,Earnings!$G$2:$BC$81,('Yearly Pension'!$A34)+1, FALSE)) &gt; R$1, (Assumptions!$B$8)*(R$1) + (Assumptions!$B$9)*MAX(0,  (HLOOKUP(R$2,Earnings!$G$2:$BC$81,('Yearly Pension'!$A34)+1, FALSE)) - R$1), ((Assumptions!$B$8)*'Yearly Pension'!R$1))))</f>
        <v>0</v>
      </c>
      <c r="S34" s="6">
        <f>(HLOOKUP('Yearly Pension'!S$2,'Credited Service'!$G$1:$BC$80,$A34+1,FALSE)) * (IF($B34=500, (Assumptions!$B$7)*12, IF((HLOOKUP(S$2,Earnings!$G$2:$BC$81,('Yearly Pension'!$A34)+1, FALSE)) &gt; S$1, (Assumptions!$B$8)*(S$1) + (Assumptions!$B$9)*MAX(0,  (HLOOKUP(S$2,Earnings!$G$2:$BC$81,('Yearly Pension'!$A34)+1, FALSE)) - S$1), ((Assumptions!$B$8)*'Yearly Pension'!S$1))))</f>
        <v>0</v>
      </c>
      <c r="T34" s="6">
        <f>(HLOOKUP('Yearly Pension'!T$2,'Credited Service'!$G$1:$BC$80,$A34+1,FALSE)) * (IF($B34=500, (Assumptions!$B$7)*12, IF((HLOOKUP(T$2,Earnings!$G$2:$BC$81,('Yearly Pension'!$A34)+1, FALSE)) &gt; T$1, (Assumptions!$B$8)*(T$1) + (Assumptions!$B$9)*MAX(0,  (HLOOKUP(T$2,Earnings!$G$2:$BC$81,('Yearly Pension'!$A34)+1, FALSE)) - T$1), ((Assumptions!$B$8)*'Yearly Pension'!T$1))))</f>
        <v>0</v>
      </c>
      <c r="U34" s="6">
        <f>(HLOOKUP('Yearly Pension'!U$2,'Credited Service'!$G$1:$BC$80,$A34+1,FALSE)) * (IF($B34=500, (Assumptions!$B$7)*12, IF((HLOOKUP(U$2,Earnings!$G$2:$BC$81,('Yearly Pension'!$A34)+1, FALSE)) &gt; U$1, (Assumptions!$B$8)*(U$1) + (Assumptions!$B$9)*MAX(0,  (HLOOKUP(U$2,Earnings!$G$2:$BC$81,('Yearly Pension'!$A34)+1, FALSE)) - U$1), ((Assumptions!$B$8)*'Yearly Pension'!U$1))))</f>
        <v>0</v>
      </c>
      <c r="V34" s="6">
        <f>(HLOOKUP('Yearly Pension'!V$2,'Credited Service'!$G$1:$BC$80,$A34+1,FALSE)) * (IF($B34=500, (Assumptions!$B$7)*12, IF((HLOOKUP(V$2,Earnings!$G$2:$BC$81,('Yearly Pension'!$A34)+1, FALSE)) &gt; V$1, (Assumptions!$B$8)*(V$1) + (Assumptions!$B$9)*MAX(0,  (HLOOKUP(V$2,Earnings!$G$2:$BC$81,('Yearly Pension'!$A34)+1, FALSE)) - V$1), ((Assumptions!$B$8)*'Yearly Pension'!V$1))))</f>
        <v>0</v>
      </c>
      <c r="W34" s="6">
        <f>(HLOOKUP('Yearly Pension'!W$2,'Credited Service'!$G$1:$BC$80,$A34+1,FALSE)) * (IF($B34=500, (Assumptions!$B$7)*12, IF((HLOOKUP(W$2,Earnings!$G$2:$BC$81,('Yearly Pension'!$A34)+1, FALSE)) &gt; W$1, (Assumptions!$B$8)*(W$1) + (Assumptions!$B$9)*MAX(0,  (HLOOKUP(W$2,Earnings!$G$2:$BC$81,('Yearly Pension'!$A34)+1, FALSE)) - W$1), ((Assumptions!$B$8)*'Yearly Pension'!W$1))))</f>
        <v>0</v>
      </c>
      <c r="X34" s="6">
        <f>(HLOOKUP('Yearly Pension'!X$2,'Credited Service'!$G$1:$BC$80,$A34+1,FALSE)) * (IF($B34=500, (Assumptions!$B$7)*12, IF((HLOOKUP(X$2,Earnings!$G$2:$BC$81,('Yearly Pension'!$A34)+1, FALSE)) &gt; X$1, (Assumptions!$B$8)*(X$1) + (Assumptions!$B$9)*MAX(0,  (HLOOKUP(X$2,Earnings!$G$2:$BC$81,('Yearly Pension'!$A34)+1, FALSE)) - X$1), ((Assumptions!$B$8)*'Yearly Pension'!X$1))))</f>
        <v>0</v>
      </c>
      <c r="Y34" s="6">
        <f>(HLOOKUP('Yearly Pension'!Y$2,'Credited Service'!$G$1:$BC$80,$A34+1,FALSE)) * (IF($B34=500, (Assumptions!$B$7)*12, IF((HLOOKUP(Y$2,Earnings!$G$2:$BC$81,('Yearly Pension'!$A34)+1, FALSE)) &gt; Y$1, (Assumptions!$B$8)*(Y$1) + (Assumptions!$B$9)*MAX(0,  (HLOOKUP(Y$2,Earnings!$G$2:$BC$81,('Yearly Pension'!$A34)+1, FALSE)) - Y$1), ((Assumptions!$B$8)*'Yearly Pension'!Y$1))))</f>
        <v>0</v>
      </c>
      <c r="Z34" s="6">
        <f>(HLOOKUP('Yearly Pension'!Z$2,'Credited Service'!$G$1:$BC$80,$A34+1,FALSE)) * (IF($B34=500, (Assumptions!$B$7)*12, IF((HLOOKUP(Z$2,Earnings!$G$2:$BC$81,('Yearly Pension'!$A34)+1, FALSE)) &gt; Z$1, (Assumptions!$B$8)*(Z$1) + (Assumptions!$B$9)*MAX(0,  (HLOOKUP(Z$2,Earnings!$G$2:$BC$81,('Yearly Pension'!$A34)+1, FALSE)) - Z$1), ((Assumptions!$B$8)*'Yearly Pension'!Z$1))))</f>
        <v>0</v>
      </c>
      <c r="AA34" s="6">
        <f>(HLOOKUP('Yearly Pension'!AA$2,'Credited Service'!$G$1:$BC$80,$A34+1,FALSE)) * (IF($B34=500, (Assumptions!$B$7)*12, IF((HLOOKUP(AA$2,Earnings!$G$2:$BC$81,('Yearly Pension'!$A34)+1, FALSE)) &gt; AA$1, (Assumptions!$B$8)*(AA$1) + (Assumptions!$B$9)*MAX(0,  (HLOOKUP(AA$2,Earnings!$G$2:$BC$81,('Yearly Pension'!$A34)+1, FALSE)) - AA$1), ((Assumptions!$B$8)*'Yearly Pension'!AA$1))))</f>
        <v>0</v>
      </c>
      <c r="AB34" s="6">
        <f>(HLOOKUP('Yearly Pension'!AB$2,'Credited Service'!$G$1:$BC$80,$A34+1,FALSE)) * (IF($B34=500, (Assumptions!$B$7)*12, IF((HLOOKUP(AB$2,Earnings!$G$2:$BC$81,('Yearly Pension'!$A34)+1, FALSE)) &gt; AB$1, (Assumptions!$B$8)*(AB$1) + (Assumptions!$B$9)*MAX(0,  (HLOOKUP(AB$2,Earnings!$G$2:$BC$81,('Yearly Pension'!$A34)+1, FALSE)) - AB$1), ((Assumptions!$B$8)*'Yearly Pension'!AB$1))))</f>
        <v>0</v>
      </c>
      <c r="AC34" s="6">
        <f>(HLOOKUP('Yearly Pension'!AC$2,'Credited Service'!$G$1:$BC$80,$A34+1,FALSE)) * (IF($B34=500, (Assumptions!$B$7)*12, IF((HLOOKUP(AC$2,Earnings!$G$2:$BC$81,('Yearly Pension'!$A34)+1, FALSE)) &gt; AC$1, (Assumptions!$B$8)*(AC$1) + (Assumptions!$B$9)*MAX(0,  (HLOOKUP(AC$2,Earnings!$G$2:$BC$81,('Yearly Pension'!$A34)+1, FALSE)) - AC$1), ((Assumptions!$B$8)*'Yearly Pension'!AC$1))))</f>
        <v>0</v>
      </c>
      <c r="AD34" s="6">
        <f>(HLOOKUP('Yearly Pension'!AD$2,'Credited Service'!$G$1:$BC$80,$A34+1,FALSE)) * (IF($B34=500, (Assumptions!$B$7)*12, IF((HLOOKUP(AD$2,Earnings!$G$2:$BC$81,('Yearly Pension'!$A34)+1, FALSE)) &gt; AD$1, (Assumptions!$B$8)*(AD$1) + (Assumptions!$B$9)*MAX(0,  (HLOOKUP(AD$2,Earnings!$G$2:$BC$81,('Yearly Pension'!$A34)+1, FALSE)) - AD$1), ((Assumptions!$B$8)*'Yearly Pension'!AD$1))))</f>
        <v>0</v>
      </c>
      <c r="AE34" s="6">
        <f>(HLOOKUP('Yearly Pension'!AE$2,'Credited Service'!$G$1:$BC$80,$A34+1,FALSE)) * (IF($B34=500, (Assumptions!$B$7)*12, IF((HLOOKUP(AE$2,Earnings!$G$2:$BC$81,('Yearly Pension'!$A34)+1, FALSE)) &gt; AE$1, (Assumptions!$B$8)*(AE$1) + (Assumptions!$B$9)*MAX(0,  (HLOOKUP(AE$2,Earnings!$G$2:$BC$81,('Yearly Pension'!$A34)+1, FALSE)) - AE$1), ((Assumptions!$B$8)*'Yearly Pension'!AE$1))))</f>
        <v>0</v>
      </c>
      <c r="AF34" s="6">
        <f>(HLOOKUP('Yearly Pension'!AF$2,'Credited Service'!$G$1:$BC$80,$A34+1,FALSE)) * (IF($B34=500, (Assumptions!$B$7)*12, IF((HLOOKUP(AF$2,Earnings!$G$2:$BC$81,('Yearly Pension'!$A34)+1, FALSE)) &gt; AF$1, (Assumptions!$B$8)*(AF$1) + (Assumptions!$B$9)*MAX(0,  (HLOOKUP(AF$2,Earnings!$G$2:$BC$81,('Yearly Pension'!$A34)+1, FALSE)) - AF$1), ((Assumptions!$B$8)*'Yearly Pension'!AF$1))))</f>
        <v>561.99738159734147</v>
      </c>
      <c r="AG34" s="6">
        <f>(HLOOKUP('Yearly Pension'!AG$2,'Credited Service'!$G$1:$BC$80,$A34+1,FALSE)) * (IF($B34=500, (Assumptions!$B$7)*12, IF((HLOOKUP(AG$2,Earnings!$G$2:$BC$81,('Yearly Pension'!$A34)+1, FALSE)) &gt; AG$1, (Assumptions!$B$8)*(AG$1) + (Assumptions!$B$9)*MAX(0,  (HLOOKUP(AG$2,Earnings!$G$2:$BC$81,('Yearly Pension'!$A34)+1, FALSE)) - AG$1), ((Assumptions!$B$8)*'Yearly Pension'!AG$1))))</f>
        <v>706.26233223348208</v>
      </c>
      <c r="AH34" s="6">
        <f>(HLOOKUP('Yearly Pension'!AH$2,'Credited Service'!$G$1:$BC$80,$A34+1,FALSE)) * (IF($B34=500, (Assumptions!$B$7)*12, IF((HLOOKUP(AH$2,Earnings!$G$2:$BC$81,('Yearly Pension'!$A34)+1, FALSE)) &gt; AH$1, (Assumptions!$B$8)*(AH$1) + (Assumptions!$B$9)*MAX(0,  (HLOOKUP(AH$2,Earnings!$G$2:$BC$81,('Yearly Pension'!$A34)+1, FALSE)) - AH$1), ((Assumptions!$B$8)*'Yearly Pension'!AH$1))))</f>
        <v>740.8872255228215</v>
      </c>
      <c r="AI34" s="6">
        <f>(HLOOKUP('Yearly Pension'!AI$2,'Credited Service'!$G$1:$BC$80,$A34+1,FALSE)) * (IF($B34=500, (Assumptions!$B$7)*12, IF((HLOOKUP(AI$2,Earnings!$G$2:$BC$81,('Yearly Pension'!$A34)+1, FALSE)) &gt; AI$1, (Assumptions!$B$8)*(AI$1) + (Assumptions!$B$9)*MAX(0,  (HLOOKUP(AI$2,Earnings!$G$2:$BC$81,('Yearly Pension'!$A34)+1, FALSE)) - AI$1), ((Assumptions!$B$8)*'Yearly Pension'!AI$1))))</f>
        <v>777.05071454373444</v>
      </c>
      <c r="AJ34" s="6">
        <f>(HLOOKUP('Yearly Pension'!AJ$2,'Credited Service'!$G$1:$BC$80,$A34+1,FALSE)) * (IF($B34=500, (Assumptions!$B$7)*12, IF((HLOOKUP(AJ$2,Earnings!$G$2:$BC$81,('Yearly Pension'!$A34)+1, FALSE)) &gt; AJ$1, (Assumptions!$B$8)*(AJ$1) + (Assumptions!$B$9)*MAX(0,  (HLOOKUP(AJ$2,Earnings!$G$2:$BC$81,('Yearly Pension'!$A34)+1, FALSE)) - AJ$1), ((Assumptions!$B$8)*'Yearly Pension'!AJ$1))))</f>
        <v>812.25434312548384</v>
      </c>
      <c r="AK34" s="6">
        <f>(HLOOKUP('Yearly Pension'!AK$2,'Credited Service'!$G$1:$BC$80,$A34+1,FALSE)) * (IF($B34=500, (Assumptions!$B$7)*12, IF((HLOOKUP(AK$2,Earnings!$G$2:$BC$81,('Yearly Pension'!$A34)+1, FALSE)) &gt; AK$1, (Assumptions!$B$8)*(AK$1) + (Assumptions!$B$9)*MAX(0,  (HLOOKUP(AK$2,Earnings!$G$2:$BC$81,('Yearly Pension'!$A34)+1, FALSE)) - AK$1), ((Assumptions!$B$8)*'Yearly Pension'!AK$1))))</f>
        <v>845.28211685050314</v>
      </c>
      <c r="AL34" s="6">
        <f>(HLOOKUP('Yearly Pension'!AL$2,'Credited Service'!$G$1:$BC$80,$A34+1,FALSE)) * (IF($B34=500, (Assumptions!$B$7)*12, IF((HLOOKUP(AL$2,Earnings!$G$2:$BC$81,('Yearly Pension'!$A34)+1, FALSE)) &gt; AL$1, (Assumptions!$B$8)*(AL$1) + (Assumptions!$B$9)*MAX(0,  (HLOOKUP(AL$2,Earnings!$G$2:$BC$81,('Yearly Pension'!$A34)+1, FALSE)) - AL$1), ((Assumptions!$B$8)*'Yearly Pension'!AL$1))))</f>
        <v>882.60060152452343</v>
      </c>
      <c r="AM34" s="6">
        <f>(HLOOKUP('Yearly Pension'!AM$2,'Credited Service'!$G$1:$BC$80,$A34+1,FALSE)) * (IF($B34=500, (Assumptions!$B$7)*12, IF((HLOOKUP(AM$2,Earnings!$G$2:$BC$81,('Yearly Pension'!$A34)+1, FALSE)) &gt; AM$1, (Assumptions!$B$8)*(AM$1) + (Assumptions!$B$9)*MAX(0,  (HLOOKUP(AM$2,Earnings!$G$2:$BC$81,('Yearly Pension'!$A34)+1, FALSE)) - AM$1), ((Assumptions!$B$8)*'Yearly Pension'!AM$1))))</f>
        <v>920.4390255855044</v>
      </c>
      <c r="AN34" s="6">
        <f>(HLOOKUP('Yearly Pension'!AN$2,'Credited Service'!$G$1:$BC$80,$A34+1,FALSE)) * (IF($B34=500, (Assumptions!$B$7)*12, IF((HLOOKUP(AN$2,Earnings!$G$2:$BC$81,('Yearly Pension'!$A34)+1, FALSE)) &gt; AN$1, (Assumptions!$B$8)*(AN$1) + (Assumptions!$B$9)*MAX(0,  (HLOOKUP(AN$2,Earnings!$G$2:$BC$81,('Yearly Pension'!$A34)+1, FALSE)) - AN$1), ((Assumptions!$B$8)*'Yearly Pension'!AN$1))))</f>
        <v>963.34938660892465</v>
      </c>
      <c r="AO34" s="6">
        <f>(HLOOKUP('Yearly Pension'!AO$2,'Credited Service'!$G$1:$BC$80,$A34+1,FALSE)) * (IF($B34=500, (Assumptions!$B$7)*12, IF((HLOOKUP(AO$2,Earnings!$G$2:$BC$81,('Yearly Pension'!$A34)+1, FALSE)) &gt; AO$1, (Assumptions!$B$8)*(AO$1) + (Assumptions!$B$9)*MAX(0,  (HLOOKUP(AO$2,Earnings!$G$2:$BC$81,('Yearly Pension'!$A34)+1, FALSE)) - AO$1), ((Assumptions!$B$8)*'Yearly Pension'!AO$1))))</f>
        <v>1006.9265620732817</v>
      </c>
      <c r="AP34" s="6">
        <f>(HLOOKUP('Yearly Pension'!AP$2,'Credited Service'!$G$1:$BC$80,$A34+1,FALSE)) * (IF($B34=500, (Assumptions!$B$7)*12, IF((HLOOKUP(AP$2,Earnings!$G$2:$BC$81,('Yearly Pension'!$A34)+1, FALSE)) &gt; AP$1, (Assumptions!$B$8)*(AP$1) + (Assumptions!$B$9)*MAX(0,  (HLOOKUP(AP$2,Earnings!$G$2:$BC$81,('Yearly Pension'!$A34)+1, FALSE)) - AP$1), ((Assumptions!$B$8)*'Yearly Pension'!AP$1))))</f>
        <v>1048.0484245562129</v>
      </c>
      <c r="AQ34" s="6">
        <f>(HLOOKUP('Yearly Pension'!AQ$2,'Credited Service'!$G$1:$BC$80,$A34+1,FALSE)) * (IF($B34=500, (Assumptions!$B$7)*12, IF((HLOOKUP(AQ$2,Earnings!$G$2:$BC$81,('Yearly Pension'!$A34)+1, FALSE)) &gt; AQ$1, (Assumptions!$B$8)*(AQ$1) + (Assumptions!$B$9)*MAX(0,  (HLOOKUP(AQ$2,Earnings!$G$2:$BC$81,('Yearly Pension'!$A34)+1, FALSE)) - AQ$1), ((Assumptions!$B$8)*'Yearly Pension'!AQ$1))))</f>
        <v>1096.3959615384615</v>
      </c>
      <c r="AR34" s="6">
        <f>(HLOOKUP('Yearly Pension'!AR$2,'Credited Service'!$G$1:$BC$80,$A34+1,FALSE)) * (IF($B34=500, (Assumptions!$B$7)*12, IF((HLOOKUP(AR$2,Earnings!$G$2:$BC$81,('Yearly Pension'!$A34)+1, FALSE)) &gt; AR$1, (Assumptions!$B$8)*(AR$1) + (Assumptions!$B$9)*MAX(0,  (HLOOKUP(AR$2,Earnings!$G$2:$BC$81,('Yearly Pension'!$A34)+1, FALSE)) - AR$1), ((Assumptions!$B$8)*'Yearly Pension'!AR$1))))</f>
        <v>1144.3733999999999</v>
      </c>
      <c r="AS34" s="6">
        <f>(HLOOKUP('Yearly Pension'!AS$2,'Credited Service'!$G$1:$BC$80,$A34+1,FALSE)) * (IF($B34=500, (Assumptions!$B$7)*12, IF((HLOOKUP(AS$2,Earnings!$G$2:$BC$81,('Yearly Pension'!$A34)+1, FALSE)) &gt; AS$1, (Assumptions!$B$8)*(AS$1) + (Assumptions!$B$9)*MAX(0,  (HLOOKUP(AS$2,Earnings!$G$2:$BC$81,('Yearly Pension'!$A34)+1, FALSE)) - AS$1), ((Assumptions!$B$8)*'Yearly Pension'!AS$1))))</f>
        <v>1181.744602</v>
      </c>
      <c r="AT34" s="6">
        <f>(HLOOKUP('Yearly Pension'!AT$2,'Credited Service'!$G$1:$BC$80,$A34+1,FALSE)) * (IF($B34=500, (Assumptions!$B$7)*12, IF((HLOOKUP(AT$2,Earnings!$G$2:$BC$81,('Yearly Pension'!$A34)+1, FALSE)) &gt; AT$1, (Assumptions!$B$8)*(AT$1) + (Assumptions!$B$9)*MAX(0,  (HLOOKUP(AT$2,Earnings!$G$2:$BC$81,('Yearly Pension'!$A34)+1, FALSE)) - AT$1), ((Assumptions!$B$8)*'Yearly Pension'!AT$1))))</f>
        <v>1219.16814006</v>
      </c>
      <c r="AU34" s="6">
        <f>(HLOOKUP('Yearly Pension'!AU$2,'Credited Service'!$G$1:$BC$80,$A34+1,FALSE)) * (IF($B34=500, (Assumptions!$B$7)*12, IF((HLOOKUP(AU$2,Earnings!$G$2:$BC$81,('Yearly Pension'!$A34)+1, FALSE)) &gt; AU$1, (Assumptions!$B$8)*(AU$1) + (Assumptions!$B$9)*MAX(0,  (HLOOKUP(AU$2,Earnings!$G$2:$BC$81,('Yearly Pension'!$A34)+1, FALSE)) - AU$1), ((Assumptions!$B$8)*'Yearly Pension'!AU$1))))</f>
        <v>1263.7239842618001</v>
      </c>
      <c r="AV34" s="6">
        <f>(HLOOKUP('Yearly Pension'!AV$2,'Credited Service'!$G$1:$BC$80,$A34+1,FALSE)) * (IF($B34=500, (Assumptions!$B$7)*12, IF((HLOOKUP(AV$2,Earnings!$G$2:$BC$81,('Yearly Pension'!$A34)+1, FALSE)) &gt; AV$1, (Assumptions!$B$8)*(AV$1) + (Assumptions!$B$9)*MAX(0,  (HLOOKUP(AV$2,Earnings!$G$2:$BC$81,('Yearly Pension'!$A34)+1, FALSE)) - AV$1), ((Assumptions!$B$8)*'Yearly Pension'!AV$1))))</f>
        <v>1308.413303789654</v>
      </c>
      <c r="AW34" s="6">
        <f>(HLOOKUP('Yearly Pension'!AW$2,'Credited Service'!$G$1:$BC$80,$A34+1,FALSE)) * (IF($B34=500, (Assumptions!$B$7)*12, IF((HLOOKUP(AW$2,Earnings!$G$2:$BC$81,('Yearly Pension'!$A34)+1, FALSE)) &gt; AW$1, (Assumptions!$B$8)*(AW$1) + (Assumptions!$B$9)*MAX(0,  (HLOOKUP(AW$2,Earnings!$G$2:$BC$81,('Yearly Pension'!$A34)+1, FALSE)) - AW$1), ((Assumptions!$B$8)*'Yearly Pension'!AW$1))))</f>
        <v>1348.7985029033439</v>
      </c>
      <c r="AX34" s="6">
        <f>(HLOOKUP('Yearly Pension'!AX$2,'Credited Service'!$G$1:$BC$80,$A34+1,FALSE)) * (IF($B34=500, (Assumptions!$B$7)*12, IF((HLOOKUP(AX$2,Earnings!$G$2:$BC$81,('Yearly Pension'!$A34)+1, FALSE)) &gt; AX$1, (Assumptions!$B$8)*(AX$1) + (Assumptions!$B$9)*MAX(0,  (HLOOKUP(AX$2,Earnings!$G$2:$BC$81,('Yearly Pension'!$A34)+1, FALSE)) - AX$1), ((Assumptions!$B$8)*'Yearly Pension'!AX$1))))</f>
        <v>1385.5888579904442</v>
      </c>
      <c r="AY34" s="6">
        <f>(HLOOKUP('Yearly Pension'!AY$2,'Credited Service'!$G$1:$BC$80,$A34+1,FALSE)) * (IF($B34=500, (Assumptions!$B$7)*12, IF((HLOOKUP(AY$2,Earnings!$G$2:$BC$81,('Yearly Pension'!$A34)+1, FALSE)) &gt; AY$1, (Assumptions!$B$8)*(AY$1) + (Assumptions!$B$9)*MAX(0,  (HLOOKUP(AY$2,Earnings!$G$2:$BC$81,('Yearly Pension'!$A34)+1, FALSE)) - AY$1), ((Assumptions!$B$8)*'Yearly Pension'!AY$1))))</f>
        <v>0</v>
      </c>
      <c r="AZ34" s="6">
        <f>(HLOOKUP('Yearly Pension'!AZ$2,'Credited Service'!$G$1:$BC$80,$A34+1,FALSE)) * (IF($B34=500, (Assumptions!$B$7)*12, IF((HLOOKUP(AZ$2,Earnings!$G$2:$BC$81,('Yearly Pension'!$A34)+1, FALSE)) &gt; AZ$1, (Assumptions!$B$8)*(AZ$1) + (Assumptions!$B$9)*MAX(0,  (HLOOKUP(AZ$2,Earnings!$G$2:$BC$81,('Yearly Pension'!$A34)+1, FALSE)) - AZ$1), ((Assumptions!$B$8)*'Yearly Pension'!AZ$1))))</f>
        <v>0</v>
      </c>
      <c r="BA34" s="6">
        <f>(HLOOKUP('Yearly Pension'!BA$2,'Credited Service'!$G$1:$BC$80,$A34+1,FALSE)) * (IF($B34=500, (Assumptions!$B$7)*12, IF((HLOOKUP(BA$2,Earnings!$G$2:$BC$81,('Yearly Pension'!$A34)+1, FALSE)) &gt; BA$1, (Assumptions!$B$8)*(BA$1) + (Assumptions!$B$9)*MAX(0,  (HLOOKUP(BA$2,Earnings!$G$2:$BC$81,('Yearly Pension'!$A34)+1, FALSE)) - BA$1), ((Assumptions!$B$8)*'Yearly Pension'!BA$1))))</f>
        <v>0</v>
      </c>
      <c r="BB34" s="6">
        <f>(HLOOKUP('Yearly Pension'!BB$2,'Credited Service'!$G$1:$BC$80,$A34+1,FALSE)) * (IF($B34=500, (Assumptions!$B$7)*12, IF((HLOOKUP(BB$2,Earnings!$G$2:$BC$81,('Yearly Pension'!$A34)+1, FALSE)) &gt; BB$1, (Assumptions!$B$8)*(BB$1) + (Assumptions!$B$9)*MAX(0,  (HLOOKUP(BB$2,Earnings!$G$2:$BC$81,('Yearly Pension'!$A34)+1, FALSE)) - BB$1), ((Assumptions!$B$8)*'Yearly Pension'!BB$1))))</f>
        <v>0</v>
      </c>
      <c r="BC34" s="6">
        <f>(HLOOKUP('Yearly Pension'!BC$2,'Credited Service'!$G$1:$BC$80,$A34+1,FALSE)) * (IF($B34=500, (Assumptions!$B$7)*12, IF((HLOOKUP(BC$2,Earnings!$G$2:$BC$81,('Yearly Pension'!$A34)+1, FALSE)) &gt; BC$1, (Assumptions!$B$8)*(BC$1) + (Assumptions!$B$9)*MAX(0,  (HLOOKUP(BC$2,Earnings!$G$2:$BC$81,('Yearly Pension'!$A34)+1, FALSE)) - BC$1), ((Assumptions!$B$8)*'Yearly Pension'!BC$1))))</f>
        <v>0</v>
      </c>
    </row>
    <row r="35" spans="1:55" x14ac:dyDescent="0.25">
      <c r="A35" s="204">
        <v>33</v>
      </c>
      <c r="B35" s="1">
        <v>600</v>
      </c>
      <c r="C35" s="1">
        <v>743</v>
      </c>
      <c r="D35" s="3">
        <v>37208</v>
      </c>
      <c r="E35" s="3">
        <v>52232</v>
      </c>
      <c r="G35" s="6">
        <f>(HLOOKUP('Yearly Pension'!G$2,'Credited Service'!$G$1:$BC$80,$A35+1,FALSE)) * (IF($B35=500, (Assumptions!$B$7)*12, IF((HLOOKUP(G$2,Earnings!$G$2:$BC$81,('Yearly Pension'!$A35)+1, FALSE)) &gt; G$1, (Assumptions!$B$8)*(G$1) + (Assumptions!$B$9)*MAX(0,  (HLOOKUP(G$2,Earnings!$G$2:$BC$81,('Yearly Pension'!$A35)+1, FALSE)) - G$1), ((Assumptions!$B$8)*'Yearly Pension'!G$1))))</f>
        <v>0</v>
      </c>
      <c r="H35" s="6">
        <f>(HLOOKUP('Yearly Pension'!H$2,'Credited Service'!$G$1:$BC$80,$A35+1,FALSE)) * (IF($B35=500, (Assumptions!$B$7)*12, IF((HLOOKUP(H$2,Earnings!$G$2:$BC$81,('Yearly Pension'!$A35)+1, FALSE)) &gt; H$1, (Assumptions!$B$8)*(H$1) + (Assumptions!$B$9)*MAX(0,  (HLOOKUP(H$2,Earnings!$G$2:$BC$81,('Yearly Pension'!$A35)+1, FALSE)) - H$1), ((Assumptions!$B$8)*'Yearly Pension'!H$1))))</f>
        <v>0</v>
      </c>
      <c r="I35" s="6">
        <f>(HLOOKUP('Yearly Pension'!I$2,'Credited Service'!$G$1:$BC$80,$A35+1,FALSE)) * (IF($B35=500, (Assumptions!$B$7)*12, IF((HLOOKUP(I$2,Earnings!$G$2:$BC$81,('Yearly Pension'!$A35)+1, FALSE)) &gt; I$1, (Assumptions!$B$8)*(I$1) + (Assumptions!$B$9)*MAX(0,  (HLOOKUP(I$2,Earnings!$G$2:$BC$81,('Yearly Pension'!$A35)+1, FALSE)) - I$1), ((Assumptions!$B$8)*'Yearly Pension'!I$1))))</f>
        <v>0</v>
      </c>
      <c r="J35" s="6">
        <f>(HLOOKUP('Yearly Pension'!J$2,'Credited Service'!$G$1:$BC$80,$A35+1,FALSE)) * (IF($B35=500, (Assumptions!$B$7)*12, IF((HLOOKUP(J$2,Earnings!$G$2:$BC$81,('Yearly Pension'!$A35)+1, FALSE)) &gt; J$1, (Assumptions!$B$8)*(J$1) + (Assumptions!$B$9)*MAX(0,  (HLOOKUP(J$2,Earnings!$G$2:$BC$81,('Yearly Pension'!$A35)+1, FALSE)) - J$1), ((Assumptions!$B$8)*'Yearly Pension'!J$1))))</f>
        <v>0</v>
      </c>
      <c r="K35" s="6">
        <f>(HLOOKUP('Yearly Pension'!K$2,'Credited Service'!$G$1:$BC$80,$A35+1,FALSE)) * (IF($B35=500, (Assumptions!$B$7)*12, IF((HLOOKUP(K$2,Earnings!$G$2:$BC$81,('Yearly Pension'!$A35)+1, FALSE)) &gt; K$1, (Assumptions!$B$8)*(K$1) + (Assumptions!$B$9)*MAX(0,  (HLOOKUP(K$2,Earnings!$G$2:$BC$81,('Yearly Pension'!$A35)+1, FALSE)) - K$1), ((Assumptions!$B$8)*'Yearly Pension'!K$1))))</f>
        <v>0</v>
      </c>
      <c r="L35" s="6">
        <f>(HLOOKUP('Yearly Pension'!L$2,'Credited Service'!$G$1:$BC$80,$A35+1,FALSE)) * (IF($B35=500, (Assumptions!$B$7)*12, IF((HLOOKUP(L$2,Earnings!$G$2:$BC$81,('Yearly Pension'!$A35)+1, FALSE)) &gt; L$1, (Assumptions!$B$8)*(L$1) + (Assumptions!$B$9)*MAX(0,  (HLOOKUP(L$2,Earnings!$G$2:$BC$81,('Yearly Pension'!$A35)+1, FALSE)) - L$1), ((Assumptions!$B$8)*'Yearly Pension'!L$1))))</f>
        <v>0</v>
      </c>
      <c r="M35" s="6">
        <f>(HLOOKUP('Yearly Pension'!M$2,'Credited Service'!$G$1:$BC$80,$A35+1,FALSE)) * (IF($B35=500, (Assumptions!$B$7)*12, IF((HLOOKUP(M$2,Earnings!$G$2:$BC$81,('Yearly Pension'!$A35)+1, FALSE)) &gt; M$1, (Assumptions!$B$8)*(M$1) + (Assumptions!$B$9)*MAX(0,  (HLOOKUP(M$2,Earnings!$G$2:$BC$81,('Yearly Pension'!$A35)+1, FALSE)) - M$1), ((Assumptions!$B$8)*'Yearly Pension'!M$1))))</f>
        <v>0</v>
      </c>
      <c r="N35" s="6">
        <f>(HLOOKUP('Yearly Pension'!N$2,'Credited Service'!$G$1:$BC$80,$A35+1,FALSE)) * (IF($B35=500, (Assumptions!$B$7)*12, IF((HLOOKUP(N$2,Earnings!$G$2:$BC$81,('Yearly Pension'!$A35)+1, FALSE)) &gt; N$1, (Assumptions!$B$8)*(N$1) + (Assumptions!$B$9)*MAX(0,  (HLOOKUP(N$2,Earnings!$G$2:$BC$81,('Yearly Pension'!$A35)+1, FALSE)) - N$1), ((Assumptions!$B$8)*'Yearly Pension'!N$1))))</f>
        <v>0</v>
      </c>
      <c r="O35" s="6">
        <f>(HLOOKUP('Yearly Pension'!O$2,'Credited Service'!$G$1:$BC$80,$A35+1,FALSE)) * (IF($B35=500, (Assumptions!$B$7)*12, IF((HLOOKUP(O$2,Earnings!$G$2:$BC$81,('Yearly Pension'!$A35)+1, FALSE)) &gt; O$1, (Assumptions!$B$8)*(O$1) + (Assumptions!$B$9)*MAX(0,  (HLOOKUP(O$2,Earnings!$G$2:$BC$81,('Yearly Pension'!$A35)+1, FALSE)) - O$1), ((Assumptions!$B$8)*'Yearly Pension'!O$1))))</f>
        <v>0</v>
      </c>
      <c r="P35" s="6">
        <f>(HLOOKUP('Yearly Pension'!P$2,'Credited Service'!$G$1:$BC$80,$A35+1,FALSE)) * (IF($B35=500, (Assumptions!$B$7)*12, IF((HLOOKUP(P$2,Earnings!$G$2:$BC$81,('Yearly Pension'!$A35)+1, FALSE)) &gt; P$1, (Assumptions!$B$8)*(P$1) + (Assumptions!$B$9)*MAX(0,  (HLOOKUP(P$2,Earnings!$G$2:$BC$81,('Yearly Pension'!$A35)+1, FALSE)) - P$1), ((Assumptions!$B$8)*'Yearly Pension'!P$1))))</f>
        <v>0</v>
      </c>
      <c r="Q35" s="6">
        <f>(HLOOKUP('Yearly Pension'!Q$2,'Credited Service'!$G$1:$BC$80,$A35+1,FALSE)) * (IF($B35=500, (Assumptions!$B$7)*12, IF((HLOOKUP(Q$2,Earnings!$G$2:$BC$81,('Yearly Pension'!$A35)+1, FALSE)) &gt; Q$1, (Assumptions!$B$8)*(Q$1) + (Assumptions!$B$9)*MAX(0,  (HLOOKUP(Q$2,Earnings!$G$2:$BC$81,('Yearly Pension'!$A35)+1, FALSE)) - Q$1), ((Assumptions!$B$8)*'Yearly Pension'!Q$1))))</f>
        <v>0</v>
      </c>
      <c r="R35" s="6">
        <f>(HLOOKUP('Yearly Pension'!R$2,'Credited Service'!$G$1:$BC$80,$A35+1,FALSE)) * (IF($B35=500, (Assumptions!$B$7)*12, IF((HLOOKUP(R$2,Earnings!$G$2:$BC$81,('Yearly Pension'!$A35)+1, FALSE)) &gt; R$1, (Assumptions!$B$8)*(R$1) + (Assumptions!$B$9)*MAX(0,  (HLOOKUP(R$2,Earnings!$G$2:$BC$81,('Yearly Pension'!$A35)+1, FALSE)) - R$1), ((Assumptions!$B$8)*'Yearly Pension'!R$1))))</f>
        <v>0</v>
      </c>
      <c r="S35" s="6">
        <f>(HLOOKUP('Yearly Pension'!S$2,'Credited Service'!$G$1:$BC$80,$A35+1,FALSE)) * (IF($B35=500, (Assumptions!$B$7)*12, IF((HLOOKUP(S$2,Earnings!$G$2:$BC$81,('Yearly Pension'!$A35)+1, FALSE)) &gt; S$1, (Assumptions!$B$8)*(S$1) + (Assumptions!$B$9)*MAX(0,  (HLOOKUP(S$2,Earnings!$G$2:$BC$81,('Yearly Pension'!$A35)+1, FALSE)) - S$1), ((Assumptions!$B$8)*'Yearly Pension'!S$1))))</f>
        <v>0</v>
      </c>
      <c r="T35" s="6">
        <f>(HLOOKUP('Yearly Pension'!T$2,'Credited Service'!$G$1:$BC$80,$A35+1,FALSE)) * (IF($B35=500, (Assumptions!$B$7)*12, IF((HLOOKUP(T$2,Earnings!$G$2:$BC$81,('Yearly Pension'!$A35)+1, FALSE)) &gt; T$1, (Assumptions!$B$8)*(T$1) + (Assumptions!$B$9)*MAX(0,  (HLOOKUP(T$2,Earnings!$G$2:$BC$81,('Yearly Pension'!$A35)+1, FALSE)) - T$1), ((Assumptions!$B$8)*'Yearly Pension'!T$1))))</f>
        <v>0</v>
      </c>
      <c r="U35" s="6">
        <f>(HLOOKUP('Yearly Pension'!U$2,'Credited Service'!$G$1:$BC$80,$A35+1,FALSE)) * (IF($B35=500, (Assumptions!$B$7)*12, IF((HLOOKUP(U$2,Earnings!$G$2:$BC$81,('Yearly Pension'!$A35)+1, FALSE)) &gt; U$1, (Assumptions!$B$8)*(U$1) + (Assumptions!$B$9)*MAX(0,  (HLOOKUP(U$2,Earnings!$G$2:$BC$81,('Yearly Pension'!$A35)+1, FALSE)) - U$1), ((Assumptions!$B$8)*'Yearly Pension'!U$1))))</f>
        <v>0</v>
      </c>
      <c r="V35" s="6">
        <f>(HLOOKUP('Yearly Pension'!V$2,'Credited Service'!$G$1:$BC$80,$A35+1,FALSE)) * (IF($B35=500, (Assumptions!$B$7)*12, IF((HLOOKUP(V$2,Earnings!$G$2:$BC$81,('Yearly Pension'!$A35)+1, FALSE)) &gt; V$1, (Assumptions!$B$8)*(V$1) + (Assumptions!$B$9)*MAX(0,  (HLOOKUP(V$2,Earnings!$G$2:$BC$81,('Yearly Pension'!$A35)+1, FALSE)) - V$1), ((Assumptions!$B$8)*'Yearly Pension'!V$1))))</f>
        <v>0</v>
      </c>
      <c r="W35" s="6">
        <f>(HLOOKUP('Yearly Pension'!W$2,'Credited Service'!$G$1:$BC$80,$A35+1,FALSE)) * (IF($B35=500, (Assumptions!$B$7)*12, IF((HLOOKUP(W$2,Earnings!$G$2:$BC$81,('Yearly Pension'!$A35)+1, FALSE)) &gt; W$1, (Assumptions!$B$8)*(W$1) + (Assumptions!$B$9)*MAX(0,  (HLOOKUP(W$2,Earnings!$G$2:$BC$81,('Yearly Pension'!$A35)+1, FALSE)) - W$1), ((Assumptions!$B$8)*'Yearly Pension'!W$1))))</f>
        <v>0</v>
      </c>
      <c r="X35" s="6">
        <f>(HLOOKUP('Yearly Pension'!X$2,'Credited Service'!$G$1:$BC$80,$A35+1,FALSE)) * (IF($B35=500, (Assumptions!$B$7)*12, IF((HLOOKUP(X$2,Earnings!$G$2:$BC$81,('Yearly Pension'!$A35)+1, FALSE)) &gt; X$1, (Assumptions!$B$8)*(X$1) + (Assumptions!$B$9)*MAX(0,  (HLOOKUP(X$2,Earnings!$G$2:$BC$81,('Yearly Pension'!$A35)+1, FALSE)) - X$1), ((Assumptions!$B$8)*'Yearly Pension'!X$1))))</f>
        <v>0</v>
      </c>
      <c r="Y35" s="6">
        <f>(HLOOKUP('Yearly Pension'!Y$2,'Credited Service'!$G$1:$BC$80,$A35+1,FALSE)) * (IF($B35=500, (Assumptions!$B$7)*12, IF((HLOOKUP(Y$2,Earnings!$G$2:$BC$81,('Yearly Pension'!$A35)+1, FALSE)) &gt; Y$1, (Assumptions!$B$8)*(Y$1) + (Assumptions!$B$9)*MAX(0,  (HLOOKUP(Y$2,Earnings!$G$2:$BC$81,('Yearly Pension'!$A35)+1, FALSE)) - Y$1), ((Assumptions!$B$8)*'Yearly Pension'!Y$1))))</f>
        <v>0</v>
      </c>
      <c r="Z35" s="6">
        <f>(HLOOKUP('Yearly Pension'!Z$2,'Credited Service'!$G$1:$BC$80,$A35+1,FALSE)) * (IF($B35=500, (Assumptions!$B$7)*12, IF((HLOOKUP(Z$2,Earnings!$G$2:$BC$81,('Yearly Pension'!$A35)+1, FALSE)) &gt; Z$1, (Assumptions!$B$8)*(Z$1) + (Assumptions!$B$9)*MAX(0,  (HLOOKUP(Z$2,Earnings!$G$2:$BC$81,('Yearly Pension'!$A35)+1, FALSE)) - Z$1), ((Assumptions!$B$8)*'Yearly Pension'!Z$1))))</f>
        <v>0</v>
      </c>
      <c r="AA35" s="6">
        <f>(HLOOKUP('Yearly Pension'!AA$2,'Credited Service'!$G$1:$BC$80,$A35+1,FALSE)) * (IF($B35=500, (Assumptions!$B$7)*12, IF((HLOOKUP(AA$2,Earnings!$G$2:$BC$81,('Yearly Pension'!$A35)+1, FALSE)) &gt; AA$1, (Assumptions!$B$8)*(AA$1) + (Assumptions!$B$9)*MAX(0,  (HLOOKUP(AA$2,Earnings!$G$2:$BC$81,('Yearly Pension'!$A35)+1, FALSE)) - AA$1), ((Assumptions!$B$8)*'Yearly Pension'!AA$1))))</f>
        <v>0</v>
      </c>
      <c r="AB35" s="6">
        <f>(HLOOKUP('Yearly Pension'!AB$2,'Credited Service'!$G$1:$BC$80,$A35+1,FALSE)) * (IF($B35=500, (Assumptions!$B$7)*12, IF((HLOOKUP(AB$2,Earnings!$G$2:$BC$81,('Yearly Pension'!$A35)+1, FALSE)) &gt; AB$1, (Assumptions!$B$8)*(AB$1) + (Assumptions!$B$9)*MAX(0,  (HLOOKUP(AB$2,Earnings!$G$2:$BC$81,('Yearly Pension'!$A35)+1, FALSE)) - AB$1), ((Assumptions!$B$8)*'Yearly Pension'!AB$1))))</f>
        <v>0</v>
      </c>
      <c r="AC35" s="6">
        <f>(HLOOKUP('Yearly Pension'!AC$2,'Credited Service'!$G$1:$BC$80,$A35+1,FALSE)) * (IF($B35=500, (Assumptions!$B$7)*12, IF((HLOOKUP(AC$2,Earnings!$G$2:$BC$81,('Yearly Pension'!$A35)+1, FALSE)) &gt; AC$1, (Assumptions!$B$8)*(AC$1) + (Assumptions!$B$9)*MAX(0,  (HLOOKUP(AC$2,Earnings!$G$2:$BC$81,('Yearly Pension'!$A35)+1, FALSE)) - AC$1), ((Assumptions!$B$8)*'Yearly Pension'!AC$1))))</f>
        <v>0</v>
      </c>
      <c r="AD35" s="6">
        <f>(HLOOKUP('Yearly Pension'!AD$2,'Credited Service'!$G$1:$BC$80,$A35+1,FALSE)) * (IF($B35=500, (Assumptions!$B$7)*12, IF((HLOOKUP(AD$2,Earnings!$G$2:$BC$81,('Yearly Pension'!$A35)+1, FALSE)) &gt; AD$1, (Assumptions!$B$8)*(AD$1) + (Assumptions!$B$9)*MAX(0,  (HLOOKUP(AD$2,Earnings!$G$2:$BC$81,('Yearly Pension'!$A35)+1, FALSE)) - AD$1), ((Assumptions!$B$8)*'Yearly Pension'!AD$1))))</f>
        <v>0</v>
      </c>
      <c r="AE35" s="6">
        <f>(HLOOKUP('Yearly Pension'!AE$2,'Credited Service'!$G$1:$BC$80,$A35+1,FALSE)) * (IF($B35=500, (Assumptions!$B$7)*12, IF((HLOOKUP(AE$2,Earnings!$G$2:$BC$81,('Yearly Pension'!$A35)+1, FALSE)) &gt; AE$1, (Assumptions!$B$8)*(AE$1) + (Assumptions!$B$9)*MAX(0,  (HLOOKUP(AE$2,Earnings!$G$2:$BC$81,('Yearly Pension'!$A35)+1, FALSE)) - AE$1), ((Assumptions!$B$8)*'Yearly Pension'!AE$1))))</f>
        <v>54.488434349799867</v>
      </c>
      <c r="AF35" s="6">
        <f>(HLOOKUP('Yearly Pension'!AF$2,'Credited Service'!$G$1:$BC$80,$A35+1,FALSE)) * (IF($B35=500, (Assumptions!$B$7)*12, IF((HLOOKUP(AF$2,Earnings!$G$2:$BC$81,('Yearly Pension'!$A35)+1, FALSE)) &gt; AF$1, (Assumptions!$B$8)*(AF$1) + (Assumptions!$B$9)*MAX(0,  (HLOOKUP(AF$2,Earnings!$G$2:$BC$81,('Yearly Pension'!$A35)+1, FALSE)) - AF$1), ((Assumptions!$B$8)*'Yearly Pension'!AF$1))))</f>
        <v>684.70046068550243</v>
      </c>
      <c r="AG35" s="6">
        <f>(HLOOKUP('Yearly Pension'!AG$2,'Credited Service'!$G$1:$BC$80,$A35+1,FALSE)) * (IF($B35=500, (Assumptions!$B$7)*12, IF((HLOOKUP(AG$2,Earnings!$G$2:$BC$81,('Yearly Pension'!$A35)+1, FALSE)) &gt; AG$1, (Assumptions!$B$8)*(AG$1) + (Assumptions!$B$9)*MAX(0,  (HLOOKUP(AG$2,Earnings!$G$2:$BC$81,('Yearly Pension'!$A35)+1, FALSE)) - AG$1), ((Assumptions!$B$8)*'Yearly Pension'!AG$1))))</f>
        <v>716.97807911292261</v>
      </c>
      <c r="AH35" s="6">
        <f>(HLOOKUP('Yearly Pension'!AH$2,'Credited Service'!$G$1:$BC$80,$A35+1,FALSE)) * (IF($B35=500, (Assumptions!$B$7)*12, IF((HLOOKUP(AH$2,Earnings!$G$2:$BC$81,('Yearly Pension'!$A35)+1, FALSE)) &gt; AH$1, (Assumptions!$B$8)*(AH$1) + (Assumptions!$B$9)*MAX(0,  (HLOOKUP(AH$2,Earnings!$G$2:$BC$81,('Yearly Pension'!$A35)+1, FALSE)) - AH$1), ((Assumptions!$B$8)*'Yearly Pension'!AH$1))))</f>
        <v>752.03160227743945</v>
      </c>
      <c r="AI35" s="6">
        <f>(HLOOKUP('Yearly Pension'!AI$2,'Credited Service'!$G$1:$BC$80,$A35+1,FALSE)) * (IF($B35=500, (Assumptions!$B$7)*12, IF((HLOOKUP(AI$2,Earnings!$G$2:$BC$81,('Yearly Pension'!$A35)+1, FALSE)) &gt; AI$1, (Assumptions!$B$8)*(AI$1) + (Assumptions!$B$9)*MAX(0,  (HLOOKUP(AI$2,Earnings!$G$2:$BC$81,('Yearly Pension'!$A35)+1, FALSE)) - AI$1), ((Assumptions!$B$8)*'Yearly Pension'!AI$1))))</f>
        <v>788.64086636853699</v>
      </c>
      <c r="AJ35" s="6">
        <f>(HLOOKUP('Yearly Pension'!AJ$2,'Credited Service'!$G$1:$BC$80,$A35+1,FALSE)) * (IF($B35=500, (Assumptions!$B$7)*12, IF((HLOOKUP(AJ$2,Earnings!$G$2:$BC$81,('Yearly Pension'!$A35)+1, FALSE)) &gt; AJ$1, (Assumptions!$B$8)*(AJ$1) + (Assumptions!$B$9)*MAX(0,  (HLOOKUP(AJ$2,Earnings!$G$2:$BC$81,('Yearly Pension'!$A35)+1, FALSE)) - AJ$1), ((Assumptions!$B$8)*'Yearly Pension'!AJ$1))))</f>
        <v>824.3081010232786</v>
      </c>
      <c r="AK35" s="6">
        <f>(HLOOKUP('Yearly Pension'!AK$2,'Credited Service'!$G$1:$BC$80,$A35+1,FALSE)) * (IF($B35=500, (Assumptions!$B$7)*12, IF((HLOOKUP(AK$2,Earnings!$G$2:$BC$81,('Yearly Pension'!$A35)+1, FALSE)) &gt; AK$1, (Assumptions!$B$8)*(AK$1) + (Assumptions!$B$9)*MAX(0,  (HLOOKUP(AK$2,Earnings!$G$2:$BC$81,('Yearly Pension'!$A35)+1, FALSE)) - AK$1), ((Assumptions!$B$8)*'Yearly Pension'!AK$1))))</f>
        <v>857.81802506420968</v>
      </c>
      <c r="AL35" s="6">
        <f>(HLOOKUP('Yearly Pension'!AL$2,'Credited Service'!$G$1:$BC$80,$A35+1,FALSE)) * (IF($B35=500, (Assumptions!$B$7)*12, IF((HLOOKUP(AL$2,Earnings!$G$2:$BC$81,('Yearly Pension'!$A35)+1, FALSE)) &gt; AL$1, (Assumptions!$B$8)*(AL$1) + (Assumptions!$B$9)*MAX(0,  (HLOOKUP(AL$2,Earnings!$G$2:$BC$81,('Yearly Pension'!$A35)+1, FALSE)) - AL$1), ((Assumptions!$B$8)*'Yearly Pension'!AL$1))))</f>
        <v>895.63794606677823</v>
      </c>
      <c r="AM35" s="6">
        <f>(HLOOKUP('Yearly Pension'!AM$2,'Credited Service'!$G$1:$BC$80,$A35+1,FALSE)) * (IF($B35=500, (Assumptions!$B$7)*12, IF((HLOOKUP(AM$2,Earnings!$G$2:$BC$81,('Yearly Pension'!$A35)+1, FALSE)) &gt; AM$1, (Assumptions!$B$8)*(AM$1) + (Assumptions!$B$9)*MAX(0,  (HLOOKUP(AM$2,Earnings!$G$2:$BC$81,('Yearly Pension'!$A35)+1, FALSE)) - AM$1), ((Assumptions!$B$8)*'Yearly Pension'!AM$1))))</f>
        <v>933.99786390944928</v>
      </c>
      <c r="AN35" s="6">
        <f>(HLOOKUP('Yearly Pension'!AN$2,'Credited Service'!$G$1:$BC$80,$A35+1,FALSE)) * (IF($B35=500, (Assumptions!$B$7)*12, IF((HLOOKUP(AN$2,Earnings!$G$2:$BC$81,('Yearly Pension'!$A35)+1, FALSE)) &gt; AN$1, (Assumptions!$B$8)*(AN$1) + (Assumptions!$B$9)*MAX(0,  (HLOOKUP(AN$2,Earnings!$G$2:$BC$81,('Yearly Pension'!$A35)+1, FALSE)) - AN$1), ((Assumptions!$B$8)*'Yearly Pension'!AN$1))))</f>
        <v>977.45057846582745</v>
      </c>
      <c r="AO35" s="6">
        <f>(HLOOKUP('Yearly Pension'!AO$2,'Credited Service'!$G$1:$BC$80,$A35+1,FALSE)) * (IF($B35=500, (Assumptions!$B$7)*12, IF((HLOOKUP(AO$2,Earnings!$G$2:$BC$81,('Yearly Pension'!$A35)+1, FALSE)) &gt; AO$1, (Assumptions!$B$8)*(AO$1) + (Assumptions!$B$9)*MAX(0,  (HLOOKUP(AO$2,Earnings!$G$2:$BC$81,('Yearly Pension'!$A35)+1, FALSE)) - AO$1), ((Assumptions!$B$8)*'Yearly Pension'!AO$1))))</f>
        <v>1021.5918016044607</v>
      </c>
      <c r="AP35" s="6">
        <f>(HLOOKUP('Yearly Pension'!AP$2,'Credited Service'!$G$1:$BC$80,$A35+1,FALSE)) * (IF($B35=500, (Assumptions!$B$7)*12, IF((HLOOKUP(AP$2,Earnings!$G$2:$BC$81,('Yearly Pension'!$A35)+1, FALSE)) &gt; AP$1, (Assumptions!$B$8)*(AP$1) + (Assumptions!$B$9)*MAX(0,  (HLOOKUP(AP$2,Earnings!$G$2:$BC$81,('Yearly Pension'!$A35)+1, FALSE)) - AP$1), ((Assumptions!$B$8)*'Yearly Pension'!AP$1))))</f>
        <v>1063.3002736686392</v>
      </c>
      <c r="AQ35" s="6">
        <f>(HLOOKUP('Yearly Pension'!AQ$2,'Credited Service'!$G$1:$BC$80,$A35+1,FALSE)) * (IF($B35=500, (Assumptions!$B$7)*12, IF((HLOOKUP(AQ$2,Earnings!$G$2:$BC$81,('Yearly Pension'!$A35)+1, FALSE)) &gt; AQ$1, (Assumptions!$B$8)*(AQ$1) + (Assumptions!$B$9)*MAX(0,  (HLOOKUP(AQ$2,Earnings!$G$2:$BC$81,('Yearly Pension'!$A35)+1, FALSE)) - AQ$1), ((Assumptions!$B$8)*'Yearly Pension'!AQ$1))))</f>
        <v>1112.2578846153847</v>
      </c>
      <c r="AR35" s="6">
        <f>(HLOOKUP('Yearly Pension'!AR$2,'Credited Service'!$G$1:$BC$80,$A35+1,FALSE)) * (IF($B35=500, (Assumptions!$B$7)*12, IF((HLOOKUP(AR$2,Earnings!$G$2:$BC$81,('Yearly Pension'!$A35)+1, FALSE)) &gt; AR$1, (Assumptions!$B$8)*(AR$1) + (Assumptions!$B$9)*MAX(0,  (HLOOKUP(AR$2,Earnings!$G$2:$BC$81,('Yearly Pension'!$A35)+1, FALSE)) - AR$1), ((Assumptions!$B$8)*'Yearly Pension'!AR$1))))</f>
        <v>1160.8698000000002</v>
      </c>
      <c r="AS35" s="6">
        <f>(HLOOKUP('Yearly Pension'!AS$2,'Credited Service'!$G$1:$BC$80,$A35+1,FALSE)) * (IF($B35=500, (Assumptions!$B$7)*12, IF((HLOOKUP(AS$2,Earnings!$G$2:$BC$81,('Yearly Pension'!$A35)+1, FALSE)) &gt; AS$1, (Assumptions!$B$8)*(AS$1) + (Assumptions!$B$9)*MAX(0,  (HLOOKUP(AS$2,Earnings!$G$2:$BC$81,('Yearly Pension'!$A35)+1, FALSE)) - AS$1), ((Assumptions!$B$8)*'Yearly Pension'!AS$1))))</f>
        <v>1198.7358940000001</v>
      </c>
      <c r="AT35" s="6">
        <f>(HLOOKUP('Yearly Pension'!AT$2,'Credited Service'!$G$1:$BC$80,$A35+1,FALSE)) * (IF($B35=500, (Assumptions!$B$7)*12, IF((HLOOKUP(AT$2,Earnings!$G$2:$BC$81,('Yearly Pension'!$A35)+1, FALSE)) &gt; AT$1, (Assumptions!$B$8)*(AT$1) + (Assumptions!$B$9)*MAX(0,  (HLOOKUP(AT$2,Earnings!$G$2:$BC$81,('Yearly Pension'!$A35)+1, FALSE)) - AT$1), ((Assumptions!$B$8)*'Yearly Pension'!AT$1))))</f>
        <v>1236.6691708200003</v>
      </c>
      <c r="AU35" s="6">
        <f>(HLOOKUP('Yearly Pension'!AU$2,'Credited Service'!$G$1:$BC$80,$A35+1,FALSE)) * (IF($B35=500, (Assumptions!$B$7)*12, IF((HLOOKUP(AU$2,Earnings!$G$2:$BC$81,('Yearly Pension'!$A35)+1, FALSE)) &gt; AU$1, (Assumptions!$B$8)*(AU$1) + (Assumptions!$B$9)*MAX(0,  (HLOOKUP(AU$2,Earnings!$G$2:$BC$81,('Yearly Pension'!$A35)+1, FALSE)) - AU$1), ((Assumptions!$B$8)*'Yearly Pension'!AU$1))))</f>
        <v>1281.7500459446005</v>
      </c>
      <c r="AV35" s="6">
        <f>(HLOOKUP('Yearly Pension'!AV$2,'Credited Service'!$G$1:$BC$80,$A35+1,FALSE)) * (IF($B35=500, (Assumptions!$B$7)*12, IF((HLOOKUP(AV$2,Earnings!$G$2:$BC$81,('Yearly Pension'!$A35)+1, FALSE)) &gt; AV$1, (Assumptions!$B$8)*(AV$1) + (Assumptions!$B$9)*MAX(0,  (HLOOKUP(AV$2,Earnings!$G$2:$BC$81,('Yearly Pension'!$A35)+1, FALSE)) - AV$1), ((Assumptions!$B$8)*'Yearly Pension'!AV$1))))</f>
        <v>1326.9801473229386</v>
      </c>
      <c r="AW35" s="6">
        <f>(HLOOKUP('Yearly Pension'!AW$2,'Credited Service'!$G$1:$BC$80,$A35+1,FALSE)) * (IF($B35=500, (Assumptions!$B$7)*12, IF((HLOOKUP(AW$2,Earnings!$G$2:$BC$81,('Yearly Pension'!$A35)+1, FALSE)) &gt; AW$1, (Assumptions!$B$8)*(AW$1) + (Assumptions!$B$9)*MAX(0,  (HLOOKUP(AW$2,Earnings!$G$2:$BC$81,('Yearly Pension'!$A35)+1, FALSE)) - AW$1), ((Assumptions!$B$8)*'Yearly Pension'!AW$1))))</f>
        <v>1367.9223517426267</v>
      </c>
      <c r="AX35" s="6">
        <f>(HLOOKUP('Yearly Pension'!AX$2,'Credited Service'!$G$1:$BC$80,$A35+1,FALSE)) * (IF($B35=500, (Assumptions!$B$7)*12, IF((HLOOKUP(AX$2,Earnings!$G$2:$BC$81,('Yearly Pension'!$A35)+1, FALSE)) &gt; AX$1, (Assumptions!$B$8)*(AX$1) + (Assumptions!$B$9)*MAX(0,  (HLOOKUP(AX$2,Earnings!$G$2:$BC$81,('Yearly Pension'!$A35)+1, FALSE)) - AX$1), ((Assumptions!$B$8)*'Yearly Pension'!AX$1))))</f>
        <v>1405.2864222949054</v>
      </c>
      <c r="AY35" s="6">
        <f>(HLOOKUP('Yearly Pension'!AY$2,'Credited Service'!$G$1:$BC$80,$A35+1,FALSE)) * (IF($B35=500, (Assumptions!$B$7)*12, IF((HLOOKUP(AY$2,Earnings!$G$2:$BC$81,('Yearly Pension'!$A35)+1, FALSE)) &gt; AY$1, (Assumptions!$B$8)*(AY$1) + (Assumptions!$B$9)*MAX(0,  (HLOOKUP(AY$2,Earnings!$G$2:$BC$81,('Yearly Pension'!$A35)+1, FALSE)) - AY$1), ((Assumptions!$B$8)*'Yearly Pension'!AY$1))))</f>
        <v>1443.6244709637526</v>
      </c>
      <c r="AZ35" s="6">
        <f>(HLOOKUP('Yearly Pension'!AZ$2,'Credited Service'!$G$1:$BC$80,$A35+1,FALSE)) * (IF($B35=500, (Assumptions!$B$7)*12, IF((HLOOKUP(AZ$2,Earnings!$G$2:$BC$81,('Yearly Pension'!$A35)+1, FALSE)) &gt; AZ$1, (Assumptions!$B$8)*(AZ$1) + (Assumptions!$B$9)*MAX(0,  (HLOOKUP(AZ$2,Earnings!$G$2:$BC$81,('Yearly Pension'!$A35)+1, FALSE)) - AZ$1), ((Assumptions!$B$8)*'Yearly Pension'!AZ$1))))</f>
        <v>1482.9598393326651</v>
      </c>
      <c r="BA35" s="6">
        <f>(HLOOKUP('Yearly Pension'!BA$2,'Credited Service'!$G$1:$BC$80,$A35+1,FALSE)) * (IF($B35=500, (Assumptions!$B$7)*12, IF((HLOOKUP(BA$2,Earnings!$G$2:$BC$81,('Yearly Pension'!$A35)+1, FALSE)) &gt; BA$1, (Assumptions!$B$8)*(BA$1) + (Assumptions!$B$9)*MAX(0,  (HLOOKUP(BA$2,Earnings!$G$2:$BC$81,('Yearly Pension'!$A35)+1, FALSE)) - BA$1), ((Assumptions!$B$8)*'Yearly Pension'!BA$1))))</f>
        <v>1523.3163341222453</v>
      </c>
      <c r="BB35" s="6">
        <f>(HLOOKUP('Yearly Pension'!BB$2,'Credited Service'!$G$1:$BC$80,$A35+1,FALSE)) * (IF($B35=500, (Assumptions!$B$7)*12, IF((HLOOKUP(BB$2,Earnings!$G$2:$BC$81,('Yearly Pension'!$A35)+1, FALSE)) &gt; BB$1, (Assumptions!$B$8)*(BB$1) + (Assumptions!$B$9)*MAX(0,  (HLOOKUP(BB$2,Earnings!$G$2:$BC$81,('Yearly Pension'!$A35)+1, FALSE)) - BB$1), ((Assumptions!$B$8)*'Yearly Pension'!BB$1))))</f>
        <v>1564.7182317398967</v>
      </c>
      <c r="BC35" s="6">
        <f>(HLOOKUP('Yearly Pension'!BC$2,'Credited Service'!$G$1:$BC$80,$A35+1,FALSE)) * (IF($B35=500, (Assumptions!$B$7)*12, IF((HLOOKUP(BC$2,Earnings!$G$2:$BC$81,('Yearly Pension'!$A35)+1, FALSE)) &gt; BC$1, (Assumptions!$B$8)*(BC$1) + (Assumptions!$B$9)*MAX(0,  (HLOOKUP(BC$2,Earnings!$G$2:$BC$81,('Yearly Pension'!$A35)+1, FALSE)) - BC$1), ((Assumptions!$B$8)*'Yearly Pension'!BC$1))))</f>
        <v>1607.1902825898369</v>
      </c>
    </row>
    <row r="36" spans="1:55" x14ac:dyDescent="0.25">
      <c r="A36" s="204">
        <v>34</v>
      </c>
      <c r="B36" s="1">
        <v>600</v>
      </c>
      <c r="C36" s="1">
        <v>742</v>
      </c>
      <c r="D36" s="3">
        <v>37165</v>
      </c>
      <c r="E36" s="3">
        <v>47757</v>
      </c>
      <c r="G36" s="6">
        <f>(HLOOKUP('Yearly Pension'!G$2,'Credited Service'!$G$1:$BC$80,$A36+1,FALSE)) * (IF($B36=500, (Assumptions!$B$7)*12, IF((HLOOKUP(G$2,Earnings!$G$2:$BC$81,('Yearly Pension'!$A36)+1, FALSE)) &gt; G$1, (Assumptions!$B$8)*(G$1) + (Assumptions!$B$9)*MAX(0,  (HLOOKUP(G$2,Earnings!$G$2:$BC$81,('Yearly Pension'!$A36)+1, FALSE)) - G$1), ((Assumptions!$B$8)*'Yearly Pension'!G$1))))</f>
        <v>0</v>
      </c>
      <c r="H36" s="6">
        <f>(HLOOKUP('Yearly Pension'!H$2,'Credited Service'!$G$1:$BC$80,$A36+1,FALSE)) * (IF($B36=500, (Assumptions!$B$7)*12, IF((HLOOKUP(H$2,Earnings!$G$2:$BC$81,('Yearly Pension'!$A36)+1, FALSE)) &gt; H$1, (Assumptions!$B$8)*(H$1) + (Assumptions!$B$9)*MAX(0,  (HLOOKUP(H$2,Earnings!$G$2:$BC$81,('Yearly Pension'!$A36)+1, FALSE)) - H$1), ((Assumptions!$B$8)*'Yearly Pension'!H$1))))</f>
        <v>0</v>
      </c>
      <c r="I36" s="6">
        <f>(HLOOKUP('Yearly Pension'!I$2,'Credited Service'!$G$1:$BC$80,$A36+1,FALSE)) * (IF($B36=500, (Assumptions!$B$7)*12, IF((HLOOKUP(I$2,Earnings!$G$2:$BC$81,('Yearly Pension'!$A36)+1, FALSE)) &gt; I$1, (Assumptions!$B$8)*(I$1) + (Assumptions!$B$9)*MAX(0,  (HLOOKUP(I$2,Earnings!$G$2:$BC$81,('Yearly Pension'!$A36)+1, FALSE)) - I$1), ((Assumptions!$B$8)*'Yearly Pension'!I$1))))</f>
        <v>0</v>
      </c>
      <c r="J36" s="6">
        <f>(HLOOKUP('Yearly Pension'!J$2,'Credited Service'!$G$1:$BC$80,$A36+1,FALSE)) * (IF($B36=500, (Assumptions!$B$7)*12, IF((HLOOKUP(J$2,Earnings!$G$2:$BC$81,('Yearly Pension'!$A36)+1, FALSE)) &gt; J$1, (Assumptions!$B$8)*(J$1) + (Assumptions!$B$9)*MAX(0,  (HLOOKUP(J$2,Earnings!$G$2:$BC$81,('Yearly Pension'!$A36)+1, FALSE)) - J$1), ((Assumptions!$B$8)*'Yearly Pension'!J$1))))</f>
        <v>0</v>
      </c>
      <c r="K36" s="6">
        <f>(HLOOKUP('Yearly Pension'!K$2,'Credited Service'!$G$1:$BC$80,$A36+1,FALSE)) * (IF($B36=500, (Assumptions!$B$7)*12, IF((HLOOKUP(K$2,Earnings!$G$2:$BC$81,('Yearly Pension'!$A36)+1, FALSE)) &gt; K$1, (Assumptions!$B$8)*(K$1) + (Assumptions!$B$9)*MAX(0,  (HLOOKUP(K$2,Earnings!$G$2:$BC$81,('Yearly Pension'!$A36)+1, FALSE)) - K$1), ((Assumptions!$B$8)*'Yearly Pension'!K$1))))</f>
        <v>0</v>
      </c>
      <c r="L36" s="6">
        <f>(HLOOKUP('Yearly Pension'!L$2,'Credited Service'!$G$1:$BC$80,$A36+1,FALSE)) * (IF($B36=500, (Assumptions!$B$7)*12, IF((HLOOKUP(L$2,Earnings!$G$2:$BC$81,('Yearly Pension'!$A36)+1, FALSE)) &gt; L$1, (Assumptions!$B$8)*(L$1) + (Assumptions!$B$9)*MAX(0,  (HLOOKUP(L$2,Earnings!$G$2:$BC$81,('Yearly Pension'!$A36)+1, FALSE)) - L$1), ((Assumptions!$B$8)*'Yearly Pension'!L$1))))</f>
        <v>0</v>
      </c>
      <c r="M36" s="6">
        <f>(HLOOKUP('Yearly Pension'!M$2,'Credited Service'!$G$1:$BC$80,$A36+1,FALSE)) * (IF($B36=500, (Assumptions!$B$7)*12, IF((HLOOKUP(M$2,Earnings!$G$2:$BC$81,('Yearly Pension'!$A36)+1, FALSE)) &gt; M$1, (Assumptions!$B$8)*(M$1) + (Assumptions!$B$9)*MAX(0,  (HLOOKUP(M$2,Earnings!$G$2:$BC$81,('Yearly Pension'!$A36)+1, FALSE)) - M$1), ((Assumptions!$B$8)*'Yearly Pension'!M$1))))</f>
        <v>0</v>
      </c>
      <c r="N36" s="6">
        <f>(HLOOKUP('Yearly Pension'!N$2,'Credited Service'!$G$1:$BC$80,$A36+1,FALSE)) * (IF($B36=500, (Assumptions!$B$7)*12, IF((HLOOKUP(N$2,Earnings!$G$2:$BC$81,('Yearly Pension'!$A36)+1, FALSE)) &gt; N$1, (Assumptions!$B$8)*(N$1) + (Assumptions!$B$9)*MAX(0,  (HLOOKUP(N$2,Earnings!$G$2:$BC$81,('Yearly Pension'!$A36)+1, FALSE)) - N$1), ((Assumptions!$B$8)*'Yearly Pension'!N$1))))</f>
        <v>0</v>
      </c>
      <c r="O36" s="6">
        <f>(HLOOKUP('Yearly Pension'!O$2,'Credited Service'!$G$1:$BC$80,$A36+1,FALSE)) * (IF($B36=500, (Assumptions!$B$7)*12, IF((HLOOKUP(O$2,Earnings!$G$2:$BC$81,('Yearly Pension'!$A36)+1, FALSE)) &gt; O$1, (Assumptions!$B$8)*(O$1) + (Assumptions!$B$9)*MAX(0,  (HLOOKUP(O$2,Earnings!$G$2:$BC$81,('Yearly Pension'!$A36)+1, FALSE)) - O$1), ((Assumptions!$B$8)*'Yearly Pension'!O$1))))</f>
        <v>0</v>
      </c>
      <c r="P36" s="6">
        <f>(HLOOKUP('Yearly Pension'!P$2,'Credited Service'!$G$1:$BC$80,$A36+1,FALSE)) * (IF($B36=500, (Assumptions!$B$7)*12, IF((HLOOKUP(P$2,Earnings!$G$2:$BC$81,('Yearly Pension'!$A36)+1, FALSE)) &gt; P$1, (Assumptions!$B$8)*(P$1) + (Assumptions!$B$9)*MAX(0,  (HLOOKUP(P$2,Earnings!$G$2:$BC$81,('Yearly Pension'!$A36)+1, FALSE)) - P$1), ((Assumptions!$B$8)*'Yearly Pension'!P$1))))</f>
        <v>0</v>
      </c>
      <c r="Q36" s="6">
        <f>(HLOOKUP('Yearly Pension'!Q$2,'Credited Service'!$G$1:$BC$80,$A36+1,FALSE)) * (IF($B36=500, (Assumptions!$B$7)*12, IF((HLOOKUP(Q$2,Earnings!$G$2:$BC$81,('Yearly Pension'!$A36)+1, FALSE)) &gt; Q$1, (Assumptions!$B$8)*(Q$1) + (Assumptions!$B$9)*MAX(0,  (HLOOKUP(Q$2,Earnings!$G$2:$BC$81,('Yearly Pension'!$A36)+1, FALSE)) - Q$1), ((Assumptions!$B$8)*'Yearly Pension'!Q$1))))</f>
        <v>0</v>
      </c>
      <c r="R36" s="6">
        <f>(HLOOKUP('Yearly Pension'!R$2,'Credited Service'!$G$1:$BC$80,$A36+1,FALSE)) * (IF($B36=500, (Assumptions!$B$7)*12, IF((HLOOKUP(R$2,Earnings!$G$2:$BC$81,('Yearly Pension'!$A36)+1, FALSE)) &gt; R$1, (Assumptions!$B$8)*(R$1) + (Assumptions!$B$9)*MAX(0,  (HLOOKUP(R$2,Earnings!$G$2:$BC$81,('Yearly Pension'!$A36)+1, FALSE)) - R$1), ((Assumptions!$B$8)*'Yearly Pension'!R$1))))</f>
        <v>0</v>
      </c>
      <c r="S36" s="6">
        <f>(HLOOKUP('Yearly Pension'!S$2,'Credited Service'!$G$1:$BC$80,$A36+1,FALSE)) * (IF($B36=500, (Assumptions!$B$7)*12, IF((HLOOKUP(S$2,Earnings!$G$2:$BC$81,('Yearly Pension'!$A36)+1, FALSE)) &gt; S$1, (Assumptions!$B$8)*(S$1) + (Assumptions!$B$9)*MAX(0,  (HLOOKUP(S$2,Earnings!$G$2:$BC$81,('Yearly Pension'!$A36)+1, FALSE)) - S$1), ((Assumptions!$B$8)*'Yearly Pension'!S$1))))</f>
        <v>0</v>
      </c>
      <c r="T36" s="6">
        <f>(HLOOKUP('Yearly Pension'!T$2,'Credited Service'!$G$1:$BC$80,$A36+1,FALSE)) * (IF($B36=500, (Assumptions!$B$7)*12, IF((HLOOKUP(T$2,Earnings!$G$2:$BC$81,('Yearly Pension'!$A36)+1, FALSE)) &gt; T$1, (Assumptions!$B$8)*(T$1) + (Assumptions!$B$9)*MAX(0,  (HLOOKUP(T$2,Earnings!$G$2:$BC$81,('Yearly Pension'!$A36)+1, FALSE)) - T$1), ((Assumptions!$B$8)*'Yearly Pension'!T$1))))</f>
        <v>0</v>
      </c>
      <c r="U36" s="6">
        <f>(HLOOKUP('Yearly Pension'!U$2,'Credited Service'!$G$1:$BC$80,$A36+1,FALSE)) * (IF($B36=500, (Assumptions!$B$7)*12, IF((HLOOKUP(U$2,Earnings!$G$2:$BC$81,('Yearly Pension'!$A36)+1, FALSE)) &gt; U$1, (Assumptions!$B$8)*(U$1) + (Assumptions!$B$9)*MAX(0,  (HLOOKUP(U$2,Earnings!$G$2:$BC$81,('Yearly Pension'!$A36)+1, FALSE)) - U$1), ((Assumptions!$B$8)*'Yearly Pension'!U$1))))</f>
        <v>0</v>
      </c>
      <c r="V36" s="6">
        <f>(HLOOKUP('Yearly Pension'!V$2,'Credited Service'!$G$1:$BC$80,$A36+1,FALSE)) * (IF($B36=500, (Assumptions!$B$7)*12, IF((HLOOKUP(V$2,Earnings!$G$2:$BC$81,('Yearly Pension'!$A36)+1, FALSE)) &gt; V$1, (Assumptions!$B$8)*(V$1) + (Assumptions!$B$9)*MAX(0,  (HLOOKUP(V$2,Earnings!$G$2:$BC$81,('Yearly Pension'!$A36)+1, FALSE)) - V$1), ((Assumptions!$B$8)*'Yearly Pension'!V$1))))</f>
        <v>0</v>
      </c>
      <c r="W36" s="6">
        <f>(HLOOKUP('Yearly Pension'!W$2,'Credited Service'!$G$1:$BC$80,$A36+1,FALSE)) * (IF($B36=500, (Assumptions!$B$7)*12, IF((HLOOKUP(W$2,Earnings!$G$2:$BC$81,('Yearly Pension'!$A36)+1, FALSE)) &gt; W$1, (Assumptions!$B$8)*(W$1) + (Assumptions!$B$9)*MAX(0,  (HLOOKUP(W$2,Earnings!$G$2:$BC$81,('Yearly Pension'!$A36)+1, FALSE)) - W$1), ((Assumptions!$B$8)*'Yearly Pension'!W$1))))</f>
        <v>0</v>
      </c>
      <c r="X36" s="6">
        <f>(HLOOKUP('Yearly Pension'!X$2,'Credited Service'!$G$1:$BC$80,$A36+1,FALSE)) * (IF($B36=500, (Assumptions!$B$7)*12, IF((HLOOKUP(X$2,Earnings!$G$2:$BC$81,('Yearly Pension'!$A36)+1, FALSE)) &gt; X$1, (Assumptions!$B$8)*(X$1) + (Assumptions!$B$9)*MAX(0,  (HLOOKUP(X$2,Earnings!$G$2:$BC$81,('Yearly Pension'!$A36)+1, FALSE)) - X$1), ((Assumptions!$B$8)*'Yearly Pension'!X$1))))</f>
        <v>0</v>
      </c>
      <c r="Y36" s="6">
        <f>(HLOOKUP('Yearly Pension'!Y$2,'Credited Service'!$G$1:$BC$80,$A36+1,FALSE)) * (IF($B36=500, (Assumptions!$B$7)*12, IF((HLOOKUP(Y$2,Earnings!$G$2:$BC$81,('Yearly Pension'!$A36)+1, FALSE)) &gt; Y$1, (Assumptions!$B$8)*(Y$1) + (Assumptions!$B$9)*MAX(0,  (HLOOKUP(Y$2,Earnings!$G$2:$BC$81,('Yearly Pension'!$A36)+1, FALSE)) - Y$1), ((Assumptions!$B$8)*'Yearly Pension'!Y$1))))</f>
        <v>0</v>
      </c>
      <c r="Z36" s="6">
        <f>(HLOOKUP('Yearly Pension'!Z$2,'Credited Service'!$G$1:$BC$80,$A36+1,FALSE)) * (IF($B36=500, (Assumptions!$B$7)*12, IF((HLOOKUP(Z$2,Earnings!$G$2:$BC$81,('Yearly Pension'!$A36)+1, FALSE)) &gt; Z$1, (Assumptions!$B$8)*(Z$1) + (Assumptions!$B$9)*MAX(0,  (HLOOKUP(Z$2,Earnings!$G$2:$BC$81,('Yearly Pension'!$A36)+1, FALSE)) - Z$1), ((Assumptions!$B$8)*'Yearly Pension'!Z$1))))</f>
        <v>0</v>
      </c>
      <c r="AA36" s="6">
        <f>(HLOOKUP('Yearly Pension'!AA$2,'Credited Service'!$G$1:$BC$80,$A36+1,FALSE)) * (IF($B36=500, (Assumptions!$B$7)*12, IF((HLOOKUP(AA$2,Earnings!$G$2:$BC$81,('Yearly Pension'!$A36)+1, FALSE)) &gt; AA$1, (Assumptions!$B$8)*(AA$1) + (Assumptions!$B$9)*MAX(0,  (HLOOKUP(AA$2,Earnings!$G$2:$BC$81,('Yearly Pension'!$A36)+1, FALSE)) - AA$1), ((Assumptions!$B$8)*'Yearly Pension'!AA$1))))</f>
        <v>0</v>
      </c>
      <c r="AB36" s="6">
        <f>(HLOOKUP('Yearly Pension'!AB$2,'Credited Service'!$G$1:$BC$80,$A36+1,FALSE)) * (IF($B36=500, (Assumptions!$B$7)*12, IF((HLOOKUP(AB$2,Earnings!$G$2:$BC$81,('Yearly Pension'!$A36)+1, FALSE)) &gt; AB$1, (Assumptions!$B$8)*(AB$1) + (Assumptions!$B$9)*MAX(0,  (HLOOKUP(AB$2,Earnings!$G$2:$BC$81,('Yearly Pension'!$A36)+1, FALSE)) - AB$1), ((Assumptions!$B$8)*'Yearly Pension'!AB$1))))</f>
        <v>0</v>
      </c>
      <c r="AC36" s="6">
        <f>(HLOOKUP('Yearly Pension'!AC$2,'Credited Service'!$G$1:$BC$80,$A36+1,FALSE)) * (IF($B36=500, (Assumptions!$B$7)*12, IF((HLOOKUP(AC$2,Earnings!$G$2:$BC$81,('Yearly Pension'!$A36)+1, FALSE)) &gt; AC$1, (Assumptions!$B$8)*(AC$1) + (Assumptions!$B$9)*MAX(0,  (HLOOKUP(AC$2,Earnings!$G$2:$BC$81,('Yearly Pension'!$A36)+1, FALSE)) - AC$1), ((Assumptions!$B$8)*'Yearly Pension'!AC$1))))</f>
        <v>0</v>
      </c>
      <c r="AD36" s="6">
        <f>(HLOOKUP('Yearly Pension'!AD$2,'Credited Service'!$G$1:$BC$80,$A36+1,FALSE)) * (IF($B36=500, (Assumptions!$B$7)*12, IF((HLOOKUP(AD$2,Earnings!$G$2:$BC$81,('Yearly Pension'!$A36)+1, FALSE)) &gt; AD$1, (Assumptions!$B$8)*(AD$1) + (Assumptions!$B$9)*MAX(0,  (HLOOKUP(AD$2,Earnings!$G$2:$BC$81,('Yearly Pension'!$A36)+1, FALSE)) - AD$1), ((Assumptions!$B$8)*'Yearly Pension'!AD$1))))</f>
        <v>0</v>
      </c>
      <c r="AE36" s="6">
        <f>(HLOOKUP('Yearly Pension'!AE$2,'Credited Service'!$G$1:$BC$80,$A36+1,FALSE)) * (IF($B36=500, (Assumptions!$B$7)*12, IF((HLOOKUP(AE$2,Earnings!$G$2:$BC$81,('Yearly Pension'!$A36)+1, FALSE)) &gt; AE$1, (Assumptions!$B$8)*(AE$1) + (Assumptions!$B$9)*MAX(0,  (HLOOKUP(AE$2,Earnings!$G$2:$BC$81,('Yearly Pension'!$A36)+1, FALSE)) - AE$1), ((Assumptions!$B$8)*'Yearly Pension'!AE$1))))</f>
        <v>165.94210060932332</v>
      </c>
      <c r="AF36" s="6">
        <f>(HLOOKUP('Yearly Pension'!AF$2,'Credited Service'!$G$1:$BC$80,$A36+1,FALSE)) * (IF($B36=500, (Assumptions!$B$7)*12, IF((HLOOKUP(AF$2,Earnings!$G$2:$BC$81,('Yearly Pension'!$A36)+1, FALSE)) &gt; AF$1, (Assumptions!$B$8)*(AF$1) + (Assumptions!$B$9)*MAX(0,  (HLOOKUP(AF$2,Earnings!$G$2:$BC$81,('Yearly Pension'!$A36)+1, FALSE)) - AF$1), ((Assumptions!$B$8)*'Yearly Pension'!AF$1))))</f>
        <v>695.00393853478499</v>
      </c>
      <c r="AG36" s="6">
        <f>(HLOOKUP('Yearly Pension'!AG$2,'Credited Service'!$G$1:$BC$80,$A36+1,FALSE)) * (IF($B36=500, (Assumptions!$B$7)*12, IF((HLOOKUP(AG$2,Earnings!$G$2:$BC$81,('Yearly Pension'!$A36)+1, FALSE)) &gt; AG$1, (Assumptions!$B$8)*(AG$1) + (Assumptions!$B$9)*MAX(0,  (HLOOKUP(AG$2,Earnings!$G$2:$BC$81,('Yearly Pension'!$A36)+1, FALSE)) - AG$1), ((Assumptions!$B$8)*'Yearly Pension'!AG$1))))</f>
        <v>727.69369607617637</v>
      </c>
      <c r="AH36" s="6">
        <f>(HLOOKUP('Yearly Pension'!AH$2,'Credited Service'!$G$1:$BC$80,$A36+1,FALSE)) * (IF($B36=500, (Assumptions!$B$7)*12, IF((HLOOKUP(AH$2,Earnings!$G$2:$BC$81,('Yearly Pension'!$A36)+1, FALSE)) &gt; AH$1, (Assumptions!$B$8)*(AH$1) + (Assumptions!$B$9)*MAX(0,  (HLOOKUP(AH$2,Earnings!$G$2:$BC$81,('Yearly Pension'!$A36)+1, FALSE)) - AH$1), ((Assumptions!$B$8)*'Yearly Pension'!AH$1))))</f>
        <v>763.17584391922355</v>
      </c>
      <c r="AI36" s="6">
        <f>(HLOOKUP('Yearly Pension'!AI$2,'Credited Service'!$G$1:$BC$80,$A36+1,FALSE)) * (IF($B36=500, (Assumptions!$B$7)*12, IF((HLOOKUP(AI$2,Earnings!$G$2:$BC$81,('Yearly Pension'!$A36)+1, FALSE)) &gt; AI$1, (Assumptions!$B$8)*(AI$1) + (Assumptions!$B$9)*MAX(0,  (HLOOKUP(AI$2,Earnings!$G$2:$BC$81,('Yearly Pension'!$A36)+1, FALSE)) - AI$1), ((Assumptions!$B$8)*'Yearly Pension'!AI$1))))</f>
        <v>800.23087767599247</v>
      </c>
      <c r="AJ36" s="6">
        <f>(HLOOKUP('Yearly Pension'!AJ$2,'Credited Service'!$G$1:$BC$80,$A36+1,FALSE)) * (IF($B36=500, (Assumptions!$B$7)*12, IF((HLOOKUP(AJ$2,Earnings!$G$2:$BC$81,('Yearly Pension'!$A36)+1, FALSE)) &gt; AJ$1, (Assumptions!$B$8)*(AJ$1) + (Assumptions!$B$9)*MAX(0,  (HLOOKUP(AJ$2,Earnings!$G$2:$BC$81,('Yearly Pension'!$A36)+1, FALSE)) - AJ$1), ((Assumptions!$B$8)*'Yearly Pension'!AJ$1))))</f>
        <v>836.3617127830322</v>
      </c>
      <c r="AK36" s="6">
        <f>(HLOOKUP('Yearly Pension'!AK$2,'Credited Service'!$G$1:$BC$80,$A36+1,FALSE)) * (IF($B36=500, (Assumptions!$B$7)*12, IF((HLOOKUP(AK$2,Earnings!$G$2:$BC$81,('Yearly Pension'!$A36)+1, FALSE)) &gt; AK$1, (Assumptions!$B$8)*(AK$1) + (Assumptions!$B$9)*MAX(0,  (HLOOKUP(AK$2,Earnings!$G$2:$BC$81,('Yearly Pension'!$A36)+1, FALSE)) - AK$1), ((Assumptions!$B$8)*'Yearly Pension'!AK$1))))</f>
        <v>870.35378129435344</v>
      </c>
      <c r="AL36" s="6">
        <f>(HLOOKUP('Yearly Pension'!AL$2,'Credited Service'!$G$1:$BC$80,$A36+1,FALSE)) * (IF($B36=500, (Assumptions!$B$7)*12, IF((HLOOKUP(AL$2,Earnings!$G$2:$BC$81,('Yearly Pension'!$A36)+1, FALSE)) &gt; AL$1, (Assumptions!$B$8)*(AL$1) + (Assumptions!$B$9)*MAX(0,  (HLOOKUP(AL$2,Earnings!$G$2:$BC$81,('Yearly Pension'!$A36)+1, FALSE)) - AL$1), ((Assumptions!$B$8)*'Yearly Pension'!AL$1))))</f>
        <v>908.67513254612777</v>
      </c>
      <c r="AM36" s="6">
        <f>(HLOOKUP('Yearly Pension'!AM$2,'Credited Service'!$G$1:$BC$80,$A36+1,FALSE)) * (IF($B36=500, (Assumptions!$B$7)*12, IF((HLOOKUP(AM$2,Earnings!$G$2:$BC$81,('Yearly Pension'!$A36)+1, FALSE)) &gt; AM$1, (Assumptions!$B$8)*(AM$1) + (Assumptions!$B$9)*MAX(0,  (HLOOKUP(AM$2,Earnings!$G$2:$BC$81,('Yearly Pension'!$A36)+1, FALSE)) - AM$1), ((Assumptions!$B$8)*'Yearly Pension'!AM$1))))</f>
        <v>947.55653784797289</v>
      </c>
      <c r="AN36" s="6">
        <f>(HLOOKUP('Yearly Pension'!AN$2,'Credited Service'!$G$1:$BC$80,$A36+1,FALSE)) * (IF($B36=500, (Assumptions!$B$7)*12, IF((HLOOKUP(AN$2,Earnings!$G$2:$BC$81,('Yearly Pension'!$A36)+1, FALSE)) &gt; AN$1, (Assumptions!$B$8)*(AN$1) + (Assumptions!$B$9)*MAX(0,  (HLOOKUP(AN$2,Earnings!$G$2:$BC$81,('Yearly Pension'!$A36)+1, FALSE)) - AN$1), ((Assumptions!$B$8)*'Yearly Pension'!AN$1))))</f>
        <v>991.55159936189182</v>
      </c>
      <c r="AO36" s="6">
        <f>(HLOOKUP('Yearly Pension'!AO$2,'Credited Service'!$G$1:$BC$80,$A36+1,FALSE)) * (IF($B36=500, (Assumptions!$B$7)*12, IF((HLOOKUP(AO$2,Earnings!$G$2:$BC$81,('Yearly Pension'!$A36)+1, FALSE)) &gt; AO$1, (Assumptions!$B$8)*(AO$1) + (Assumptions!$B$9)*MAX(0,  (HLOOKUP(AO$2,Earnings!$G$2:$BC$81,('Yearly Pension'!$A36)+1, FALSE)) - AO$1), ((Assumptions!$B$8)*'Yearly Pension'!AO$1))))</f>
        <v>1036.2568633363676</v>
      </c>
      <c r="AP36" s="6">
        <f>(HLOOKUP('Yearly Pension'!AP$2,'Credited Service'!$G$1:$BC$80,$A36+1,FALSE)) * (IF($B36=500, (Assumptions!$B$7)*12, IF((HLOOKUP(AP$2,Earnings!$G$2:$BC$81,('Yearly Pension'!$A36)+1, FALSE)) &gt; AP$1, (Assumptions!$B$8)*(AP$1) + (Assumptions!$B$9)*MAX(0,  (HLOOKUP(AP$2,Earnings!$G$2:$BC$81,('Yearly Pension'!$A36)+1, FALSE)) - AP$1), ((Assumptions!$B$8)*'Yearly Pension'!AP$1))))</f>
        <v>1078.5519378698225</v>
      </c>
      <c r="AQ36" s="6">
        <f>(HLOOKUP('Yearly Pension'!AQ$2,'Credited Service'!$G$1:$BC$80,$A36+1,FALSE)) * (IF($B36=500, (Assumptions!$B$7)*12, IF((HLOOKUP(AQ$2,Earnings!$G$2:$BC$81,('Yearly Pension'!$A36)+1, FALSE)) &gt; AQ$1, (Assumptions!$B$8)*(AQ$1) + (Assumptions!$B$9)*MAX(0,  (HLOOKUP(AQ$2,Earnings!$G$2:$BC$81,('Yearly Pension'!$A36)+1, FALSE)) - AQ$1), ((Assumptions!$B$8)*'Yearly Pension'!AQ$1))))</f>
        <v>1128.1196153846154</v>
      </c>
      <c r="AR36" s="6">
        <f>(HLOOKUP('Yearly Pension'!AR$2,'Credited Service'!$G$1:$BC$80,$A36+1,FALSE)) * (IF($B36=500, (Assumptions!$B$7)*12, IF((HLOOKUP(AR$2,Earnings!$G$2:$BC$81,('Yearly Pension'!$A36)+1, FALSE)) &gt; AR$1, (Assumptions!$B$8)*(AR$1) + (Assumptions!$B$9)*MAX(0,  (HLOOKUP(AR$2,Earnings!$G$2:$BC$81,('Yearly Pension'!$A36)+1, FALSE)) - AR$1), ((Assumptions!$B$8)*'Yearly Pension'!AR$1))))</f>
        <v>1177.366</v>
      </c>
      <c r="AS36" s="6">
        <f>(HLOOKUP('Yearly Pension'!AS$2,'Credited Service'!$G$1:$BC$80,$A36+1,FALSE)) * (IF($B36=500, (Assumptions!$B$7)*12, IF((HLOOKUP(AS$2,Earnings!$G$2:$BC$81,('Yearly Pension'!$A36)+1, FALSE)) &gt; AS$1, (Assumptions!$B$8)*(AS$1) + (Assumptions!$B$9)*MAX(0,  (HLOOKUP(AS$2,Earnings!$G$2:$BC$81,('Yearly Pension'!$A36)+1, FALSE)) - AS$1), ((Assumptions!$B$8)*'Yearly Pension'!AS$1))))</f>
        <v>1215.7269799999999</v>
      </c>
      <c r="AT36" s="6">
        <f>(HLOOKUP('Yearly Pension'!AT$2,'Credited Service'!$G$1:$BC$80,$A36+1,FALSE)) * (IF($B36=500, (Assumptions!$B$7)*12, IF((HLOOKUP(AT$2,Earnings!$G$2:$BC$81,('Yearly Pension'!$A36)+1, FALSE)) &gt; AT$1, (Assumptions!$B$8)*(AT$1) + (Assumptions!$B$9)*MAX(0,  (HLOOKUP(AT$2,Earnings!$G$2:$BC$81,('Yearly Pension'!$A36)+1, FALSE)) - AT$1), ((Assumptions!$B$8)*'Yearly Pension'!AT$1))))</f>
        <v>1254.1699894000003</v>
      </c>
      <c r="AU36" s="6">
        <f>(HLOOKUP('Yearly Pension'!AU$2,'Credited Service'!$G$1:$BC$80,$A36+1,FALSE)) * (IF($B36=500, (Assumptions!$B$7)*12, IF((HLOOKUP(AU$2,Earnings!$G$2:$BC$81,('Yearly Pension'!$A36)+1, FALSE)) &gt; AU$1, (Assumptions!$B$8)*(AU$1) + (Assumptions!$B$9)*MAX(0,  (HLOOKUP(AU$2,Earnings!$G$2:$BC$81,('Yearly Pension'!$A36)+1, FALSE)) - AU$1), ((Assumptions!$B$8)*'Yearly Pension'!AU$1))))</f>
        <v>1299.7758890820003</v>
      </c>
      <c r="AV36" s="6">
        <f>(HLOOKUP('Yearly Pension'!AV$2,'Credited Service'!$G$1:$BC$80,$A36+1,FALSE)) * (IF($B36=500, (Assumptions!$B$7)*12, IF((HLOOKUP(AV$2,Earnings!$G$2:$BC$81,('Yearly Pension'!$A36)+1, FALSE)) &gt; AV$1, (Assumptions!$B$8)*(AV$1) + (Assumptions!$B$9)*MAX(0,  (HLOOKUP(AV$2,Earnings!$G$2:$BC$81,('Yearly Pension'!$A36)+1, FALSE)) - AV$1), ((Assumptions!$B$8)*'Yearly Pension'!AV$1))))</f>
        <v>1345.5467657544605</v>
      </c>
      <c r="AW36" s="6">
        <f>(HLOOKUP('Yearly Pension'!AW$2,'Credited Service'!$G$1:$BC$80,$A36+1,FALSE)) * (IF($B36=500, (Assumptions!$B$7)*12, IF((HLOOKUP(AW$2,Earnings!$G$2:$BC$81,('Yearly Pension'!$A36)+1, FALSE)) &gt; AW$1, (Assumptions!$B$8)*(AW$1) + (Assumptions!$B$9)*MAX(0,  (HLOOKUP(AW$2,Earnings!$G$2:$BC$81,('Yearly Pension'!$A36)+1, FALSE)) - AW$1), ((Assumptions!$B$8)*'Yearly Pension'!AW$1))))</f>
        <v>1387.0459687270943</v>
      </c>
      <c r="AX36" s="6">
        <f>(HLOOKUP('Yearly Pension'!AX$2,'Credited Service'!$G$1:$BC$80,$A36+1,FALSE)) * (IF($B36=500, (Assumptions!$B$7)*12, IF((HLOOKUP(AX$2,Earnings!$G$2:$BC$81,('Yearly Pension'!$A36)+1, FALSE)) &gt; AX$1, (Assumptions!$B$8)*(AX$1) + (Assumptions!$B$9)*MAX(0,  (HLOOKUP(AX$2,Earnings!$G$2:$BC$81,('Yearly Pension'!$A36)+1, FALSE)) - AX$1), ((Assumptions!$B$8)*'Yearly Pension'!AX$1))))</f>
        <v>1424.9837477889073</v>
      </c>
      <c r="AY36" s="6">
        <f>(HLOOKUP('Yearly Pension'!AY$2,'Credited Service'!$G$1:$BC$80,$A36+1,FALSE)) * (IF($B36=500, (Assumptions!$B$7)*12, IF((HLOOKUP(AY$2,Earnings!$G$2:$BC$81,('Yearly Pension'!$A36)+1, FALSE)) &gt; AY$1, (Assumptions!$B$8)*(AY$1) + (Assumptions!$B$9)*MAX(0,  (HLOOKUP(AY$2,Earnings!$G$2:$BC$81,('Yearly Pension'!$A36)+1, FALSE)) - AY$1), ((Assumptions!$B$8)*'Yearly Pension'!AY$1))))</f>
        <v>1463.9127162225745</v>
      </c>
      <c r="AZ36" s="6">
        <f>(HLOOKUP('Yearly Pension'!AZ$2,'Credited Service'!$G$1:$BC$80,$A36+1,FALSE)) * (IF($B36=500, (Assumptions!$B$7)*12, IF((HLOOKUP(AZ$2,Earnings!$G$2:$BC$81,('Yearly Pension'!$A36)+1, FALSE)) &gt; AZ$1, (Assumptions!$B$8)*(AZ$1) + (Assumptions!$B$9)*MAX(0,  (HLOOKUP(AZ$2,Earnings!$G$2:$BC$81,('Yearly Pension'!$A36)+1, FALSE)) - AZ$1), ((Assumptions!$B$8)*'Yearly Pension'!AZ$1))))</f>
        <v>1503.856731949252</v>
      </c>
      <c r="BA36" s="6">
        <f>(HLOOKUP('Yearly Pension'!BA$2,'Credited Service'!$G$1:$BC$80,$A36+1,FALSE)) * (IF($B36=500, (Assumptions!$B$7)*12, IF((HLOOKUP(BA$2,Earnings!$G$2:$BC$81,('Yearly Pension'!$A36)+1, FALSE)) &gt; BA$1, (Assumptions!$B$8)*(BA$1) + (Assumptions!$B$9)*MAX(0,  (HLOOKUP(BA$2,Earnings!$G$2:$BC$81,('Yearly Pension'!$A36)+1, FALSE)) - BA$1), ((Assumptions!$B$8)*'Yearly Pension'!BA$1))))</f>
        <v>1544.8401335173294</v>
      </c>
      <c r="BB36" s="6">
        <f>(HLOOKUP('Yearly Pension'!BB$2,'Credited Service'!$G$1:$BC$80,$A36+1,FALSE)) * (IF($B36=500, (Assumptions!$B$7)*12, IF((HLOOKUP(BB$2,Earnings!$G$2:$BC$81,('Yearly Pension'!$A36)+1, FALSE)) &gt; BB$1, (Assumptions!$B$8)*(BB$1) + (Assumptions!$B$9)*MAX(0,  (HLOOKUP(BB$2,Earnings!$G$2:$BC$81,('Yearly Pension'!$A36)+1, FALSE)) - BB$1), ((Assumptions!$B$8)*'Yearly Pension'!BB$1))))</f>
        <v>1586.8877451168335</v>
      </c>
      <c r="BC36" s="6">
        <f>(HLOOKUP('Yearly Pension'!BC$2,'Credited Service'!$G$1:$BC$80,$A36+1,FALSE)) * (IF($B36=500, (Assumptions!$B$7)*12, IF((HLOOKUP(BC$2,Earnings!$G$2:$BC$81,('Yearly Pension'!$A36)+1, FALSE)) &gt; BC$1, (Assumptions!$B$8)*(BC$1) + (Assumptions!$B$9)*MAX(0,  (HLOOKUP(BC$2,Earnings!$G$2:$BC$81,('Yearly Pension'!$A36)+1, FALSE)) - BC$1), ((Assumptions!$B$8)*'Yearly Pension'!BC$1))))</f>
        <v>1630.0248813680817</v>
      </c>
    </row>
    <row r="37" spans="1:55" x14ac:dyDescent="0.25">
      <c r="A37" s="204">
        <v>35</v>
      </c>
      <c r="B37" s="1">
        <v>600</v>
      </c>
      <c r="C37" s="1">
        <v>740</v>
      </c>
      <c r="D37" s="3">
        <v>37144</v>
      </c>
      <c r="E37" s="3">
        <v>51167</v>
      </c>
      <c r="G37" s="6">
        <f>(HLOOKUP('Yearly Pension'!G$2,'Credited Service'!$G$1:$BC$80,$A37+1,FALSE)) * (IF($B37=500, (Assumptions!$B$7)*12, IF((HLOOKUP(G$2,Earnings!$G$2:$BC$81,('Yearly Pension'!$A37)+1, FALSE)) &gt; G$1, (Assumptions!$B$8)*(G$1) + (Assumptions!$B$9)*MAX(0,  (HLOOKUP(G$2,Earnings!$G$2:$BC$81,('Yearly Pension'!$A37)+1, FALSE)) - G$1), ((Assumptions!$B$8)*'Yearly Pension'!G$1))))</f>
        <v>0</v>
      </c>
      <c r="H37" s="6">
        <f>(HLOOKUP('Yearly Pension'!H$2,'Credited Service'!$G$1:$BC$80,$A37+1,FALSE)) * (IF($B37=500, (Assumptions!$B$7)*12, IF((HLOOKUP(H$2,Earnings!$G$2:$BC$81,('Yearly Pension'!$A37)+1, FALSE)) &gt; H$1, (Assumptions!$B$8)*(H$1) + (Assumptions!$B$9)*MAX(0,  (HLOOKUP(H$2,Earnings!$G$2:$BC$81,('Yearly Pension'!$A37)+1, FALSE)) - H$1), ((Assumptions!$B$8)*'Yearly Pension'!H$1))))</f>
        <v>0</v>
      </c>
      <c r="I37" s="6">
        <f>(HLOOKUP('Yearly Pension'!I$2,'Credited Service'!$G$1:$BC$80,$A37+1,FALSE)) * (IF($B37=500, (Assumptions!$B$7)*12, IF((HLOOKUP(I$2,Earnings!$G$2:$BC$81,('Yearly Pension'!$A37)+1, FALSE)) &gt; I$1, (Assumptions!$B$8)*(I$1) + (Assumptions!$B$9)*MAX(0,  (HLOOKUP(I$2,Earnings!$G$2:$BC$81,('Yearly Pension'!$A37)+1, FALSE)) - I$1), ((Assumptions!$B$8)*'Yearly Pension'!I$1))))</f>
        <v>0</v>
      </c>
      <c r="J37" s="6">
        <f>(HLOOKUP('Yearly Pension'!J$2,'Credited Service'!$G$1:$BC$80,$A37+1,FALSE)) * (IF($B37=500, (Assumptions!$B$7)*12, IF((HLOOKUP(J$2,Earnings!$G$2:$BC$81,('Yearly Pension'!$A37)+1, FALSE)) &gt; J$1, (Assumptions!$B$8)*(J$1) + (Assumptions!$B$9)*MAX(0,  (HLOOKUP(J$2,Earnings!$G$2:$BC$81,('Yearly Pension'!$A37)+1, FALSE)) - J$1), ((Assumptions!$B$8)*'Yearly Pension'!J$1))))</f>
        <v>0</v>
      </c>
      <c r="K37" s="6">
        <f>(HLOOKUP('Yearly Pension'!K$2,'Credited Service'!$G$1:$BC$80,$A37+1,FALSE)) * (IF($B37=500, (Assumptions!$B$7)*12, IF((HLOOKUP(K$2,Earnings!$G$2:$BC$81,('Yearly Pension'!$A37)+1, FALSE)) &gt; K$1, (Assumptions!$B$8)*(K$1) + (Assumptions!$B$9)*MAX(0,  (HLOOKUP(K$2,Earnings!$G$2:$BC$81,('Yearly Pension'!$A37)+1, FALSE)) - K$1), ((Assumptions!$B$8)*'Yearly Pension'!K$1))))</f>
        <v>0</v>
      </c>
      <c r="L37" s="6">
        <f>(HLOOKUP('Yearly Pension'!L$2,'Credited Service'!$G$1:$BC$80,$A37+1,FALSE)) * (IF($B37=500, (Assumptions!$B$7)*12, IF((HLOOKUP(L$2,Earnings!$G$2:$BC$81,('Yearly Pension'!$A37)+1, FALSE)) &gt; L$1, (Assumptions!$B$8)*(L$1) + (Assumptions!$B$9)*MAX(0,  (HLOOKUP(L$2,Earnings!$G$2:$BC$81,('Yearly Pension'!$A37)+1, FALSE)) - L$1), ((Assumptions!$B$8)*'Yearly Pension'!L$1))))</f>
        <v>0</v>
      </c>
      <c r="M37" s="6">
        <f>(HLOOKUP('Yearly Pension'!M$2,'Credited Service'!$G$1:$BC$80,$A37+1,FALSE)) * (IF($B37=500, (Assumptions!$B$7)*12, IF((HLOOKUP(M$2,Earnings!$G$2:$BC$81,('Yearly Pension'!$A37)+1, FALSE)) &gt; M$1, (Assumptions!$B$8)*(M$1) + (Assumptions!$B$9)*MAX(0,  (HLOOKUP(M$2,Earnings!$G$2:$BC$81,('Yearly Pension'!$A37)+1, FALSE)) - M$1), ((Assumptions!$B$8)*'Yearly Pension'!M$1))))</f>
        <v>0</v>
      </c>
      <c r="N37" s="6">
        <f>(HLOOKUP('Yearly Pension'!N$2,'Credited Service'!$G$1:$BC$80,$A37+1,FALSE)) * (IF($B37=500, (Assumptions!$B$7)*12, IF((HLOOKUP(N$2,Earnings!$G$2:$BC$81,('Yearly Pension'!$A37)+1, FALSE)) &gt; N$1, (Assumptions!$B$8)*(N$1) + (Assumptions!$B$9)*MAX(0,  (HLOOKUP(N$2,Earnings!$G$2:$BC$81,('Yearly Pension'!$A37)+1, FALSE)) - N$1), ((Assumptions!$B$8)*'Yearly Pension'!N$1))))</f>
        <v>0</v>
      </c>
      <c r="O37" s="6">
        <f>(HLOOKUP('Yearly Pension'!O$2,'Credited Service'!$G$1:$BC$80,$A37+1,FALSE)) * (IF($B37=500, (Assumptions!$B$7)*12, IF((HLOOKUP(O$2,Earnings!$G$2:$BC$81,('Yearly Pension'!$A37)+1, FALSE)) &gt; O$1, (Assumptions!$B$8)*(O$1) + (Assumptions!$B$9)*MAX(0,  (HLOOKUP(O$2,Earnings!$G$2:$BC$81,('Yearly Pension'!$A37)+1, FALSE)) - O$1), ((Assumptions!$B$8)*'Yearly Pension'!O$1))))</f>
        <v>0</v>
      </c>
      <c r="P37" s="6">
        <f>(HLOOKUP('Yearly Pension'!P$2,'Credited Service'!$G$1:$BC$80,$A37+1,FALSE)) * (IF($B37=500, (Assumptions!$B$7)*12, IF((HLOOKUP(P$2,Earnings!$G$2:$BC$81,('Yearly Pension'!$A37)+1, FALSE)) &gt; P$1, (Assumptions!$B$8)*(P$1) + (Assumptions!$B$9)*MAX(0,  (HLOOKUP(P$2,Earnings!$G$2:$BC$81,('Yearly Pension'!$A37)+1, FALSE)) - P$1), ((Assumptions!$B$8)*'Yearly Pension'!P$1))))</f>
        <v>0</v>
      </c>
      <c r="Q37" s="6">
        <f>(HLOOKUP('Yearly Pension'!Q$2,'Credited Service'!$G$1:$BC$80,$A37+1,FALSE)) * (IF($B37=500, (Assumptions!$B$7)*12, IF((HLOOKUP(Q$2,Earnings!$G$2:$BC$81,('Yearly Pension'!$A37)+1, FALSE)) &gt; Q$1, (Assumptions!$B$8)*(Q$1) + (Assumptions!$B$9)*MAX(0,  (HLOOKUP(Q$2,Earnings!$G$2:$BC$81,('Yearly Pension'!$A37)+1, FALSE)) - Q$1), ((Assumptions!$B$8)*'Yearly Pension'!Q$1))))</f>
        <v>0</v>
      </c>
      <c r="R37" s="6">
        <f>(HLOOKUP('Yearly Pension'!R$2,'Credited Service'!$G$1:$BC$80,$A37+1,FALSE)) * (IF($B37=500, (Assumptions!$B$7)*12, IF((HLOOKUP(R$2,Earnings!$G$2:$BC$81,('Yearly Pension'!$A37)+1, FALSE)) &gt; R$1, (Assumptions!$B$8)*(R$1) + (Assumptions!$B$9)*MAX(0,  (HLOOKUP(R$2,Earnings!$G$2:$BC$81,('Yearly Pension'!$A37)+1, FALSE)) - R$1), ((Assumptions!$B$8)*'Yearly Pension'!R$1))))</f>
        <v>0</v>
      </c>
      <c r="S37" s="6">
        <f>(HLOOKUP('Yearly Pension'!S$2,'Credited Service'!$G$1:$BC$80,$A37+1,FALSE)) * (IF($B37=500, (Assumptions!$B$7)*12, IF((HLOOKUP(S$2,Earnings!$G$2:$BC$81,('Yearly Pension'!$A37)+1, FALSE)) &gt; S$1, (Assumptions!$B$8)*(S$1) + (Assumptions!$B$9)*MAX(0,  (HLOOKUP(S$2,Earnings!$G$2:$BC$81,('Yearly Pension'!$A37)+1, FALSE)) - S$1), ((Assumptions!$B$8)*'Yearly Pension'!S$1))))</f>
        <v>0</v>
      </c>
      <c r="T37" s="6">
        <f>(HLOOKUP('Yearly Pension'!T$2,'Credited Service'!$G$1:$BC$80,$A37+1,FALSE)) * (IF($B37=500, (Assumptions!$B$7)*12, IF((HLOOKUP(T$2,Earnings!$G$2:$BC$81,('Yearly Pension'!$A37)+1, FALSE)) &gt; T$1, (Assumptions!$B$8)*(T$1) + (Assumptions!$B$9)*MAX(0,  (HLOOKUP(T$2,Earnings!$G$2:$BC$81,('Yearly Pension'!$A37)+1, FALSE)) - T$1), ((Assumptions!$B$8)*'Yearly Pension'!T$1))))</f>
        <v>0</v>
      </c>
      <c r="U37" s="6">
        <f>(HLOOKUP('Yearly Pension'!U$2,'Credited Service'!$G$1:$BC$80,$A37+1,FALSE)) * (IF($B37=500, (Assumptions!$B$7)*12, IF((HLOOKUP(U$2,Earnings!$G$2:$BC$81,('Yearly Pension'!$A37)+1, FALSE)) &gt; U$1, (Assumptions!$B$8)*(U$1) + (Assumptions!$B$9)*MAX(0,  (HLOOKUP(U$2,Earnings!$G$2:$BC$81,('Yearly Pension'!$A37)+1, FALSE)) - U$1), ((Assumptions!$B$8)*'Yearly Pension'!U$1))))</f>
        <v>0</v>
      </c>
      <c r="V37" s="6">
        <f>(HLOOKUP('Yearly Pension'!V$2,'Credited Service'!$G$1:$BC$80,$A37+1,FALSE)) * (IF($B37=500, (Assumptions!$B$7)*12, IF((HLOOKUP(V$2,Earnings!$G$2:$BC$81,('Yearly Pension'!$A37)+1, FALSE)) &gt; V$1, (Assumptions!$B$8)*(V$1) + (Assumptions!$B$9)*MAX(0,  (HLOOKUP(V$2,Earnings!$G$2:$BC$81,('Yearly Pension'!$A37)+1, FALSE)) - V$1), ((Assumptions!$B$8)*'Yearly Pension'!V$1))))</f>
        <v>0</v>
      </c>
      <c r="W37" s="6">
        <f>(HLOOKUP('Yearly Pension'!W$2,'Credited Service'!$G$1:$BC$80,$A37+1,FALSE)) * (IF($B37=500, (Assumptions!$B$7)*12, IF((HLOOKUP(W$2,Earnings!$G$2:$BC$81,('Yearly Pension'!$A37)+1, FALSE)) &gt; W$1, (Assumptions!$B$8)*(W$1) + (Assumptions!$B$9)*MAX(0,  (HLOOKUP(W$2,Earnings!$G$2:$BC$81,('Yearly Pension'!$A37)+1, FALSE)) - W$1), ((Assumptions!$B$8)*'Yearly Pension'!W$1))))</f>
        <v>0</v>
      </c>
      <c r="X37" s="6">
        <f>(HLOOKUP('Yearly Pension'!X$2,'Credited Service'!$G$1:$BC$80,$A37+1,FALSE)) * (IF($B37=500, (Assumptions!$B$7)*12, IF((HLOOKUP(X$2,Earnings!$G$2:$BC$81,('Yearly Pension'!$A37)+1, FALSE)) &gt; X$1, (Assumptions!$B$8)*(X$1) + (Assumptions!$B$9)*MAX(0,  (HLOOKUP(X$2,Earnings!$G$2:$BC$81,('Yearly Pension'!$A37)+1, FALSE)) - X$1), ((Assumptions!$B$8)*'Yearly Pension'!X$1))))</f>
        <v>0</v>
      </c>
      <c r="Y37" s="6">
        <f>(HLOOKUP('Yearly Pension'!Y$2,'Credited Service'!$G$1:$BC$80,$A37+1,FALSE)) * (IF($B37=500, (Assumptions!$B$7)*12, IF((HLOOKUP(Y$2,Earnings!$G$2:$BC$81,('Yearly Pension'!$A37)+1, FALSE)) &gt; Y$1, (Assumptions!$B$8)*(Y$1) + (Assumptions!$B$9)*MAX(0,  (HLOOKUP(Y$2,Earnings!$G$2:$BC$81,('Yearly Pension'!$A37)+1, FALSE)) - Y$1), ((Assumptions!$B$8)*'Yearly Pension'!Y$1))))</f>
        <v>0</v>
      </c>
      <c r="Z37" s="6">
        <f>(HLOOKUP('Yearly Pension'!Z$2,'Credited Service'!$G$1:$BC$80,$A37+1,FALSE)) * (IF($B37=500, (Assumptions!$B$7)*12, IF((HLOOKUP(Z$2,Earnings!$G$2:$BC$81,('Yearly Pension'!$A37)+1, FALSE)) &gt; Z$1, (Assumptions!$B$8)*(Z$1) + (Assumptions!$B$9)*MAX(0,  (HLOOKUP(Z$2,Earnings!$G$2:$BC$81,('Yearly Pension'!$A37)+1, FALSE)) - Z$1), ((Assumptions!$B$8)*'Yearly Pension'!Z$1))))</f>
        <v>0</v>
      </c>
      <c r="AA37" s="6">
        <f>(HLOOKUP('Yearly Pension'!AA$2,'Credited Service'!$G$1:$BC$80,$A37+1,FALSE)) * (IF($B37=500, (Assumptions!$B$7)*12, IF((HLOOKUP(AA$2,Earnings!$G$2:$BC$81,('Yearly Pension'!$A37)+1, FALSE)) &gt; AA$1, (Assumptions!$B$8)*(AA$1) + (Assumptions!$B$9)*MAX(0,  (HLOOKUP(AA$2,Earnings!$G$2:$BC$81,('Yearly Pension'!$A37)+1, FALSE)) - AA$1), ((Assumptions!$B$8)*'Yearly Pension'!AA$1))))</f>
        <v>0</v>
      </c>
      <c r="AB37" s="6">
        <f>(HLOOKUP('Yearly Pension'!AB$2,'Credited Service'!$G$1:$BC$80,$A37+1,FALSE)) * (IF($B37=500, (Assumptions!$B$7)*12, IF((HLOOKUP(AB$2,Earnings!$G$2:$BC$81,('Yearly Pension'!$A37)+1, FALSE)) &gt; AB$1, (Assumptions!$B$8)*(AB$1) + (Assumptions!$B$9)*MAX(0,  (HLOOKUP(AB$2,Earnings!$G$2:$BC$81,('Yearly Pension'!$A37)+1, FALSE)) - AB$1), ((Assumptions!$B$8)*'Yearly Pension'!AB$1))))</f>
        <v>0</v>
      </c>
      <c r="AC37" s="6">
        <f>(HLOOKUP('Yearly Pension'!AC$2,'Credited Service'!$G$1:$BC$80,$A37+1,FALSE)) * (IF($B37=500, (Assumptions!$B$7)*12, IF((HLOOKUP(AC$2,Earnings!$G$2:$BC$81,('Yearly Pension'!$A37)+1, FALSE)) &gt; AC$1, (Assumptions!$B$8)*(AC$1) + (Assumptions!$B$9)*MAX(0,  (HLOOKUP(AC$2,Earnings!$G$2:$BC$81,('Yearly Pension'!$A37)+1, FALSE)) - AC$1), ((Assumptions!$B$8)*'Yearly Pension'!AC$1))))</f>
        <v>0</v>
      </c>
      <c r="AD37" s="6">
        <f>(HLOOKUP('Yearly Pension'!AD$2,'Credited Service'!$G$1:$BC$80,$A37+1,FALSE)) * (IF($B37=500, (Assumptions!$B$7)*12, IF((HLOOKUP(AD$2,Earnings!$G$2:$BC$81,('Yearly Pension'!$A37)+1, FALSE)) &gt; AD$1, (Assumptions!$B$8)*(AD$1) + (Assumptions!$B$9)*MAX(0,  (HLOOKUP(AD$2,Earnings!$G$2:$BC$81,('Yearly Pension'!$A37)+1, FALSE)) - AD$1), ((Assumptions!$B$8)*'Yearly Pension'!AD$1))))</f>
        <v>0</v>
      </c>
      <c r="AE37" s="6">
        <f>(HLOOKUP('Yearly Pension'!AE$2,'Credited Service'!$G$1:$BC$80,$A37+1,FALSE)) * (IF($B37=500, (Assumptions!$B$7)*12, IF((HLOOKUP(AE$2,Earnings!$G$2:$BC$81,('Yearly Pension'!$A37)+1, FALSE)) &gt; AE$1, (Assumptions!$B$8)*(AE$1) + (Assumptions!$B$9)*MAX(0,  (HLOOKUP(AE$2,Earnings!$G$2:$BC$81,('Yearly Pension'!$A37)+1, FALSE)) - AE$1), ((Assumptions!$B$8)*'Yearly Pension'!AE$1))))</f>
        <v>170.89569572917077</v>
      </c>
      <c r="AF37" s="6">
        <f>(HLOOKUP('Yearly Pension'!AF$2,'Credited Service'!$G$1:$BC$80,$A37+1,FALSE)) * (IF($B37=500, (Assumptions!$B$7)*12, IF((HLOOKUP(AF$2,Earnings!$G$2:$BC$81,('Yearly Pension'!$A37)+1, FALSE)) &gt; AF$1, (Assumptions!$B$8)*(AF$1) + (Assumptions!$B$9)*MAX(0,  (HLOOKUP(AF$2,Earnings!$G$2:$BC$81,('Yearly Pension'!$A37)+1, FALSE)) - AF$1), ((Assumptions!$B$8)*'Yearly Pension'!AF$1))))</f>
        <v>715.61089423335034</v>
      </c>
      <c r="AG37" s="6">
        <f>(HLOOKUP('Yearly Pension'!AG$2,'Credited Service'!$G$1:$BC$80,$A37+1,FALSE)) * (IF($B37=500, (Assumptions!$B$7)*12, IF((HLOOKUP(AG$2,Earnings!$G$2:$BC$81,('Yearly Pension'!$A37)+1, FALSE)) &gt; AG$1, (Assumptions!$B$8)*(AG$1) + (Assumptions!$B$9)*MAX(0,  (HLOOKUP(AG$2,Earnings!$G$2:$BC$81,('Yearly Pension'!$A37)+1, FALSE)) - AG$1), ((Assumptions!$B$8)*'Yearly Pension'!AG$1))))</f>
        <v>749.12493000268444</v>
      </c>
      <c r="AH37" s="6">
        <f>(HLOOKUP('Yearly Pension'!AH$2,'Credited Service'!$G$1:$BC$80,$A37+1,FALSE)) * (IF($B37=500, (Assumptions!$B$7)*12, IF((HLOOKUP(AH$2,Earnings!$G$2:$BC$81,('Yearly Pension'!$A37)+1, FALSE)) &gt; AH$1, (Assumptions!$B$8)*(AH$1) + (Assumptions!$B$9)*MAX(0,  (HLOOKUP(AH$2,Earnings!$G$2:$BC$81,('Yearly Pension'!$A37)+1, FALSE)) - AH$1), ((Assumptions!$B$8)*'Yearly Pension'!AH$1))))</f>
        <v>785.46432720279188</v>
      </c>
      <c r="AI37" s="6">
        <f>(HLOOKUP('Yearly Pension'!AI$2,'Credited Service'!$G$1:$BC$80,$A37+1,FALSE)) * (IF($B37=500, (Assumptions!$B$7)*12, IF((HLOOKUP(AI$2,Earnings!$G$2:$BC$81,('Yearly Pension'!$A37)+1, FALSE)) &gt; AI$1, (Assumptions!$B$8)*(AI$1) + (Assumptions!$B$9)*MAX(0,  (HLOOKUP(AI$2,Earnings!$G$2:$BC$81,('Yearly Pension'!$A37)+1, FALSE)) - AI$1), ((Assumptions!$B$8)*'Yearly Pension'!AI$1))))</f>
        <v>823.41090029090356</v>
      </c>
      <c r="AJ37" s="6">
        <f>(HLOOKUP('Yearly Pension'!AJ$2,'Credited Service'!$G$1:$BC$80,$A37+1,FALSE)) * (IF($B37=500, (Assumptions!$B$7)*12, IF((HLOOKUP(AJ$2,Earnings!$G$2:$BC$81,('Yearly Pension'!$A37)+1, FALSE)) &gt; AJ$1, (Assumptions!$B$8)*(AJ$1) + (Assumptions!$B$9)*MAX(0,  (HLOOKUP(AJ$2,Earnings!$G$2:$BC$81,('Yearly Pension'!$A37)+1, FALSE)) - AJ$1), ((Assumptions!$B$8)*'Yearly Pension'!AJ$1))))</f>
        <v>860.46893630253976</v>
      </c>
      <c r="AK37" s="6">
        <f>(HLOOKUP('Yearly Pension'!AK$2,'Credited Service'!$G$1:$BC$80,$A37+1,FALSE)) * (IF($B37=500, (Assumptions!$B$7)*12, IF((HLOOKUP(AK$2,Earnings!$G$2:$BC$81,('Yearly Pension'!$A37)+1, FALSE)) &gt; AK$1, (Assumptions!$B$8)*(AK$1) + (Assumptions!$B$9)*MAX(0,  (HLOOKUP(AK$2,Earnings!$G$2:$BC$81,('Yearly Pension'!$A37)+1, FALSE)) - AK$1), ((Assumptions!$B$8)*'Yearly Pension'!AK$1))))</f>
        <v>895.42529375464142</v>
      </c>
      <c r="AL37" s="6">
        <f>(HLOOKUP('Yearly Pension'!AL$2,'Credited Service'!$G$1:$BC$80,$A37+1,FALSE)) * (IF($B37=500, (Assumptions!$B$7)*12, IF((HLOOKUP(AL$2,Earnings!$G$2:$BC$81,('Yearly Pension'!$A37)+1, FALSE)) &gt; AL$1, (Assumptions!$B$8)*(AL$1) + (Assumptions!$B$9)*MAX(0,  (HLOOKUP(AL$2,Earnings!$G$2:$BC$81,('Yearly Pension'!$A37)+1, FALSE)) - AL$1), ((Assumptions!$B$8)*'Yearly Pension'!AL$1))))</f>
        <v>934.74950550482708</v>
      </c>
      <c r="AM37" s="6">
        <f>(HLOOKUP('Yearly Pension'!AM$2,'Credited Service'!$G$1:$BC$80,$A37+1,FALSE)) * (IF($B37=500, (Assumptions!$B$7)*12, IF((HLOOKUP(AM$2,Earnings!$G$2:$BC$81,('Yearly Pension'!$A37)+1, FALSE)) &gt; AM$1, (Assumptions!$B$8)*(AM$1) + (Assumptions!$B$9)*MAX(0,  (HLOOKUP(AM$2,Earnings!$G$2:$BC$81,('Yearly Pension'!$A37)+1, FALSE)) - AM$1), ((Assumptions!$B$8)*'Yearly Pension'!AM$1))))</f>
        <v>974.67388572502023</v>
      </c>
      <c r="AN37" s="6">
        <f>(HLOOKUP('Yearly Pension'!AN$2,'Credited Service'!$G$1:$BC$80,$A37+1,FALSE)) * (IF($B37=500, (Assumptions!$B$7)*12, IF((HLOOKUP(AN$2,Earnings!$G$2:$BC$81,('Yearly Pension'!$A37)+1, FALSE)) &gt; AN$1, (Assumptions!$B$8)*(AN$1) + (Assumptions!$B$9)*MAX(0,  (HLOOKUP(AN$2,Earnings!$G$2:$BC$81,('Yearly Pension'!$A37)+1, FALSE)) - AN$1), ((Assumptions!$B$8)*'Yearly Pension'!AN$1))))</f>
        <v>1019.753641154021</v>
      </c>
      <c r="AO37" s="6">
        <f>(HLOOKUP('Yearly Pension'!AO$2,'Credited Service'!$G$1:$BC$80,$A37+1,FALSE)) * (IF($B37=500, (Assumptions!$B$7)*12, IF((HLOOKUP(AO$2,Earnings!$G$2:$BC$81,('Yearly Pension'!$A37)+1, FALSE)) &gt; AO$1, (Assumptions!$B$8)*(AO$1) + (Assumptions!$B$9)*MAX(0,  (HLOOKUP(AO$2,Earnings!$G$2:$BC$81,('Yearly Pension'!$A37)+1, FALSE)) - AO$1), ((Assumptions!$B$8)*'Yearly Pension'!AO$1))))</f>
        <v>1065.5869868001819</v>
      </c>
      <c r="AP37" s="6">
        <f>(HLOOKUP('Yearly Pension'!AP$2,'Credited Service'!$G$1:$BC$80,$A37+1,FALSE)) * (IF($B37=500, (Assumptions!$B$7)*12, IF((HLOOKUP(AP$2,Earnings!$G$2:$BC$81,('Yearly Pension'!$A37)+1, FALSE)) &gt; AP$1, (Assumptions!$B$8)*(AP$1) + (Assumptions!$B$9)*MAX(0,  (HLOOKUP(AP$2,Earnings!$G$2:$BC$81,('Yearly Pension'!$A37)+1, FALSE)) - AP$1), ((Assumptions!$B$8)*'Yearly Pension'!AP$1))))</f>
        <v>1109.0552662721893</v>
      </c>
      <c r="AQ37" s="6">
        <f>(HLOOKUP('Yearly Pension'!AQ$2,'Credited Service'!$G$1:$BC$80,$A37+1,FALSE)) * (IF($B37=500, (Assumptions!$B$7)*12, IF((HLOOKUP(AQ$2,Earnings!$G$2:$BC$81,('Yearly Pension'!$A37)+1, FALSE)) &gt; AQ$1, (Assumptions!$B$8)*(AQ$1) + (Assumptions!$B$9)*MAX(0,  (HLOOKUP(AQ$2,Earnings!$G$2:$BC$81,('Yearly Pension'!$A37)+1, FALSE)) - AQ$1), ((Assumptions!$B$8)*'Yearly Pension'!AQ$1))))</f>
        <v>1159.8430769230768</v>
      </c>
      <c r="AR37" s="6">
        <f>(HLOOKUP('Yearly Pension'!AR$2,'Credited Service'!$G$1:$BC$80,$A37+1,FALSE)) * (IF($B37=500, (Assumptions!$B$7)*12, IF((HLOOKUP(AR$2,Earnings!$G$2:$BC$81,('Yearly Pension'!$A37)+1, FALSE)) &gt; AR$1, (Assumptions!$B$8)*(AR$1) + (Assumptions!$B$9)*MAX(0,  (HLOOKUP(AR$2,Earnings!$G$2:$BC$81,('Yearly Pension'!$A37)+1, FALSE)) - AR$1), ((Assumptions!$B$8)*'Yearly Pension'!AR$1))))</f>
        <v>1210.3584000000001</v>
      </c>
      <c r="AS37" s="6">
        <f>(HLOOKUP('Yearly Pension'!AS$2,'Credited Service'!$G$1:$BC$80,$A37+1,FALSE)) * (IF($B37=500, (Assumptions!$B$7)*12, IF((HLOOKUP(AS$2,Earnings!$G$2:$BC$81,('Yearly Pension'!$A37)+1, FALSE)) &gt; AS$1, (Assumptions!$B$8)*(AS$1) + (Assumptions!$B$9)*MAX(0,  (HLOOKUP(AS$2,Earnings!$G$2:$BC$81,('Yearly Pension'!$A37)+1, FALSE)) - AS$1), ((Assumptions!$B$8)*'Yearly Pension'!AS$1))))</f>
        <v>1249.7091519999999</v>
      </c>
      <c r="AT37" s="6">
        <f>(HLOOKUP('Yearly Pension'!AT$2,'Credited Service'!$G$1:$BC$80,$A37+1,FALSE)) * (IF($B37=500, (Assumptions!$B$7)*12, IF((HLOOKUP(AT$2,Earnings!$G$2:$BC$81,('Yearly Pension'!$A37)+1, FALSE)) &gt; AT$1, (Assumptions!$B$8)*(AT$1) + (Assumptions!$B$9)*MAX(0,  (HLOOKUP(AT$2,Earnings!$G$2:$BC$81,('Yearly Pension'!$A37)+1, FALSE)) - AT$1), ((Assumptions!$B$8)*'Yearly Pension'!AT$1))))</f>
        <v>1289.17162656</v>
      </c>
      <c r="AU37" s="6">
        <f>(HLOOKUP('Yearly Pension'!AU$2,'Credited Service'!$G$1:$BC$80,$A37+1,FALSE)) * (IF($B37=500, (Assumptions!$B$7)*12, IF((HLOOKUP(AU$2,Earnings!$G$2:$BC$81,('Yearly Pension'!$A37)+1, FALSE)) &gt; AU$1, (Assumptions!$B$8)*(AU$1) + (Assumptions!$B$9)*MAX(0,  (HLOOKUP(AU$2,Earnings!$G$2:$BC$81,('Yearly Pension'!$A37)+1, FALSE)) - AU$1), ((Assumptions!$B$8)*'Yearly Pension'!AU$1))))</f>
        <v>1335.8275753568</v>
      </c>
      <c r="AV37" s="6">
        <f>(HLOOKUP('Yearly Pension'!AV$2,'Credited Service'!$G$1:$BC$80,$A37+1,FALSE)) * (IF($B37=500, (Assumptions!$B$7)*12, IF((HLOOKUP(AV$2,Earnings!$G$2:$BC$81,('Yearly Pension'!$A37)+1, FALSE)) &gt; AV$1, (Assumptions!$B$8)*(AV$1) + (Assumptions!$B$9)*MAX(0,  (HLOOKUP(AV$2,Earnings!$G$2:$BC$81,('Yearly Pension'!$A37)+1, FALSE)) - AV$1), ((Assumptions!$B$8)*'Yearly Pension'!AV$1))))</f>
        <v>1382.680002617504</v>
      </c>
      <c r="AW37" s="6">
        <f>(HLOOKUP('Yearly Pension'!AW$2,'Credited Service'!$G$1:$BC$80,$A37+1,FALSE)) * (IF($B37=500, (Assumptions!$B$7)*12, IF((HLOOKUP(AW$2,Earnings!$G$2:$BC$81,('Yearly Pension'!$A37)+1, FALSE)) &gt; AW$1, (Assumptions!$B$8)*(AW$1) + (Assumptions!$B$9)*MAX(0,  (HLOOKUP(AW$2,Earnings!$G$2:$BC$81,('Yearly Pension'!$A37)+1, FALSE)) - AW$1), ((Assumptions!$B$8)*'Yearly Pension'!AW$1))))</f>
        <v>1425.2932026960291</v>
      </c>
      <c r="AX37" s="6">
        <f>(HLOOKUP('Yearly Pension'!AX$2,'Credited Service'!$G$1:$BC$80,$A37+1,FALSE)) * (IF($B37=500, (Assumptions!$B$7)*12, IF((HLOOKUP(AX$2,Earnings!$G$2:$BC$81,('Yearly Pension'!$A37)+1, FALSE)) &gt; AX$1, (Assumptions!$B$8)*(AX$1) + (Assumptions!$B$9)*MAX(0,  (HLOOKUP(AX$2,Earnings!$G$2:$BC$81,('Yearly Pension'!$A37)+1, FALSE)) - AX$1), ((Assumptions!$B$8)*'Yearly Pension'!AX$1))))</f>
        <v>1464.37839877691</v>
      </c>
      <c r="AY37" s="6">
        <f>(HLOOKUP('Yearly Pension'!AY$2,'Credited Service'!$G$1:$BC$80,$A37+1,FALSE)) * (IF($B37=500, (Assumptions!$B$7)*12, IF((HLOOKUP(AY$2,Earnings!$G$2:$BC$81,('Yearly Pension'!$A37)+1, FALSE)) &gt; AY$1, (Assumptions!$B$8)*(AY$1) + (Assumptions!$B$9)*MAX(0,  (HLOOKUP(AY$2,Earnings!$G$2:$BC$81,('Yearly Pension'!$A37)+1, FALSE)) - AY$1), ((Assumptions!$B$8)*'Yearly Pension'!AY$1))))</f>
        <v>1504.4892067402175</v>
      </c>
      <c r="AZ37" s="6">
        <f>(HLOOKUP('Yearly Pension'!AZ$2,'Credited Service'!$G$1:$BC$80,$A37+1,FALSE)) * (IF($B37=500, (Assumptions!$B$7)*12, IF((HLOOKUP(AZ$2,Earnings!$G$2:$BC$81,('Yearly Pension'!$A37)+1, FALSE)) &gt; AZ$1, (Assumptions!$B$8)*(AZ$1) + (Assumptions!$B$9)*MAX(0,  (HLOOKUP(AZ$2,Earnings!$G$2:$BC$81,('Yearly Pension'!$A37)+1, FALSE)) - AZ$1), ((Assumptions!$B$8)*'Yearly Pension'!AZ$1))))</f>
        <v>1545.6505171824238</v>
      </c>
      <c r="BA37" s="6">
        <f>(HLOOKUP('Yearly Pension'!BA$2,'Credited Service'!$G$1:$BC$80,$A37+1,FALSE)) * (IF($B37=500, (Assumptions!$B$7)*12, IF((HLOOKUP(BA$2,Earnings!$G$2:$BC$81,('Yearly Pension'!$A37)+1, FALSE)) &gt; BA$1, (Assumptions!$B$8)*(BA$1) + (Assumptions!$B$9)*MAX(0,  (HLOOKUP(BA$2,Earnings!$G$2:$BC$81,('Yearly Pension'!$A37)+1, FALSE)) - BA$1), ((Assumptions!$B$8)*'Yearly Pension'!BA$1))))</f>
        <v>1587.8877323074967</v>
      </c>
      <c r="BB37" s="6">
        <f>(HLOOKUP('Yearly Pension'!BB$2,'Credited Service'!$G$1:$BC$80,$A37+1,FALSE)) * (IF($B37=500, (Assumptions!$B$7)*12, IF((HLOOKUP(BB$2,Earnings!$G$2:$BC$81,('Yearly Pension'!$A37)+1, FALSE)) &gt; BB$1, (Assumptions!$B$8)*(BB$1) + (Assumptions!$B$9)*MAX(0,  (HLOOKUP(BB$2,Earnings!$G$2:$BC$81,('Yearly Pension'!$A37)+1, FALSE)) - BB$1), ((Assumptions!$B$8)*'Yearly Pension'!BB$1))))</f>
        <v>1631.2267718707055</v>
      </c>
      <c r="BC37" s="6">
        <f>(HLOOKUP('Yearly Pension'!BC$2,'Credited Service'!$G$1:$BC$80,$A37+1,FALSE)) * (IF($B37=500, (Assumptions!$B$7)*12, IF((HLOOKUP(BC$2,Earnings!$G$2:$BC$81,('Yearly Pension'!$A37)+1, FALSE)) &gt; BC$1, (Assumptions!$B$8)*(BC$1) + (Assumptions!$B$9)*MAX(0,  (HLOOKUP(BC$2,Earnings!$G$2:$BC$81,('Yearly Pension'!$A37)+1, FALSE)) - BC$1), ((Assumptions!$B$8)*'Yearly Pension'!BC$1))))</f>
        <v>1675.69407892457</v>
      </c>
    </row>
    <row r="38" spans="1:55" x14ac:dyDescent="0.25">
      <c r="A38" s="204">
        <v>36</v>
      </c>
      <c r="B38" s="1">
        <v>600</v>
      </c>
      <c r="C38" s="1">
        <v>734</v>
      </c>
      <c r="D38" s="3">
        <v>36937</v>
      </c>
      <c r="E38" s="3">
        <v>44531</v>
      </c>
      <c r="G38" s="6">
        <f>(HLOOKUP('Yearly Pension'!G$2,'Credited Service'!$G$1:$BC$80,$A38+1,FALSE)) * (IF($B38=500, (Assumptions!$B$7)*12, IF((HLOOKUP(G$2,Earnings!$G$2:$BC$81,('Yearly Pension'!$A38)+1, FALSE)) &gt; G$1, (Assumptions!$B$8)*(G$1) + (Assumptions!$B$9)*MAX(0,  (HLOOKUP(G$2,Earnings!$G$2:$BC$81,('Yearly Pension'!$A38)+1, FALSE)) - G$1), ((Assumptions!$B$8)*'Yearly Pension'!G$1))))</f>
        <v>0</v>
      </c>
      <c r="H38" s="6">
        <f>(HLOOKUP('Yearly Pension'!H$2,'Credited Service'!$G$1:$BC$80,$A38+1,FALSE)) * (IF($B38=500, (Assumptions!$B$7)*12, IF((HLOOKUP(H$2,Earnings!$G$2:$BC$81,('Yearly Pension'!$A38)+1, FALSE)) &gt; H$1, (Assumptions!$B$8)*(H$1) + (Assumptions!$B$9)*MAX(0,  (HLOOKUP(H$2,Earnings!$G$2:$BC$81,('Yearly Pension'!$A38)+1, FALSE)) - H$1), ((Assumptions!$B$8)*'Yearly Pension'!H$1))))</f>
        <v>0</v>
      </c>
      <c r="I38" s="6">
        <f>(HLOOKUP('Yearly Pension'!I$2,'Credited Service'!$G$1:$BC$80,$A38+1,FALSE)) * (IF($B38=500, (Assumptions!$B$7)*12, IF((HLOOKUP(I$2,Earnings!$G$2:$BC$81,('Yearly Pension'!$A38)+1, FALSE)) &gt; I$1, (Assumptions!$B$8)*(I$1) + (Assumptions!$B$9)*MAX(0,  (HLOOKUP(I$2,Earnings!$G$2:$BC$81,('Yearly Pension'!$A38)+1, FALSE)) - I$1), ((Assumptions!$B$8)*'Yearly Pension'!I$1))))</f>
        <v>0</v>
      </c>
      <c r="J38" s="6">
        <f>(HLOOKUP('Yearly Pension'!J$2,'Credited Service'!$G$1:$BC$80,$A38+1,FALSE)) * (IF($B38=500, (Assumptions!$B$7)*12, IF((HLOOKUP(J$2,Earnings!$G$2:$BC$81,('Yearly Pension'!$A38)+1, FALSE)) &gt; J$1, (Assumptions!$B$8)*(J$1) + (Assumptions!$B$9)*MAX(0,  (HLOOKUP(J$2,Earnings!$G$2:$BC$81,('Yearly Pension'!$A38)+1, FALSE)) - J$1), ((Assumptions!$B$8)*'Yearly Pension'!J$1))))</f>
        <v>0</v>
      </c>
      <c r="K38" s="6">
        <f>(HLOOKUP('Yearly Pension'!K$2,'Credited Service'!$G$1:$BC$80,$A38+1,FALSE)) * (IF($B38=500, (Assumptions!$B$7)*12, IF((HLOOKUP(K$2,Earnings!$G$2:$BC$81,('Yearly Pension'!$A38)+1, FALSE)) &gt; K$1, (Assumptions!$B$8)*(K$1) + (Assumptions!$B$9)*MAX(0,  (HLOOKUP(K$2,Earnings!$G$2:$BC$81,('Yearly Pension'!$A38)+1, FALSE)) - K$1), ((Assumptions!$B$8)*'Yearly Pension'!K$1))))</f>
        <v>0</v>
      </c>
      <c r="L38" s="6">
        <f>(HLOOKUP('Yearly Pension'!L$2,'Credited Service'!$G$1:$BC$80,$A38+1,FALSE)) * (IF($B38=500, (Assumptions!$B$7)*12, IF((HLOOKUP(L$2,Earnings!$G$2:$BC$81,('Yearly Pension'!$A38)+1, FALSE)) &gt; L$1, (Assumptions!$B$8)*(L$1) + (Assumptions!$B$9)*MAX(0,  (HLOOKUP(L$2,Earnings!$G$2:$BC$81,('Yearly Pension'!$A38)+1, FALSE)) - L$1), ((Assumptions!$B$8)*'Yearly Pension'!L$1))))</f>
        <v>0</v>
      </c>
      <c r="M38" s="6">
        <f>(HLOOKUP('Yearly Pension'!M$2,'Credited Service'!$G$1:$BC$80,$A38+1,FALSE)) * (IF($B38=500, (Assumptions!$B$7)*12, IF((HLOOKUP(M$2,Earnings!$G$2:$BC$81,('Yearly Pension'!$A38)+1, FALSE)) &gt; M$1, (Assumptions!$B$8)*(M$1) + (Assumptions!$B$9)*MAX(0,  (HLOOKUP(M$2,Earnings!$G$2:$BC$81,('Yearly Pension'!$A38)+1, FALSE)) - M$1), ((Assumptions!$B$8)*'Yearly Pension'!M$1))))</f>
        <v>0</v>
      </c>
      <c r="N38" s="6">
        <f>(HLOOKUP('Yearly Pension'!N$2,'Credited Service'!$G$1:$BC$80,$A38+1,FALSE)) * (IF($B38=500, (Assumptions!$B$7)*12, IF((HLOOKUP(N$2,Earnings!$G$2:$BC$81,('Yearly Pension'!$A38)+1, FALSE)) &gt; N$1, (Assumptions!$B$8)*(N$1) + (Assumptions!$B$9)*MAX(0,  (HLOOKUP(N$2,Earnings!$G$2:$BC$81,('Yearly Pension'!$A38)+1, FALSE)) - N$1), ((Assumptions!$B$8)*'Yearly Pension'!N$1))))</f>
        <v>0</v>
      </c>
      <c r="O38" s="6">
        <f>(HLOOKUP('Yearly Pension'!O$2,'Credited Service'!$G$1:$BC$80,$A38+1,FALSE)) * (IF($B38=500, (Assumptions!$B$7)*12, IF((HLOOKUP(O$2,Earnings!$G$2:$BC$81,('Yearly Pension'!$A38)+1, FALSE)) &gt; O$1, (Assumptions!$B$8)*(O$1) + (Assumptions!$B$9)*MAX(0,  (HLOOKUP(O$2,Earnings!$G$2:$BC$81,('Yearly Pension'!$A38)+1, FALSE)) - O$1), ((Assumptions!$B$8)*'Yearly Pension'!O$1))))</f>
        <v>0</v>
      </c>
      <c r="P38" s="6">
        <f>(HLOOKUP('Yearly Pension'!P$2,'Credited Service'!$G$1:$BC$80,$A38+1,FALSE)) * (IF($B38=500, (Assumptions!$B$7)*12, IF((HLOOKUP(P$2,Earnings!$G$2:$BC$81,('Yearly Pension'!$A38)+1, FALSE)) &gt; P$1, (Assumptions!$B$8)*(P$1) + (Assumptions!$B$9)*MAX(0,  (HLOOKUP(P$2,Earnings!$G$2:$BC$81,('Yearly Pension'!$A38)+1, FALSE)) - P$1), ((Assumptions!$B$8)*'Yearly Pension'!P$1))))</f>
        <v>0</v>
      </c>
      <c r="Q38" s="6">
        <f>(HLOOKUP('Yearly Pension'!Q$2,'Credited Service'!$G$1:$BC$80,$A38+1,FALSE)) * (IF($B38=500, (Assumptions!$B$7)*12, IF((HLOOKUP(Q$2,Earnings!$G$2:$BC$81,('Yearly Pension'!$A38)+1, FALSE)) &gt; Q$1, (Assumptions!$B$8)*(Q$1) + (Assumptions!$B$9)*MAX(0,  (HLOOKUP(Q$2,Earnings!$G$2:$BC$81,('Yearly Pension'!$A38)+1, FALSE)) - Q$1), ((Assumptions!$B$8)*'Yearly Pension'!Q$1))))</f>
        <v>0</v>
      </c>
      <c r="R38" s="6">
        <f>(HLOOKUP('Yearly Pension'!R$2,'Credited Service'!$G$1:$BC$80,$A38+1,FALSE)) * (IF($B38=500, (Assumptions!$B$7)*12, IF((HLOOKUP(R$2,Earnings!$G$2:$BC$81,('Yearly Pension'!$A38)+1, FALSE)) &gt; R$1, (Assumptions!$B$8)*(R$1) + (Assumptions!$B$9)*MAX(0,  (HLOOKUP(R$2,Earnings!$G$2:$BC$81,('Yearly Pension'!$A38)+1, FALSE)) - R$1), ((Assumptions!$B$8)*'Yearly Pension'!R$1))))</f>
        <v>0</v>
      </c>
      <c r="S38" s="6">
        <f>(HLOOKUP('Yearly Pension'!S$2,'Credited Service'!$G$1:$BC$80,$A38+1,FALSE)) * (IF($B38=500, (Assumptions!$B$7)*12, IF((HLOOKUP(S$2,Earnings!$G$2:$BC$81,('Yearly Pension'!$A38)+1, FALSE)) &gt; S$1, (Assumptions!$B$8)*(S$1) + (Assumptions!$B$9)*MAX(0,  (HLOOKUP(S$2,Earnings!$G$2:$BC$81,('Yearly Pension'!$A38)+1, FALSE)) - S$1), ((Assumptions!$B$8)*'Yearly Pension'!S$1))))</f>
        <v>0</v>
      </c>
      <c r="T38" s="6">
        <f>(HLOOKUP('Yearly Pension'!T$2,'Credited Service'!$G$1:$BC$80,$A38+1,FALSE)) * (IF($B38=500, (Assumptions!$B$7)*12, IF((HLOOKUP(T$2,Earnings!$G$2:$BC$81,('Yearly Pension'!$A38)+1, FALSE)) &gt; T$1, (Assumptions!$B$8)*(T$1) + (Assumptions!$B$9)*MAX(0,  (HLOOKUP(T$2,Earnings!$G$2:$BC$81,('Yearly Pension'!$A38)+1, FALSE)) - T$1), ((Assumptions!$B$8)*'Yearly Pension'!T$1))))</f>
        <v>0</v>
      </c>
      <c r="U38" s="6">
        <f>(HLOOKUP('Yearly Pension'!U$2,'Credited Service'!$G$1:$BC$80,$A38+1,FALSE)) * (IF($B38=500, (Assumptions!$B$7)*12, IF((HLOOKUP(U$2,Earnings!$G$2:$BC$81,('Yearly Pension'!$A38)+1, FALSE)) &gt; U$1, (Assumptions!$B$8)*(U$1) + (Assumptions!$B$9)*MAX(0,  (HLOOKUP(U$2,Earnings!$G$2:$BC$81,('Yearly Pension'!$A38)+1, FALSE)) - U$1), ((Assumptions!$B$8)*'Yearly Pension'!U$1))))</f>
        <v>0</v>
      </c>
      <c r="V38" s="6">
        <f>(HLOOKUP('Yearly Pension'!V$2,'Credited Service'!$G$1:$BC$80,$A38+1,FALSE)) * (IF($B38=500, (Assumptions!$B$7)*12, IF((HLOOKUP(V$2,Earnings!$G$2:$BC$81,('Yearly Pension'!$A38)+1, FALSE)) &gt; V$1, (Assumptions!$B$8)*(V$1) + (Assumptions!$B$9)*MAX(0,  (HLOOKUP(V$2,Earnings!$G$2:$BC$81,('Yearly Pension'!$A38)+1, FALSE)) - V$1), ((Assumptions!$B$8)*'Yearly Pension'!V$1))))</f>
        <v>0</v>
      </c>
      <c r="W38" s="6">
        <f>(HLOOKUP('Yearly Pension'!W$2,'Credited Service'!$G$1:$BC$80,$A38+1,FALSE)) * (IF($B38=500, (Assumptions!$B$7)*12, IF((HLOOKUP(W$2,Earnings!$G$2:$BC$81,('Yearly Pension'!$A38)+1, FALSE)) &gt; W$1, (Assumptions!$B$8)*(W$1) + (Assumptions!$B$9)*MAX(0,  (HLOOKUP(W$2,Earnings!$G$2:$BC$81,('Yearly Pension'!$A38)+1, FALSE)) - W$1), ((Assumptions!$B$8)*'Yearly Pension'!W$1))))</f>
        <v>0</v>
      </c>
      <c r="X38" s="6">
        <f>(HLOOKUP('Yearly Pension'!X$2,'Credited Service'!$G$1:$BC$80,$A38+1,FALSE)) * (IF($B38=500, (Assumptions!$B$7)*12, IF((HLOOKUP(X$2,Earnings!$G$2:$BC$81,('Yearly Pension'!$A38)+1, FALSE)) &gt; X$1, (Assumptions!$B$8)*(X$1) + (Assumptions!$B$9)*MAX(0,  (HLOOKUP(X$2,Earnings!$G$2:$BC$81,('Yearly Pension'!$A38)+1, FALSE)) - X$1), ((Assumptions!$B$8)*'Yearly Pension'!X$1))))</f>
        <v>0</v>
      </c>
      <c r="Y38" s="6">
        <f>(HLOOKUP('Yearly Pension'!Y$2,'Credited Service'!$G$1:$BC$80,$A38+1,FALSE)) * (IF($B38=500, (Assumptions!$B$7)*12, IF((HLOOKUP(Y$2,Earnings!$G$2:$BC$81,('Yearly Pension'!$A38)+1, FALSE)) &gt; Y$1, (Assumptions!$B$8)*(Y$1) + (Assumptions!$B$9)*MAX(0,  (HLOOKUP(Y$2,Earnings!$G$2:$BC$81,('Yearly Pension'!$A38)+1, FALSE)) - Y$1), ((Assumptions!$B$8)*'Yearly Pension'!Y$1))))</f>
        <v>0</v>
      </c>
      <c r="Z38" s="6">
        <f>(HLOOKUP('Yearly Pension'!Z$2,'Credited Service'!$G$1:$BC$80,$A38+1,FALSE)) * (IF($B38=500, (Assumptions!$B$7)*12, IF((HLOOKUP(Z$2,Earnings!$G$2:$BC$81,('Yearly Pension'!$A38)+1, FALSE)) &gt; Z$1, (Assumptions!$B$8)*(Z$1) + (Assumptions!$B$9)*MAX(0,  (HLOOKUP(Z$2,Earnings!$G$2:$BC$81,('Yearly Pension'!$A38)+1, FALSE)) - Z$1), ((Assumptions!$B$8)*'Yearly Pension'!Z$1))))</f>
        <v>0</v>
      </c>
      <c r="AA38" s="6">
        <f>(HLOOKUP('Yearly Pension'!AA$2,'Credited Service'!$G$1:$BC$80,$A38+1,FALSE)) * (IF($B38=500, (Assumptions!$B$7)*12, IF((HLOOKUP(AA$2,Earnings!$G$2:$BC$81,('Yearly Pension'!$A38)+1, FALSE)) &gt; AA$1, (Assumptions!$B$8)*(AA$1) + (Assumptions!$B$9)*MAX(0,  (HLOOKUP(AA$2,Earnings!$G$2:$BC$81,('Yearly Pension'!$A38)+1, FALSE)) - AA$1), ((Assumptions!$B$8)*'Yearly Pension'!AA$1))))</f>
        <v>0</v>
      </c>
      <c r="AB38" s="6">
        <f>(HLOOKUP('Yearly Pension'!AB$2,'Credited Service'!$G$1:$BC$80,$A38+1,FALSE)) * (IF($B38=500, (Assumptions!$B$7)*12, IF((HLOOKUP(AB$2,Earnings!$G$2:$BC$81,('Yearly Pension'!$A38)+1, FALSE)) &gt; AB$1, (Assumptions!$B$8)*(AB$1) + (Assumptions!$B$9)*MAX(0,  (HLOOKUP(AB$2,Earnings!$G$2:$BC$81,('Yearly Pension'!$A38)+1, FALSE)) - AB$1), ((Assumptions!$B$8)*'Yearly Pension'!AB$1))))</f>
        <v>0</v>
      </c>
      <c r="AC38" s="6">
        <f>(HLOOKUP('Yearly Pension'!AC$2,'Credited Service'!$G$1:$BC$80,$A38+1,FALSE)) * (IF($B38=500, (Assumptions!$B$7)*12, IF((HLOOKUP(AC$2,Earnings!$G$2:$BC$81,('Yearly Pension'!$A38)+1, FALSE)) &gt; AC$1, (Assumptions!$B$8)*(AC$1) + (Assumptions!$B$9)*MAX(0,  (HLOOKUP(AC$2,Earnings!$G$2:$BC$81,('Yearly Pension'!$A38)+1, FALSE)) - AC$1), ((Assumptions!$B$8)*'Yearly Pension'!AC$1))))</f>
        <v>0</v>
      </c>
      <c r="AD38" s="6">
        <f>(HLOOKUP('Yearly Pension'!AD$2,'Credited Service'!$G$1:$BC$80,$A38+1,FALSE)) * (IF($B38=500, (Assumptions!$B$7)*12, IF((HLOOKUP(AD$2,Earnings!$G$2:$BC$81,('Yearly Pension'!$A38)+1, FALSE)) &gt; AD$1, (Assumptions!$B$8)*(AD$1) + (Assumptions!$B$9)*MAX(0,  (HLOOKUP(AD$2,Earnings!$G$2:$BC$81,('Yearly Pension'!$A38)+1, FALSE)) - AD$1), ((Assumptions!$B$8)*'Yearly Pension'!AD$1))))</f>
        <v>0</v>
      </c>
      <c r="AE38" s="6">
        <f>(HLOOKUP('Yearly Pension'!AE$2,'Credited Service'!$G$1:$BC$80,$A38+1,FALSE)) * (IF($B38=500, (Assumptions!$B$7)*12, IF((HLOOKUP(AE$2,Earnings!$G$2:$BC$81,('Yearly Pension'!$A38)+1, FALSE)) &gt; AE$1, (Assumptions!$B$8)*(AE$1) + (Assumptions!$B$9)*MAX(0,  (HLOOKUP(AE$2,Earnings!$G$2:$BC$81,('Yearly Pension'!$A38)+1, FALSE)) - AE$1), ((Assumptions!$B$8)*'Yearly Pension'!AE$1))))</f>
        <v>586.16440292574146</v>
      </c>
      <c r="AF38" s="6">
        <f>(HLOOKUP('Yearly Pension'!AF$2,'Credited Service'!$G$1:$BC$80,$A38+1,FALSE)) * (IF($B38=500, (Assumptions!$B$7)*12, IF((HLOOKUP(AF$2,Earnings!$G$2:$BC$81,('Yearly Pension'!$A38)+1, FALSE)) &gt; AF$1, (Assumptions!$B$8)*(AF$1) + (Assumptions!$B$9)*MAX(0,  (HLOOKUP(AF$2,Earnings!$G$2:$BC$81,('Yearly Pension'!$A38)+1, FALSE)) - AF$1), ((Assumptions!$B$8)*'Yearly Pension'!AF$1))))</f>
        <v>736.21797485132527</v>
      </c>
      <c r="AG38" s="6">
        <f>(HLOOKUP('Yearly Pension'!AG$2,'Credited Service'!$G$1:$BC$80,$A38+1,FALSE)) * (IF($B38=500, (Assumptions!$B$7)*12, IF((HLOOKUP(AG$2,Earnings!$G$2:$BC$81,('Yearly Pension'!$A38)+1, FALSE)) &gt; AG$1, (Assumptions!$B$8)*(AG$1) + (Assumptions!$B$9)*MAX(0,  (HLOOKUP(AG$2,Earnings!$G$2:$BC$81,('Yearly Pension'!$A38)+1, FALSE)) - AG$1), ((Assumptions!$B$8)*'Yearly Pension'!AG$1))))</f>
        <v>770.55629384537838</v>
      </c>
      <c r="AH38" s="6">
        <f>(HLOOKUP('Yearly Pension'!AH$2,'Credited Service'!$G$1:$BC$80,$A38+1,FALSE)) * (IF($B38=500, (Assumptions!$B$7)*12, IF((HLOOKUP(AH$2,Earnings!$G$2:$BC$81,('Yearly Pension'!$A38)+1, FALSE)) &gt; AH$1, (Assumptions!$B$8)*(AH$1) + (Assumptions!$B$9)*MAX(0,  (HLOOKUP(AH$2,Earnings!$G$2:$BC$81,('Yearly Pension'!$A38)+1, FALSE)) - AH$1), ((Assumptions!$B$8)*'Yearly Pension'!AH$1))))</f>
        <v>807.75294559919359</v>
      </c>
      <c r="AI38" s="6">
        <f>(HLOOKUP('Yearly Pension'!AI$2,'Credited Service'!$G$1:$BC$80,$A38+1,FALSE)) * (IF($B38=500, (Assumptions!$B$7)*12, IF((HLOOKUP(AI$2,Earnings!$G$2:$BC$81,('Yearly Pension'!$A38)+1, FALSE)) &gt; AI$1, (Assumptions!$B$8)*(AI$1) + (Assumptions!$B$9)*MAX(0,  (HLOOKUP(AI$2,Earnings!$G$2:$BC$81,('Yearly Pension'!$A38)+1, FALSE)) - AI$1), ((Assumptions!$B$8)*'Yearly Pension'!AI$1))))</f>
        <v>846.59106342316136</v>
      </c>
      <c r="AJ38" s="6">
        <f>(HLOOKUP('Yearly Pension'!AJ$2,'Credited Service'!$G$1:$BC$80,$A38+1,FALSE)) * (IF($B38=500, (Assumptions!$B$7)*12, IF((HLOOKUP(AJ$2,Earnings!$G$2:$BC$81,('Yearly Pension'!$A38)+1, FALSE)) &gt; AJ$1, (Assumptions!$B$8)*(AJ$1) + (Assumptions!$B$9)*MAX(0,  (HLOOKUP(AJ$2,Earnings!$G$2:$BC$81,('Yearly Pension'!$A38)+1, FALSE)) - AJ$1), ((Assumptions!$B$8)*'Yearly Pension'!AJ$1))))</f>
        <v>884.57630596008789</v>
      </c>
      <c r="AK38" s="6">
        <f>(HLOOKUP('Yearly Pension'!AK$2,'Credited Service'!$G$1:$BC$80,$A38+1,FALSE)) * (IF($B38=500, (Assumptions!$B$7)*12, IF((HLOOKUP(AK$2,Earnings!$G$2:$BC$81,('Yearly Pension'!$A38)+1, FALSE)) &gt; AK$1, (Assumptions!$B$8)*(AK$1) + (Assumptions!$B$9)*MAX(0,  (HLOOKUP(AK$2,Earnings!$G$2:$BC$81,('Yearly Pension'!$A38)+1, FALSE)) - AK$1), ((Assumptions!$B$8)*'Yearly Pension'!AK$1))))</f>
        <v>920.49695819849148</v>
      </c>
      <c r="AL38" s="6">
        <f>(HLOOKUP('Yearly Pension'!AL$2,'Credited Service'!$G$1:$BC$80,$A38+1,FALSE)) * (IF($B38=500, (Assumptions!$B$7)*12, IF((HLOOKUP(AL$2,Earnings!$G$2:$BC$81,('Yearly Pension'!$A38)+1, FALSE)) &gt; AL$1, (Assumptions!$B$8)*(AL$1) + (Assumptions!$B$9)*MAX(0,  (HLOOKUP(AL$2,Earnings!$G$2:$BC$81,('Yearly Pension'!$A38)+1, FALSE)) - AL$1), ((Assumptions!$B$8)*'Yearly Pension'!AL$1))))</f>
        <v>960.8240365264312</v>
      </c>
      <c r="AM38" s="6">
        <f>(HLOOKUP('Yearly Pension'!AM$2,'Credited Service'!$G$1:$BC$80,$A38+1,FALSE)) * (IF($B38=500, (Assumptions!$B$7)*12, IF((HLOOKUP(AM$2,Earnings!$G$2:$BC$81,('Yearly Pension'!$A38)+1, FALSE)) &gt; AM$1, (Assumptions!$B$8)*(AM$1) + (Assumptions!$B$9)*MAX(0,  (HLOOKUP(AM$2,Earnings!$G$2:$BC$81,('Yearly Pension'!$A38)+1, FALSE)) - AM$1), ((Assumptions!$B$8)*'Yearly Pension'!AM$1))))</f>
        <v>1001.7913979874884</v>
      </c>
      <c r="AN38" s="6">
        <f>(HLOOKUP('Yearly Pension'!AN$2,'Credited Service'!$G$1:$BC$80,$A38+1,FALSE)) * (IF($B38=500, (Assumptions!$B$7)*12, IF((HLOOKUP(AN$2,Earnings!$G$2:$BC$81,('Yearly Pension'!$A38)+1, FALSE)) &gt; AN$1, (Assumptions!$B$8)*(AN$1) + (Assumptions!$B$9)*MAX(0,  (HLOOKUP(AN$2,Earnings!$G$2:$BC$81,('Yearly Pension'!$A38)+1, FALSE)) - AN$1), ((Assumptions!$B$8)*'Yearly Pension'!AN$1))))</f>
        <v>1047.9558539069881</v>
      </c>
      <c r="AO38" s="6">
        <f>(HLOOKUP('Yearly Pension'!AO$2,'Credited Service'!$G$1:$BC$80,$A38+1,FALSE)) * (IF($B38=500, (Assumptions!$B$7)*12, IF((HLOOKUP(AO$2,Earnings!$G$2:$BC$81,('Yearly Pension'!$A38)+1, FALSE)) &gt; AO$1, (Assumptions!$B$8)*(AO$1) + (Assumptions!$B$9)*MAX(0,  (HLOOKUP(AO$2,Earnings!$G$2:$BC$81,('Yearly Pension'!$A38)+1, FALSE)) - AO$1), ((Assumptions!$B$8)*'Yearly Pension'!AO$1))))</f>
        <v>1094.9172880632677</v>
      </c>
      <c r="AP38" s="6">
        <f>(HLOOKUP('Yearly Pension'!AP$2,'Credited Service'!$G$1:$BC$80,$A38+1,FALSE)) * (IF($B38=500, (Assumptions!$B$7)*12, IF((HLOOKUP(AP$2,Earnings!$G$2:$BC$81,('Yearly Pension'!$A38)+1, FALSE)) &gt; AP$1, (Assumptions!$B$8)*(AP$1) + (Assumptions!$B$9)*MAX(0,  (HLOOKUP(AP$2,Earnings!$G$2:$BC$81,('Yearly Pension'!$A38)+1, FALSE)) - AP$1), ((Assumptions!$B$8)*'Yearly Pension'!AP$1))))</f>
        <v>1139.5587795857987</v>
      </c>
      <c r="AQ38" s="6">
        <f>(HLOOKUP('Yearly Pension'!AQ$2,'Credited Service'!$G$1:$BC$80,$A38+1,FALSE)) * (IF($B38=500, (Assumptions!$B$7)*12, IF((HLOOKUP(AQ$2,Earnings!$G$2:$BC$81,('Yearly Pension'!$A38)+1, FALSE)) &gt; AQ$1, (Assumptions!$B$8)*(AQ$1) + (Assumptions!$B$9)*MAX(0,  (HLOOKUP(AQ$2,Earnings!$G$2:$BC$81,('Yearly Pension'!$A38)+1, FALSE)) - AQ$1), ((Assumptions!$B$8)*'Yearly Pension'!AQ$1))))</f>
        <v>1191.5667307692306</v>
      </c>
      <c r="AR38" s="6">
        <f>(HLOOKUP('Yearly Pension'!AR$2,'Credited Service'!$G$1:$BC$80,$A38+1,FALSE)) * (IF($B38=500, (Assumptions!$B$7)*12, IF((HLOOKUP(AR$2,Earnings!$G$2:$BC$81,('Yearly Pension'!$A38)+1, FALSE)) &gt; AR$1, (Assumptions!$B$8)*(AR$1) + (Assumptions!$B$9)*MAX(0,  (HLOOKUP(AR$2,Earnings!$G$2:$BC$81,('Yearly Pension'!$A38)+1, FALSE)) - AR$1), ((Assumptions!$B$8)*'Yearly Pension'!AR$1))))</f>
        <v>1243.3510000000001</v>
      </c>
      <c r="AS38" s="6">
        <f>(HLOOKUP('Yearly Pension'!AS$2,'Credited Service'!$G$1:$BC$80,$A38+1,FALSE)) * (IF($B38=500, (Assumptions!$B$7)*12, IF((HLOOKUP(AS$2,Earnings!$G$2:$BC$81,('Yearly Pension'!$A38)+1, FALSE)) &gt; AS$1, (Assumptions!$B$8)*(AS$1) + (Assumptions!$B$9)*MAX(0,  (HLOOKUP(AS$2,Earnings!$G$2:$BC$81,('Yearly Pension'!$A38)+1, FALSE)) - AS$1), ((Assumptions!$B$8)*'Yearly Pension'!AS$1))))</f>
        <v>1283.6915300000001</v>
      </c>
      <c r="AT38" s="6">
        <f>(HLOOKUP('Yearly Pension'!AT$2,'Credited Service'!$G$1:$BC$80,$A38+1,FALSE)) * (IF($B38=500, (Assumptions!$B$7)*12, IF((HLOOKUP(AT$2,Earnings!$G$2:$BC$81,('Yearly Pension'!$A38)+1, FALSE)) &gt; AT$1, (Assumptions!$B$8)*(AT$1) + (Assumptions!$B$9)*MAX(0,  (HLOOKUP(AT$2,Earnings!$G$2:$BC$81,('Yearly Pension'!$A38)+1, FALSE)) - AT$1), ((Assumptions!$B$8)*'Yearly Pension'!AT$1))))</f>
        <v>1324.1734759000001</v>
      </c>
      <c r="AU38" s="6">
        <f>(HLOOKUP('Yearly Pension'!AU$2,'Credited Service'!$G$1:$BC$80,$A38+1,FALSE)) * (IF($B38=500, (Assumptions!$B$7)*12, IF((HLOOKUP(AU$2,Earnings!$G$2:$BC$81,('Yearly Pension'!$A38)+1, FALSE)) &gt; AU$1, (Assumptions!$B$8)*(AU$1) + (Assumptions!$B$9)*MAX(0,  (HLOOKUP(AU$2,Earnings!$G$2:$BC$81,('Yearly Pension'!$A38)+1, FALSE)) - AU$1), ((Assumptions!$B$8)*'Yearly Pension'!AU$1))))</f>
        <v>1371.879480177</v>
      </c>
      <c r="AV38" s="6">
        <f>(HLOOKUP('Yearly Pension'!AV$2,'Credited Service'!$G$1:$BC$80,$A38+1,FALSE)) * (IF($B38=500, (Assumptions!$B$7)*12, IF((HLOOKUP(AV$2,Earnings!$G$2:$BC$81,('Yearly Pension'!$A38)+1, FALSE)) &gt; AV$1, (Assumptions!$B$8)*(AV$1) + (Assumptions!$B$9)*MAX(0,  (HLOOKUP(AV$2,Earnings!$G$2:$BC$81,('Yearly Pension'!$A38)+1, FALSE)) - AV$1), ((Assumptions!$B$8)*'Yearly Pension'!AV$1))))</f>
        <v>1419.8134645823104</v>
      </c>
      <c r="AW38" s="6">
        <f>(HLOOKUP('Yearly Pension'!AW$2,'Credited Service'!$G$1:$BC$80,$A38+1,FALSE)) * (IF($B38=500, (Assumptions!$B$7)*12, IF((HLOOKUP(AW$2,Earnings!$G$2:$BC$81,('Yearly Pension'!$A38)+1, FALSE)) &gt; AW$1, (Assumptions!$B$8)*(AW$1) + (Assumptions!$B$9)*MAX(0,  (HLOOKUP(AW$2,Earnings!$G$2:$BC$81,('Yearly Pension'!$A38)+1, FALSE)) - AW$1), ((Assumptions!$B$8)*'Yearly Pension'!AW$1))))</f>
        <v>1463.54066851978</v>
      </c>
      <c r="AX38" s="6">
        <f>(HLOOKUP('Yearly Pension'!AX$2,'Credited Service'!$G$1:$BC$80,$A38+1,FALSE)) * (IF($B38=500, (Assumptions!$B$7)*12, IF((HLOOKUP(AX$2,Earnings!$G$2:$BC$81,('Yearly Pension'!$A38)+1, FALSE)) &gt; AX$1, (Assumptions!$B$8)*(AX$1) + (Assumptions!$B$9)*MAX(0,  (HLOOKUP(AX$2,Earnings!$G$2:$BC$81,('Yearly Pension'!$A38)+1, FALSE)) - AX$1), ((Assumptions!$B$8)*'Yearly Pension'!AX$1))))</f>
        <v>1503.7732885753733</v>
      </c>
      <c r="AY38" s="6">
        <f>(HLOOKUP('Yearly Pension'!AY$2,'Credited Service'!$G$1:$BC$80,$A38+1,FALSE)) * (IF($B38=500, (Assumptions!$B$7)*12, IF((HLOOKUP(AY$2,Earnings!$G$2:$BC$81,('Yearly Pension'!$A38)+1, FALSE)) &gt; AY$1, (Assumptions!$B$8)*(AY$1) + (Assumptions!$B$9)*MAX(0,  (HLOOKUP(AY$2,Earnings!$G$2:$BC$81,('Yearly Pension'!$A38)+1, FALSE)) - AY$1), ((Assumptions!$B$8)*'Yearly Pension'!AY$1))))</f>
        <v>1416.3104479632482</v>
      </c>
      <c r="AZ38" s="6">
        <f>(HLOOKUP('Yearly Pension'!AZ$2,'Credited Service'!$G$1:$BC$80,$A38+1,FALSE)) * (IF($B38=500, (Assumptions!$B$7)*12, IF((HLOOKUP(AZ$2,Earnings!$G$2:$BC$81,('Yearly Pension'!$A38)+1, FALSE)) &gt; AZ$1, (Assumptions!$B$8)*(AZ$1) + (Assumptions!$B$9)*MAX(0,  (HLOOKUP(AZ$2,Earnings!$G$2:$BC$81,('Yearly Pension'!$A38)+1, FALSE)) - AZ$1), ((Assumptions!$B$8)*'Yearly Pension'!AZ$1))))</f>
        <v>0</v>
      </c>
      <c r="BA38" s="6">
        <f>(HLOOKUP('Yearly Pension'!BA$2,'Credited Service'!$G$1:$BC$80,$A38+1,FALSE)) * (IF($B38=500, (Assumptions!$B$7)*12, IF((HLOOKUP(BA$2,Earnings!$G$2:$BC$81,('Yearly Pension'!$A38)+1, FALSE)) &gt; BA$1, (Assumptions!$B$8)*(BA$1) + (Assumptions!$B$9)*MAX(0,  (HLOOKUP(BA$2,Earnings!$G$2:$BC$81,('Yearly Pension'!$A38)+1, FALSE)) - BA$1), ((Assumptions!$B$8)*'Yearly Pension'!BA$1))))</f>
        <v>0</v>
      </c>
      <c r="BB38" s="6">
        <f>(HLOOKUP('Yearly Pension'!BB$2,'Credited Service'!$G$1:$BC$80,$A38+1,FALSE)) * (IF($B38=500, (Assumptions!$B$7)*12, IF((HLOOKUP(BB$2,Earnings!$G$2:$BC$81,('Yearly Pension'!$A38)+1, FALSE)) &gt; BB$1, (Assumptions!$B$8)*(BB$1) + (Assumptions!$B$9)*MAX(0,  (HLOOKUP(BB$2,Earnings!$G$2:$BC$81,('Yearly Pension'!$A38)+1, FALSE)) - BB$1), ((Assumptions!$B$8)*'Yearly Pension'!BB$1))))</f>
        <v>0</v>
      </c>
      <c r="BC38" s="6">
        <f>(HLOOKUP('Yearly Pension'!BC$2,'Credited Service'!$G$1:$BC$80,$A38+1,FALSE)) * (IF($B38=500, (Assumptions!$B$7)*12, IF((HLOOKUP(BC$2,Earnings!$G$2:$BC$81,('Yearly Pension'!$A38)+1, FALSE)) &gt; BC$1, (Assumptions!$B$8)*(BC$1) + (Assumptions!$B$9)*MAX(0,  (HLOOKUP(BC$2,Earnings!$G$2:$BC$81,('Yearly Pension'!$A38)+1, FALSE)) - BC$1), ((Assumptions!$B$8)*'Yearly Pension'!BC$1))))</f>
        <v>0</v>
      </c>
    </row>
    <row r="39" spans="1:55" x14ac:dyDescent="0.25">
      <c r="A39" s="204">
        <v>37</v>
      </c>
      <c r="B39" s="1">
        <v>600</v>
      </c>
      <c r="C39" s="1">
        <v>732</v>
      </c>
      <c r="D39" s="3">
        <v>36794</v>
      </c>
      <c r="E39" s="3">
        <v>51622</v>
      </c>
      <c r="G39" s="6">
        <f>(HLOOKUP('Yearly Pension'!G$2,'Credited Service'!$G$1:$BC$80,$A39+1,FALSE)) * (IF($B39=500, (Assumptions!$B$7)*12, IF((HLOOKUP(G$2,Earnings!$G$2:$BC$81,('Yearly Pension'!$A39)+1, FALSE)) &gt; G$1, (Assumptions!$B$8)*(G$1) + (Assumptions!$B$9)*MAX(0,  (HLOOKUP(G$2,Earnings!$G$2:$BC$81,('Yearly Pension'!$A39)+1, FALSE)) - G$1), ((Assumptions!$B$8)*'Yearly Pension'!G$1))))</f>
        <v>0</v>
      </c>
      <c r="H39" s="6">
        <f>(HLOOKUP('Yearly Pension'!H$2,'Credited Service'!$G$1:$BC$80,$A39+1,FALSE)) * (IF($B39=500, (Assumptions!$B$7)*12, IF((HLOOKUP(H$2,Earnings!$G$2:$BC$81,('Yearly Pension'!$A39)+1, FALSE)) &gt; H$1, (Assumptions!$B$8)*(H$1) + (Assumptions!$B$9)*MAX(0,  (HLOOKUP(H$2,Earnings!$G$2:$BC$81,('Yearly Pension'!$A39)+1, FALSE)) - H$1), ((Assumptions!$B$8)*'Yearly Pension'!H$1))))</f>
        <v>0</v>
      </c>
      <c r="I39" s="6">
        <f>(HLOOKUP('Yearly Pension'!I$2,'Credited Service'!$G$1:$BC$80,$A39+1,FALSE)) * (IF($B39=500, (Assumptions!$B$7)*12, IF((HLOOKUP(I$2,Earnings!$G$2:$BC$81,('Yearly Pension'!$A39)+1, FALSE)) &gt; I$1, (Assumptions!$B$8)*(I$1) + (Assumptions!$B$9)*MAX(0,  (HLOOKUP(I$2,Earnings!$G$2:$BC$81,('Yearly Pension'!$A39)+1, FALSE)) - I$1), ((Assumptions!$B$8)*'Yearly Pension'!I$1))))</f>
        <v>0</v>
      </c>
      <c r="J39" s="6">
        <f>(HLOOKUP('Yearly Pension'!J$2,'Credited Service'!$G$1:$BC$80,$A39+1,FALSE)) * (IF($B39=500, (Assumptions!$B$7)*12, IF((HLOOKUP(J$2,Earnings!$G$2:$BC$81,('Yearly Pension'!$A39)+1, FALSE)) &gt; J$1, (Assumptions!$B$8)*(J$1) + (Assumptions!$B$9)*MAX(0,  (HLOOKUP(J$2,Earnings!$G$2:$BC$81,('Yearly Pension'!$A39)+1, FALSE)) - J$1), ((Assumptions!$B$8)*'Yearly Pension'!J$1))))</f>
        <v>0</v>
      </c>
      <c r="K39" s="6">
        <f>(HLOOKUP('Yearly Pension'!K$2,'Credited Service'!$G$1:$BC$80,$A39+1,FALSE)) * (IF($B39=500, (Assumptions!$B$7)*12, IF((HLOOKUP(K$2,Earnings!$G$2:$BC$81,('Yearly Pension'!$A39)+1, FALSE)) &gt; K$1, (Assumptions!$B$8)*(K$1) + (Assumptions!$B$9)*MAX(0,  (HLOOKUP(K$2,Earnings!$G$2:$BC$81,('Yearly Pension'!$A39)+1, FALSE)) - K$1), ((Assumptions!$B$8)*'Yearly Pension'!K$1))))</f>
        <v>0</v>
      </c>
      <c r="L39" s="6">
        <f>(HLOOKUP('Yearly Pension'!L$2,'Credited Service'!$G$1:$BC$80,$A39+1,FALSE)) * (IF($B39=500, (Assumptions!$B$7)*12, IF((HLOOKUP(L$2,Earnings!$G$2:$BC$81,('Yearly Pension'!$A39)+1, FALSE)) &gt; L$1, (Assumptions!$B$8)*(L$1) + (Assumptions!$B$9)*MAX(0,  (HLOOKUP(L$2,Earnings!$G$2:$BC$81,('Yearly Pension'!$A39)+1, FALSE)) - L$1), ((Assumptions!$B$8)*'Yearly Pension'!L$1))))</f>
        <v>0</v>
      </c>
      <c r="M39" s="6">
        <f>(HLOOKUP('Yearly Pension'!M$2,'Credited Service'!$G$1:$BC$80,$A39+1,FALSE)) * (IF($B39=500, (Assumptions!$B$7)*12, IF((HLOOKUP(M$2,Earnings!$G$2:$BC$81,('Yearly Pension'!$A39)+1, FALSE)) &gt; M$1, (Assumptions!$B$8)*(M$1) + (Assumptions!$B$9)*MAX(0,  (HLOOKUP(M$2,Earnings!$G$2:$BC$81,('Yearly Pension'!$A39)+1, FALSE)) - M$1), ((Assumptions!$B$8)*'Yearly Pension'!M$1))))</f>
        <v>0</v>
      </c>
      <c r="N39" s="6">
        <f>(HLOOKUP('Yearly Pension'!N$2,'Credited Service'!$G$1:$BC$80,$A39+1,FALSE)) * (IF($B39=500, (Assumptions!$B$7)*12, IF((HLOOKUP(N$2,Earnings!$G$2:$BC$81,('Yearly Pension'!$A39)+1, FALSE)) &gt; N$1, (Assumptions!$B$8)*(N$1) + (Assumptions!$B$9)*MAX(0,  (HLOOKUP(N$2,Earnings!$G$2:$BC$81,('Yearly Pension'!$A39)+1, FALSE)) - N$1), ((Assumptions!$B$8)*'Yearly Pension'!N$1))))</f>
        <v>0</v>
      </c>
      <c r="O39" s="6">
        <f>(HLOOKUP('Yearly Pension'!O$2,'Credited Service'!$G$1:$BC$80,$A39+1,FALSE)) * (IF($B39=500, (Assumptions!$B$7)*12, IF((HLOOKUP(O$2,Earnings!$G$2:$BC$81,('Yearly Pension'!$A39)+1, FALSE)) &gt; O$1, (Assumptions!$B$8)*(O$1) + (Assumptions!$B$9)*MAX(0,  (HLOOKUP(O$2,Earnings!$G$2:$BC$81,('Yearly Pension'!$A39)+1, FALSE)) - O$1), ((Assumptions!$B$8)*'Yearly Pension'!O$1))))</f>
        <v>0</v>
      </c>
      <c r="P39" s="6">
        <f>(HLOOKUP('Yearly Pension'!P$2,'Credited Service'!$G$1:$BC$80,$A39+1,FALSE)) * (IF($B39=500, (Assumptions!$B$7)*12, IF((HLOOKUP(P$2,Earnings!$G$2:$BC$81,('Yearly Pension'!$A39)+1, FALSE)) &gt; P$1, (Assumptions!$B$8)*(P$1) + (Assumptions!$B$9)*MAX(0,  (HLOOKUP(P$2,Earnings!$G$2:$BC$81,('Yearly Pension'!$A39)+1, FALSE)) - P$1), ((Assumptions!$B$8)*'Yearly Pension'!P$1))))</f>
        <v>0</v>
      </c>
      <c r="Q39" s="6">
        <f>(HLOOKUP('Yearly Pension'!Q$2,'Credited Service'!$G$1:$BC$80,$A39+1,FALSE)) * (IF($B39=500, (Assumptions!$B$7)*12, IF((HLOOKUP(Q$2,Earnings!$G$2:$BC$81,('Yearly Pension'!$A39)+1, FALSE)) &gt; Q$1, (Assumptions!$B$8)*(Q$1) + (Assumptions!$B$9)*MAX(0,  (HLOOKUP(Q$2,Earnings!$G$2:$BC$81,('Yearly Pension'!$A39)+1, FALSE)) - Q$1), ((Assumptions!$B$8)*'Yearly Pension'!Q$1))))</f>
        <v>0</v>
      </c>
      <c r="R39" s="6">
        <f>(HLOOKUP('Yearly Pension'!R$2,'Credited Service'!$G$1:$BC$80,$A39+1,FALSE)) * (IF($B39=500, (Assumptions!$B$7)*12, IF((HLOOKUP(R$2,Earnings!$G$2:$BC$81,('Yearly Pension'!$A39)+1, FALSE)) &gt; R$1, (Assumptions!$B$8)*(R$1) + (Assumptions!$B$9)*MAX(0,  (HLOOKUP(R$2,Earnings!$G$2:$BC$81,('Yearly Pension'!$A39)+1, FALSE)) - R$1), ((Assumptions!$B$8)*'Yearly Pension'!R$1))))</f>
        <v>0</v>
      </c>
      <c r="S39" s="6">
        <f>(HLOOKUP('Yearly Pension'!S$2,'Credited Service'!$G$1:$BC$80,$A39+1,FALSE)) * (IF($B39=500, (Assumptions!$B$7)*12, IF((HLOOKUP(S$2,Earnings!$G$2:$BC$81,('Yearly Pension'!$A39)+1, FALSE)) &gt; S$1, (Assumptions!$B$8)*(S$1) + (Assumptions!$B$9)*MAX(0,  (HLOOKUP(S$2,Earnings!$G$2:$BC$81,('Yearly Pension'!$A39)+1, FALSE)) - S$1), ((Assumptions!$B$8)*'Yearly Pension'!S$1))))</f>
        <v>0</v>
      </c>
      <c r="T39" s="6">
        <f>(HLOOKUP('Yearly Pension'!T$2,'Credited Service'!$G$1:$BC$80,$A39+1,FALSE)) * (IF($B39=500, (Assumptions!$B$7)*12, IF((HLOOKUP(T$2,Earnings!$G$2:$BC$81,('Yearly Pension'!$A39)+1, FALSE)) &gt; T$1, (Assumptions!$B$8)*(T$1) + (Assumptions!$B$9)*MAX(0,  (HLOOKUP(T$2,Earnings!$G$2:$BC$81,('Yearly Pension'!$A39)+1, FALSE)) - T$1), ((Assumptions!$B$8)*'Yearly Pension'!T$1))))</f>
        <v>0</v>
      </c>
      <c r="U39" s="6">
        <f>(HLOOKUP('Yearly Pension'!U$2,'Credited Service'!$G$1:$BC$80,$A39+1,FALSE)) * (IF($B39=500, (Assumptions!$B$7)*12, IF((HLOOKUP(U$2,Earnings!$G$2:$BC$81,('Yearly Pension'!$A39)+1, FALSE)) &gt; U$1, (Assumptions!$B$8)*(U$1) + (Assumptions!$B$9)*MAX(0,  (HLOOKUP(U$2,Earnings!$G$2:$BC$81,('Yearly Pension'!$A39)+1, FALSE)) - U$1), ((Assumptions!$B$8)*'Yearly Pension'!U$1))))</f>
        <v>0</v>
      </c>
      <c r="V39" s="6">
        <f>(HLOOKUP('Yearly Pension'!V$2,'Credited Service'!$G$1:$BC$80,$A39+1,FALSE)) * (IF($B39=500, (Assumptions!$B$7)*12, IF((HLOOKUP(V$2,Earnings!$G$2:$BC$81,('Yearly Pension'!$A39)+1, FALSE)) &gt; V$1, (Assumptions!$B$8)*(V$1) + (Assumptions!$B$9)*MAX(0,  (HLOOKUP(V$2,Earnings!$G$2:$BC$81,('Yearly Pension'!$A39)+1, FALSE)) - V$1), ((Assumptions!$B$8)*'Yearly Pension'!V$1))))</f>
        <v>0</v>
      </c>
      <c r="W39" s="6">
        <f>(HLOOKUP('Yearly Pension'!W$2,'Credited Service'!$G$1:$BC$80,$A39+1,FALSE)) * (IF($B39=500, (Assumptions!$B$7)*12, IF((HLOOKUP(W$2,Earnings!$G$2:$BC$81,('Yearly Pension'!$A39)+1, FALSE)) &gt; W$1, (Assumptions!$B$8)*(W$1) + (Assumptions!$B$9)*MAX(0,  (HLOOKUP(W$2,Earnings!$G$2:$BC$81,('Yearly Pension'!$A39)+1, FALSE)) - W$1), ((Assumptions!$B$8)*'Yearly Pension'!W$1))))</f>
        <v>0</v>
      </c>
      <c r="X39" s="6">
        <f>(HLOOKUP('Yearly Pension'!X$2,'Credited Service'!$G$1:$BC$80,$A39+1,FALSE)) * (IF($B39=500, (Assumptions!$B$7)*12, IF((HLOOKUP(X$2,Earnings!$G$2:$BC$81,('Yearly Pension'!$A39)+1, FALSE)) &gt; X$1, (Assumptions!$B$8)*(X$1) + (Assumptions!$B$9)*MAX(0,  (HLOOKUP(X$2,Earnings!$G$2:$BC$81,('Yearly Pension'!$A39)+1, FALSE)) - X$1), ((Assumptions!$B$8)*'Yearly Pension'!X$1))))</f>
        <v>0</v>
      </c>
      <c r="Y39" s="6">
        <f>(HLOOKUP('Yearly Pension'!Y$2,'Credited Service'!$G$1:$BC$80,$A39+1,FALSE)) * (IF($B39=500, (Assumptions!$B$7)*12, IF((HLOOKUP(Y$2,Earnings!$G$2:$BC$81,('Yearly Pension'!$A39)+1, FALSE)) &gt; Y$1, (Assumptions!$B$8)*(Y$1) + (Assumptions!$B$9)*MAX(0,  (HLOOKUP(Y$2,Earnings!$G$2:$BC$81,('Yearly Pension'!$A39)+1, FALSE)) - Y$1), ((Assumptions!$B$8)*'Yearly Pension'!Y$1))))</f>
        <v>0</v>
      </c>
      <c r="Z39" s="6">
        <f>(HLOOKUP('Yearly Pension'!Z$2,'Credited Service'!$G$1:$BC$80,$A39+1,FALSE)) * (IF($B39=500, (Assumptions!$B$7)*12, IF((HLOOKUP(Z$2,Earnings!$G$2:$BC$81,('Yearly Pension'!$A39)+1, FALSE)) &gt; Z$1, (Assumptions!$B$8)*(Z$1) + (Assumptions!$B$9)*MAX(0,  (HLOOKUP(Z$2,Earnings!$G$2:$BC$81,('Yearly Pension'!$A39)+1, FALSE)) - Z$1), ((Assumptions!$B$8)*'Yearly Pension'!Z$1))))</f>
        <v>0</v>
      </c>
      <c r="AA39" s="6">
        <f>(HLOOKUP('Yearly Pension'!AA$2,'Credited Service'!$G$1:$BC$80,$A39+1,FALSE)) * (IF($B39=500, (Assumptions!$B$7)*12, IF((HLOOKUP(AA$2,Earnings!$G$2:$BC$81,('Yearly Pension'!$A39)+1, FALSE)) &gt; AA$1, (Assumptions!$B$8)*(AA$1) + (Assumptions!$B$9)*MAX(0,  (HLOOKUP(AA$2,Earnings!$G$2:$BC$81,('Yearly Pension'!$A39)+1, FALSE)) - AA$1), ((Assumptions!$B$8)*'Yearly Pension'!AA$1))))</f>
        <v>0</v>
      </c>
      <c r="AB39" s="6">
        <f>(HLOOKUP('Yearly Pension'!AB$2,'Credited Service'!$G$1:$BC$80,$A39+1,FALSE)) * (IF($B39=500, (Assumptions!$B$7)*12, IF((HLOOKUP(AB$2,Earnings!$G$2:$BC$81,('Yearly Pension'!$A39)+1, FALSE)) &gt; AB$1, (Assumptions!$B$8)*(AB$1) + (Assumptions!$B$9)*MAX(0,  (HLOOKUP(AB$2,Earnings!$G$2:$BC$81,('Yearly Pension'!$A39)+1, FALSE)) - AB$1), ((Assumptions!$B$8)*'Yearly Pension'!AB$1))))</f>
        <v>0</v>
      </c>
      <c r="AC39" s="6">
        <f>(HLOOKUP('Yearly Pension'!AC$2,'Credited Service'!$G$1:$BC$80,$A39+1,FALSE)) * (IF($B39=500, (Assumptions!$B$7)*12, IF((HLOOKUP(AC$2,Earnings!$G$2:$BC$81,('Yearly Pension'!$A39)+1, FALSE)) &gt; AC$1, (Assumptions!$B$8)*(AC$1) + (Assumptions!$B$9)*MAX(0,  (HLOOKUP(AC$2,Earnings!$G$2:$BC$81,('Yearly Pension'!$A39)+1, FALSE)) - AC$1), ((Assumptions!$B$8)*'Yearly Pension'!AC$1))))</f>
        <v>0</v>
      </c>
      <c r="AD39" s="6">
        <f>(HLOOKUP('Yearly Pension'!AD$2,'Credited Service'!$G$1:$BC$80,$A39+1,FALSE)) * (IF($B39=500, (Assumptions!$B$7)*12, IF((HLOOKUP(AD$2,Earnings!$G$2:$BC$81,('Yearly Pension'!$A39)+1, FALSE)) &gt; AD$1, (Assumptions!$B$8)*(AD$1) + (Assumptions!$B$9)*MAX(0,  (HLOOKUP(AD$2,Earnings!$G$2:$BC$81,('Yearly Pension'!$A39)+1, FALSE)) - AD$1), ((Assumptions!$B$8)*'Yearly Pension'!AD$1))))</f>
        <v>170.23049849773676</v>
      </c>
      <c r="AE39" s="6">
        <f>(HLOOKUP('Yearly Pension'!AE$2,'Credited Service'!$G$1:$BC$80,$A39+1,FALSE)) * (IF($B39=500, (Assumptions!$B$7)*12, IF((HLOOKUP(AE$2,Earnings!$G$2:$BC$81,('Yearly Pension'!$A39)+1, FALSE)) &gt; AE$1, (Assumptions!$B$8)*(AE$1) + (Assumptions!$B$9)*MAX(0,  (HLOOKUP(AE$2,Earnings!$G$2:$BC$81,('Yearly Pension'!$A39)+1, FALSE)) - AE$1), ((Assumptions!$B$8)*'Yearly Pension'!AE$1))))</f>
        <v>713.30447375058498</v>
      </c>
      <c r="AF39" s="6">
        <f>(HLOOKUP('Yearly Pension'!AF$2,'Credited Service'!$G$1:$BC$80,$A39+1,FALSE)) * (IF($B39=500, (Assumptions!$B$7)*12, IF((HLOOKUP(AF$2,Earnings!$G$2:$BC$81,('Yearly Pension'!$A39)+1, FALSE)) &gt; AF$1, (Assumptions!$B$8)*(AF$1) + (Assumptions!$B$9)*MAX(0,  (HLOOKUP(AF$2,Earnings!$G$2:$BC$81,('Yearly Pension'!$A39)+1, FALSE)) - AF$1), ((Assumptions!$B$8)*'Yearly Pension'!AF$1))))</f>
        <v>746.52145270060851</v>
      </c>
      <c r="AG39" s="6">
        <f>(HLOOKUP('Yearly Pension'!AG$2,'Credited Service'!$G$1:$BC$80,$A39+1,FALSE)) * (IF($B39=500, (Assumptions!$B$7)*12, IF((HLOOKUP(AG$2,Earnings!$G$2:$BC$81,('Yearly Pension'!$A39)+1, FALSE)) &gt; AG$1, (Assumptions!$B$8)*(AG$1) + (Assumptions!$B$9)*MAX(0,  (HLOOKUP(AG$2,Earnings!$G$2:$BC$81,('Yearly Pension'!$A39)+1, FALSE)) - AG$1), ((Assumptions!$B$8)*'Yearly Pension'!AG$1))))</f>
        <v>781.27191080863281</v>
      </c>
      <c r="AH39" s="6">
        <f>(HLOOKUP('Yearly Pension'!AH$2,'Credited Service'!$G$1:$BC$80,$A39+1,FALSE)) * (IF($B39=500, (Assumptions!$B$7)*12, IF((HLOOKUP(AH$2,Earnings!$G$2:$BC$81,('Yearly Pension'!$A39)+1, FALSE)) &gt; AH$1, (Assumptions!$B$8)*(AH$1) + (Assumptions!$B$9)*MAX(0,  (HLOOKUP(AH$2,Earnings!$G$2:$BC$81,('Yearly Pension'!$A39)+1, FALSE)) - AH$1), ((Assumptions!$B$8)*'Yearly Pension'!AH$1))))</f>
        <v>818.89718724097816</v>
      </c>
      <c r="AI39" s="6">
        <f>(HLOOKUP('Yearly Pension'!AI$2,'Credited Service'!$G$1:$BC$80,$A39+1,FALSE)) * (IF($B39=500, (Assumptions!$B$7)*12, IF((HLOOKUP(AI$2,Earnings!$G$2:$BC$81,('Yearly Pension'!$A39)+1, FALSE)) &gt; AI$1, (Assumptions!$B$8)*(AI$1) + (Assumptions!$B$9)*MAX(0,  (HLOOKUP(AI$2,Earnings!$G$2:$BC$81,('Yearly Pension'!$A39)+1, FALSE)) - AI$1), ((Assumptions!$B$8)*'Yearly Pension'!AI$1))))</f>
        <v>858.18107473061741</v>
      </c>
      <c r="AJ39" s="6">
        <f>(HLOOKUP('Yearly Pension'!AJ$2,'Credited Service'!$G$1:$BC$80,$A39+1,FALSE)) * (IF($B39=500, (Assumptions!$B$7)*12, IF((HLOOKUP(AJ$2,Earnings!$G$2:$BC$81,('Yearly Pension'!$A39)+1, FALSE)) &gt; AJ$1, (Assumptions!$B$8)*(AJ$1) + (Assumptions!$B$9)*MAX(0,  (HLOOKUP(AJ$2,Earnings!$G$2:$BC$81,('Yearly Pension'!$A39)+1, FALSE)) - AJ$1), ((Assumptions!$B$8)*'Yearly Pension'!AJ$1))))</f>
        <v>896.62991771984207</v>
      </c>
      <c r="AK39" s="6">
        <f>(HLOOKUP('Yearly Pension'!AK$2,'Credited Service'!$G$1:$BC$80,$A39+1,FALSE)) * (IF($B39=500, (Assumptions!$B$7)*12, IF((HLOOKUP(AK$2,Earnings!$G$2:$BC$81,('Yearly Pension'!$A39)+1, FALSE)) &gt; AK$1, (Assumptions!$B$8)*(AK$1) + (Assumptions!$B$9)*MAX(0,  (HLOOKUP(AK$2,Earnings!$G$2:$BC$81,('Yearly Pension'!$A39)+1, FALSE)) - AK$1), ((Assumptions!$B$8)*'Yearly Pension'!AK$1))))</f>
        <v>933.03271442863593</v>
      </c>
      <c r="AL39" s="6">
        <f>(HLOOKUP('Yearly Pension'!AL$2,'Credited Service'!$G$1:$BC$80,$A39+1,FALSE)) * (IF($B39=500, (Assumptions!$B$7)*12, IF((HLOOKUP(AL$2,Earnings!$G$2:$BC$81,('Yearly Pension'!$A39)+1, FALSE)) &gt; AL$1, (Assumptions!$B$8)*(AL$1) + (Assumptions!$B$9)*MAX(0,  (HLOOKUP(AL$2,Earnings!$G$2:$BC$81,('Yearly Pension'!$A39)+1, FALSE)) - AL$1), ((Assumptions!$B$8)*'Yearly Pension'!AL$1))))</f>
        <v>973.86122300578154</v>
      </c>
      <c r="AM39" s="6">
        <f>(HLOOKUP('Yearly Pension'!AM$2,'Credited Service'!$G$1:$BC$80,$A39+1,FALSE)) * (IF($B39=500, (Assumptions!$B$7)*12, IF((HLOOKUP(AM$2,Earnings!$G$2:$BC$81,('Yearly Pension'!$A39)+1, FALSE)) &gt; AM$1, (Assumptions!$B$8)*(AM$1) + (Assumptions!$B$9)*MAX(0,  (HLOOKUP(AM$2,Earnings!$G$2:$BC$81,('Yearly Pension'!$A39)+1, FALSE)) - AM$1), ((Assumptions!$B$8)*'Yearly Pension'!AM$1))))</f>
        <v>1015.3500719260128</v>
      </c>
      <c r="AN39" s="6">
        <f>(HLOOKUP('Yearly Pension'!AN$2,'Credited Service'!$G$1:$BC$80,$A39+1,FALSE)) * (IF($B39=500, (Assumptions!$B$7)*12, IF((HLOOKUP(AN$2,Earnings!$G$2:$BC$81,('Yearly Pension'!$A39)+1, FALSE)) &gt; AN$1, (Assumptions!$B$8)*(AN$1) + (Assumptions!$B$9)*MAX(0,  (HLOOKUP(AN$2,Earnings!$G$2:$BC$81,('Yearly Pension'!$A39)+1, FALSE)) - AN$1), ((Assumptions!$B$8)*'Yearly Pension'!AN$1))))</f>
        <v>1062.0568748030532</v>
      </c>
      <c r="AO39" s="6">
        <f>(HLOOKUP('Yearly Pension'!AO$2,'Credited Service'!$G$1:$BC$80,$A39+1,FALSE)) * (IF($B39=500, (Assumptions!$B$7)*12, IF((HLOOKUP(AO$2,Earnings!$G$2:$BC$81,('Yearly Pension'!$A39)+1, FALSE)) &gt; AO$1, (Assumptions!$B$8)*(AO$1) + (Assumptions!$B$9)*MAX(0,  (HLOOKUP(AO$2,Earnings!$G$2:$BC$81,('Yearly Pension'!$A39)+1, FALSE)) - AO$1), ((Assumptions!$B$8)*'Yearly Pension'!AO$1))))</f>
        <v>1109.5823497951753</v>
      </c>
      <c r="AP39" s="6">
        <f>(HLOOKUP('Yearly Pension'!AP$2,'Credited Service'!$G$1:$BC$80,$A39+1,FALSE)) * (IF($B39=500, (Assumptions!$B$7)*12, IF((HLOOKUP(AP$2,Earnings!$G$2:$BC$81,('Yearly Pension'!$A39)+1, FALSE)) &gt; AP$1, (Assumptions!$B$8)*(AP$1) + (Assumptions!$B$9)*MAX(0,  (HLOOKUP(AP$2,Earnings!$G$2:$BC$81,('Yearly Pension'!$A39)+1, FALSE)) - AP$1), ((Assumptions!$B$8)*'Yearly Pension'!AP$1))))</f>
        <v>1154.8104437869822</v>
      </c>
      <c r="AQ39" s="6">
        <f>(HLOOKUP('Yearly Pension'!AQ$2,'Credited Service'!$G$1:$BC$80,$A39+1,FALSE)) * (IF($B39=500, (Assumptions!$B$7)*12, IF((HLOOKUP(AQ$2,Earnings!$G$2:$BC$81,('Yearly Pension'!$A39)+1, FALSE)) &gt; AQ$1, (Assumptions!$B$8)*(AQ$1) + (Assumptions!$B$9)*MAX(0,  (HLOOKUP(AQ$2,Earnings!$G$2:$BC$81,('Yearly Pension'!$A39)+1, FALSE)) - AQ$1), ((Assumptions!$B$8)*'Yearly Pension'!AQ$1))))</f>
        <v>1207.4284615384615</v>
      </c>
      <c r="AR39" s="6">
        <f>(HLOOKUP('Yearly Pension'!AR$2,'Credited Service'!$G$1:$BC$80,$A39+1,FALSE)) * (IF($B39=500, (Assumptions!$B$7)*12, IF((HLOOKUP(AR$2,Earnings!$G$2:$BC$81,('Yearly Pension'!$A39)+1, FALSE)) &gt; AR$1, (Assumptions!$B$8)*(AR$1) + (Assumptions!$B$9)*MAX(0,  (HLOOKUP(AR$2,Earnings!$G$2:$BC$81,('Yearly Pension'!$A39)+1, FALSE)) - AR$1), ((Assumptions!$B$8)*'Yearly Pension'!AR$1))))</f>
        <v>1259.8472000000002</v>
      </c>
      <c r="AS39" s="6">
        <f>(HLOOKUP('Yearly Pension'!AS$2,'Credited Service'!$G$1:$BC$80,$A39+1,FALSE)) * (IF($B39=500, (Assumptions!$B$7)*12, IF((HLOOKUP(AS$2,Earnings!$G$2:$BC$81,('Yearly Pension'!$A39)+1, FALSE)) &gt; AS$1, (Assumptions!$B$8)*(AS$1) + (Assumptions!$B$9)*MAX(0,  (HLOOKUP(AS$2,Earnings!$G$2:$BC$81,('Yearly Pension'!$A39)+1, FALSE)) - AS$1), ((Assumptions!$B$8)*'Yearly Pension'!AS$1))))</f>
        <v>1300.6826160000001</v>
      </c>
      <c r="AT39" s="6">
        <f>(HLOOKUP('Yearly Pension'!AT$2,'Credited Service'!$G$1:$BC$80,$A39+1,FALSE)) * (IF($B39=500, (Assumptions!$B$7)*12, IF((HLOOKUP(AT$2,Earnings!$G$2:$BC$81,('Yearly Pension'!$A39)+1, FALSE)) &gt; AT$1, (Assumptions!$B$8)*(AT$1) + (Assumptions!$B$9)*MAX(0,  (HLOOKUP(AT$2,Earnings!$G$2:$BC$81,('Yearly Pension'!$A39)+1, FALSE)) - AT$1), ((Assumptions!$B$8)*'Yearly Pension'!AT$1))))</f>
        <v>1341.6742944800001</v>
      </c>
      <c r="AU39" s="6">
        <f>(HLOOKUP('Yearly Pension'!AU$2,'Credited Service'!$G$1:$BC$80,$A39+1,FALSE)) * (IF($B39=500, (Assumptions!$B$7)*12, IF((HLOOKUP(AU$2,Earnings!$G$2:$BC$81,('Yearly Pension'!$A39)+1, FALSE)) &gt; AU$1, (Assumptions!$B$8)*(AU$1) + (Assumptions!$B$9)*MAX(0,  (HLOOKUP(AU$2,Earnings!$G$2:$BC$81,('Yearly Pension'!$A39)+1, FALSE)) - AU$1), ((Assumptions!$B$8)*'Yearly Pension'!AU$1))))</f>
        <v>1389.9053233144</v>
      </c>
      <c r="AV39" s="6">
        <f>(HLOOKUP('Yearly Pension'!AV$2,'Credited Service'!$G$1:$BC$80,$A39+1,FALSE)) * (IF($B39=500, (Assumptions!$B$7)*12, IF((HLOOKUP(AV$2,Earnings!$G$2:$BC$81,('Yearly Pension'!$A39)+1, FALSE)) &gt; AV$1, (Assumptions!$B$8)*(AV$1) + (Assumptions!$B$9)*MAX(0,  (HLOOKUP(AV$2,Earnings!$G$2:$BC$81,('Yearly Pension'!$A39)+1, FALSE)) - AV$1), ((Assumptions!$B$8)*'Yearly Pension'!AV$1))))</f>
        <v>1438.3800830138325</v>
      </c>
      <c r="AW39" s="6">
        <f>(HLOOKUP('Yearly Pension'!AW$2,'Credited Service'!$G$1:$BC$80,$A39+1,FALSE)) * (IF($B39=500, (Assumptions!$B$7)*12, IF((HLOOKUP(AW$2,Earnings!$G$2:$BC$81,('Yearly Pension'!$A39)+1, FALSE)) &gt; AW$1, (Assumptions!$B$8)*(AW$1) + (Assumptions!$B$9)*MAX(0,  (HLOOKUP(AW$2,Earnings!$G$2:$BC$81,('Yearly Pension'!$A39)+1, FALSE)) - AW$1), ((Assumptions!$B$8)*'Yearly Pension'!AW$1))))</f>
        <v>1482.6642855042473</v>
      </c>
      <c r="AX39" s="6">
        <f>(HLOOKUP('Yearly Pension'!AX$2,'Credited Service'!$G$1:$BC$80,$A39+1,FALSE)) * (IF($B39=500, (Assumptions!$B$7)*12, IF((HLOOKUP(AX$2,Earnings!$G$2:$BC$81,('Yearly Pension'!$A39)+1, FALSE)) &gt; AX$1, (Assumptions!$B$8)*(AX$1) + (Assumptions!$B$9)*MAX(0,  (HLOOKUP(AX$2,Earnings!$G$2:$BC$81,('Yearly Pension'!$A39)+1, FALSE)) - AX$1), ((Assumptions!$B$8)*'Yearly Pension'!AX$1))))</f>
        <v>1523.4706140693747</v>
      </c>
      <c r="AY39" s="6">
        <f>(HLOOKUP('Yearly Pension'!AY$2,'Credited Service'!$G$1:$BC$80,$A39+1,FALSE)) * (IF($B39=500, (Assumptions!$B$7)*12, IF((HLOOKUP(AY$2,Earnings!$G$2:$BC$81,('Yearly Pension'!$A39)+1, FALSE)) &gt; AY$1, (Assumptions!$B$8)*(AY$1) + (Assumptions!$B$9)*MAX(0,  (HLOOKUP(AY$2,Earnings!$G$2:$BC$81,('Yearly Pension'!$A39)+1, FALSE)) - AY$1), ((Assumptions!$B$8)*'Yearly Pension'!AY$1))))</f>
        <v>1565.3541884914559</v>
      </c>
      <c r="AZ39" s="6">
        <f>(HLOOKUP('Yearly Pension'!AZ$2,'Credited Service'!$G$1:$BC$80,$A39+1,FALSE)) * (IF($B39=500, (Assumptions!$B$7)*12, IF((HLOOKUP(AZ$2,Earnings!$G$2:$BC$81,('Yearly Pension'!$A39)+1, FALSE)) &gt; AZ$1, (Assumptions!$B$8)*(AZ$1) + (Assumptions!$B$9)*MAX(0,  (HLOOKUP(AZ$2,Earnings!$G$2:$BC$81,('Yearly Pension'!$A39)+1, FALSE)) - AZ$1), ((Assumptions!$B$8)*'Yearly Pension'!AZ$1))))</f>
        <v>1608.3414483861995</v>
      </c>
      <c r="BA39" s="6">
        <f>(HLOOKUP('Yearly Pension'!BA$2,'Credited Service'!$G$1:$BC$80,$A39+1,FALSE)) * (IF($B39=500, (Assumptions!$B$7)*12, IF((HLOOKUP(BA$2,Earnings!$G$2:$BC$81,('Yearly Pension'!$A39)+1, FALSE)) &gt; BA$1, (Assumptions!$B$8)*(BA$1) + (Assumptions!$B$9)*MAX(0,  (HLOOKUP(BA$2,Earnings!$G$2:$BC$81,('Yearly Pension'!$A39)+1, FALSE)) - BA$1), ((Assumptions!$B$8)*'Yearly Pension'!BA$1))))</f>
        <v>1652.4593914473858</v>
      </c>
      <c r="BB39" s="6">
        <f>(HLOOKUP('Yearly Pension'!BB$2,'Credited Service'!$G$1:$BC$80,$A39+1,FALSE)) * (IF($B39=500, (Assumptions!$B$7)*12, IF((HLOOKUP(BB$2,Earnings!$G$2:$BC$81,('Yearly Pension'!$A39)+1, FALSE)) &gt; BB$1, (Assumptions!$B$8)*(BB$1) + (Assumptions!$B$9)*MAX(0,  (HLOOKUP(BB$2,Earnings!$G$2:$BC$81,('Yearly Pension'!$A39)+1, FALSE)) - BB$1), ((Assumptions!$B$8)*'Yearly Pension'!BB$1))))</f>
        <v>1697.7355807847912</v>
      </c>
      <c r="BC39" s="6">
        <f>(HLOOKUP('Yearly Pension'!BC$2,'Credited Service'!$G$1:$BC$80,$A39+1,FALSE)) * (IF($B39=500, (Assumptions!$B$7)*12, IF((HLOOKUP(BC$2,Earnings!$G$2:$BC$81,('Yearly Pension'!$A39)+1, FALSE)) &gt; BC$1, (Assumptions!$B$8)*(BC$1) + (Assumptions!$B$9)*MAX(0,  (HLOOKUP(BC$2,Earnings!$G$2:$BC$81,('Yearly Pension'!$A39)+1, FALSE)) - BC$1), ((Assumptions!$B$8)*'Yearly Pension'!BC$1))))</f>
        <v>1744.1981521060782</v>
      </c>
    </row>
    <row r="40" spans="1:55" x14ac:dyDescent="0.25">
      <c r="A40" s="204">
        <v>38</v>
      </c>
      <c r="B40" s="1">
        <v>600</v>
      </c>
      <c r="C40" s="1">
        <v>730</v>
      </c>
      <c r="D40" s="3">
        <v>36712</v>
      </c>
      <c r="E40" s="3">
        <v>49126</v>
      </c>
      <c r="G40" s="6">
        <f>(HLOOKUP('Yearly Pension'!G$2,'Credited Service'!$G$1:$BC$80,$A40+1,FALSE)) * (IF($B40=500, (Assumptions!$B$7)*12, IF((HLOOKUP(G$2,Earnings!$G$2:$BC$81,('Yearly Pension'!$A40)+1, FALSE)) &gt; G$1, (Assumptions!$B$8)*(G$1) + (Assumptions!$B$9)*MAX(0,  (HLOOKUP(G$2,Earnings!$G$2:$BC$81,('Yearly Pension'!$A40)+1, FALSE)) - G$1), ((Assumptions!$B$8)*'Yearly Pension'!G$1))))</f>
        <v>0</v>
      </c>
      <c r="H40" s="6">
        <f>(HLOOKUP('Yearly Pension'!H$2,'Credited Service'!$G$1:$BC$80,$A40+1,FALSE)) * (IF($B40=500, (Assumptions!$B$7)*12, IF((HLOOKUP(H$2,Earnings!$G$2:$BC$81,('Yearly Pension'!$A40)+1, FALSE)) &gt; H$1, (Assumptions!$B$8)*(H$1) + (Assumptions!$B$9)*MAX(0,  (HLOOKUP(H$2,Earnings!$G$2:$BC$81,('Yearly Pension'!$A40)+1, FALSE)) - H$1), ((Assumptions!$B$8)*'Yearly Pension'!H$1))))</f>
        <v>0</v>
      </c>
      <c r="I40" s="6">
        <f>(HLOOKUP('Yearly Pension'!I$2,'Credited Service'!$G$1:$BC$80,$A40+1,FALSE)) * (IF($B40=500, (Assumptions!$B$7)*12, IF((HLOOKUP(I$2,Earnings!$G$2:$BC$81,('Yearly Pension'!$A40)+1, FALSE)) &gt; I$1, (Assumptions!$B$8)*(I$1) + (Assumptions!$B$9)*MAX(0,  (HLOOKUP(I$2,Earnings!$G$2:$BC$81,('Yearly Pension'!$A40)+1, FALSE)) - I$1), ((Assumptions!$B$8)*'Yearly Pension'!I$1))))</f>
        <v>0</v>
      </c>
      <c r="J40" s="6">
        <f>(HLOOKUP('Yearly Pension'!J$2,'Credited Service'!$G$1:$BC$80,$A40+1,FALSE)) * (IF($B40=500, (Assumptions!$B$7)*12, IF((HLOOKUP(J$2,Earnings!$G$2:$BC$81,('Yearly Pension'!$A40)+1, FALSE)) &gt; J$1, (Assumptions!$B$8)*(J$1) + (Assumptions!$B$9)*MAX(0,  (HLOOKUP(J$2,Earnings!$G$2:$BC$81,('Yearly Pension'!$A40)+1, FALSE)) - J$1), ((Assumptions!$B$8)*'Yearly Pension'!J$1))))</f>
        <v>0</v>
      </c>
      <c r="K40" s="6">
        <f>(HLOOKUP('Yearly Pension'!K$2,'Credited Service'!$G$1:$BC$80,$A40+1,FALSE)) * (IF($B40=500, (Assumptions!$B$7)*12, IF((HLOOKUP(K$2,Earnings!$G$2:$BC$81,('Yearly Pension'!$A40)+1, FALSE)) &gt; K$1, (Assumptions!$B$8)*(K$1) + (Assumptions!$B$9)*MAX(0,  (HLOOKUP(K$2,Earnings!$G$2:$BC$81,('Yearly Pension'!$A40)+1, FALSE)) - K$1), ((Assumptions!$B$8)*'Yearly Pension'!K$1))))</f>
        <v>0</v>
      </c>
      <c r="L40" s="6">
        <f>(HLOOKUP('Yearly Pension'!L$2,'Credited Service'!$G$1:$BC$80,$A40+1,FALSE)) * (IF($B40=500, (Assumptions!$B$7)*12, IF((HLOOKUP(L$2,Earnings!$G$2:$BC$81,('Yearly Pension'!$A40)+1, FALSE)) &gt; L$1, (Assumptions!$B$8)*(L$1) + (Assumptions!$B$9)*MAX(0,  (HLOOKUP(L$2,Earnings!$G$2:$BC$81,('Yearly Pension'!$A40)+1, FALSE)) - L$1), ((Assumptions!$B$8)*'Yearly Pension'!L$1))))</f>
        <v>0</v>
      </c>
      <c r="M40" s="6">
        <f>(HLOOKUP('Yearly Pension'!M$2,'Credited Service'!$G$1:$BC$80,$A40+1,FALSE)) * (IF($B40=500, (Assumptions!$B$7)*12, IF((HLOOKUP(M$2,Earnings!$G$2:$BC$81,('Yearly Pension'!$A40)+1, FALSE)) &gt; M$1, (Assumptions!$B$8)*(M$1) + (Assumptions!$B$9)*MAX(0,  (HLOOKUP(M$2,Earnings!$G$2:$BC$81,('Yearly Pension'!$A40)+1, FALSE)) - M$1), ((Assumptions!$B$8)*'Yearly Pension'!M$1))))</f>
        <v>0</v>
      </c>
      <c r="N40" s="6">
        <f>(HLOOKUP('Yearly Pension'!N$2,'Credited Service'!$G$1:$BC$80,$A40+1,FALSE)) * (IF($B40=500, (Assumptions!$B$7)*12, IF((HLOOKUP(N$2,Earnings!$G$2:$BC$81,('Yearly Pension'!$A40)+1, FALSE)) &gt; N$1, (Assumptions!$B$8)*(N$1) + (Assumptions!$B$9)*MAX(0,  (HLOOKUP(N$2,Earnings!$G$2:$BC$81,('Yearly Pension'!$A40)+1, FALSE)) - N$1), ((Assumptions!$B$8)*'Yearly Pension'!N$1))))</f>
        <v>0</v>
      </c>
      <c r="O40" s="6">
        <f>(HLOOKUP('Yearly Pension'!O$2,'Credited Service'!$G$1:$BC$80,$A40+1,FALSE)) * (IF($B40=500, (Assumptions!$B$7)*12, IF((HLOOKUP(O$2,Earnings!$G$2:$BC$81,('Yearly Pension'!$A40)+1, FALSE)) &gt; O$1, (Assumptions!$B$8)*(O$1) + (Assumptions!$B$9)*MAX(0,  (HLOOKUP(O$2,Earnings!$G$2:$BC$81,('Yearly Pension'!$A40)+1, FALSE)) - O$1), ((Assumptions!$B$8)*'Yearly Pension'!O$1))))</f>
        <v>0</v>
      </c>
      <c r="P40" s="6">
        <f>(HLOOKUP('Yearly Pension'!P$2,'Credited Service'!$G$1:$BC$80,$A40+1,FALSE)) * (IF($B40=500, (Assumptions!$B$7)*12, IF((HLOOKUP(P$2,Earnings!$G$2:$BC$81,('Yearly Pension'!$A40)+1, FALSE)) &gt; P$1, (Assumptions!$B$8)*(P$1) + (Assumptions!$B$9)*MAX(0,  (HLOOKUP(P$2,Earnings!$G$2:$BC$81,('Yearly Pension'!$A40)+1, FALSE)) - P$1), ((Assumptions!$B$8)*'Yearly Pension'!P$1))))</f>
        <v>0</v>
      </c>
      <c r="Q40" s="6">
        <f>(HLOOKUP('Yearly Pension'!Q$2,'Credited Service'!$G$1:$BC$80,$A40+1,FALSE)) * (IF($B40=500, (Assumptions!$B$7)*12, IF((HLOOKUP(Q$2,Earnings!$G$2:$BC$81,('Yearly Pension'!$A40)+1, FALSE)) &gt; Q$1, (Assumptions!$B$8)*(Q$1) + (Assumptions!$B$9)*MAX(0,  (HLOOKUP(Q$2,Earnings!$G$2:$BC$81,('Yearly Pension'!$A40)+1, FALSE)) - Q$1), ((Assumptions!$B$8)*'Yearly Pension'!Q$1))))</f>
        <v>0</v>
      </c>
      <c r="R40" s="6">
        <f>(HLOOKUP('Yearly Pension'!R$2,'Credited Service'!$G$1:$BC$80,$A40+1,FALSE)) * (IF($B40=500, (Assumptions!$B$7)*12, IF((HLOOKUP(R$2,Earnings!$G$2:$BC$81,('Yearly Pension'!$A40)+1, FALSE)) &gt; R$1, (Assumptions!$B$8)*(R$1) + (Assumptions!$B$9)*MAX(0,  (HLOOKUP(R$2,Earnings!$G$2:$BC$81,('Yearly Pension'!$A40)+1, FALSE)) - R$1), ((Assumptions!$B$8)*'Yearly Pension'!R$1))))</f>
        <v>0</v>
      </c>
      <c r="S40" s="6">
        <f>(HLOOKUP('Yearly Pension'!S$2,'Credited Service'!$G$1:$BC$80,$A40+1,FALSE)) * (IF($B40=500, (Assumptions!$B$7)*12, IF((HLOOKUP(S$2,Earnings!$G$2:$BC$81,('Yearly Pension'!$A40)+1, FALSE)) &gt; S$1, (Assumptions!$B$8)*(S$1) + (Assumptions!$B$9)*MAX(0,  (HLOOKUP(S$2,Earnings!$G$2:$BC$81,('Yearly Pension'!$A40)+1, FALSE)) - S$1), ((Assumptions!$B$8)*'Yearly Pension'!S$1))))</f>
        <v>0</v>
      </c>
      <c r="T40" s="6">
        <f>(HLOOKUP('Yearly Pension'!T$2,'Credited Service'!$G$1:$BC$80,$A40+1,FALSE)) * (IF($B40=500, (Assumptions!$B$7)*12, IF((HLOOKUP(T$2,Earnings!$G$2:$BC$81,('Yearly Pension'!$A40)+1, FALSE)) &gt; T$1, (Assumptions!$B$8)*(T$1) + (Assumptions!$B$9)*MAX(0,  (HLOOKUP(T$2,Earnings!$G$2:$BC$81,('Yearly Pension'!$A40)+1, FALSE)) - T$1), ((Assumptions!$B$8)*'Yearly Pension'!T$1))))</f>
        <v>0</v>
      </c>
      <c r="U40" s="6">
        <f>(HLOOKUP('Yearly Pension'!U$2,'Credited Service'!$G$1:$BC$80,$A40+1,FALSE)) * (IF($B40=500, (Assumptions!$B$7)*12, IF((HLOOKUP(U$2,Earnings!$G$2:$BC$81,('Yearly Pension'!$A40)+1, FALSE)) &gt; U$1, (Assumptions!$B$8)*(U$1) + (Assumptions!$B$9)*MAX(0,  (HLOOKUP(U$2,Earnings!$G$2:$BC$81,('Yearly Pension'!$A40)+1, FALSE)) - U$1), ((Assumptions!$B$8)*'Yearly Pension'!U$1))))</f>
        <v>0</v>
      </c>
      <c r="V40" s="6">
        <f>(HLOOKUP('Yearly Pension'!V$2,'Credited Service'!$G$1:$BC$80,$A40+1,FALSE)) * (IF($B40=500, (Assumptions!$B$7)*12, IF((HLOOKUP(V$2,Earnings!$G$2:$BC$81,('Yearly Pension'!$A40)+1, FALSE)) &gt; V$1, (Assumptions!$B$8)*(V$1) + (Assumptions!$B$9)*MAX(0,  (HLOOKUP(V$2,Earnings!$G$2:$BC$81,('Yearly Pension'!$A40)+1, FALSE)) - V$1), ((Assumptions!$B$8)*'Yearly Pension'!V$1))))</f>
        <v>0</v>
      </c>
      <c r="W40" s="6">
        <f>(HLOOKUP('Yearly Pension'!W$2,'Credited Service'!$G$1:$BC$80,$A40+1,FALSE)) * (IF($B40=500, (Assumptions!$B$7)*12, IF((HLOOKUP(W$2,Earnings!$G$2:$BC$81,('Yearly Pension'!$A40)+1, FALSE)) &gt; W$1, (Assumptions!$B$8)*(W$1) + (Assumptions!$B$9)*MAX(0,  (HLOOKUP(W$2,Earnings!$G$2:$BC$81,('Yearly Pension'!$A40)+1, FALSE)) - W$1), ((Assumptions!$B$8)*'Yearly Pension'!W$1))))</f>
        <v>0</v>
      </c>
      <c r="X40" s="6">
        <f>(HLOOKUP('Yearly Pension'!X$2,'Credited Service'!$G$1:$BC$80,$A40+1,FALSE)) * (IF($B40=500, (Assumptions!$B$7)*12, IF((HLOOKUP(X$2,Earnings!$G$2:$BC$81,('Yearly Pension'!$A40)+1, FALSE)) &gt; X$1, (Assumptions!$B$8)*(X$1) + (Assumptions!$B$9)*MAX(0,  (HLOOKUP(X$2,Earnings!$G$2:$BC$81,('Yearly Pension'!$A40)+1, FALSE)) - X$1), ((Assumptions!$B$8)*'Yearly Pension'!X$1))))</f>
        <v>0</v>
      </c>
      <c r="Y40" s="6">
        <f>(HLOOKUP('Yearly Pension'!Y$2,'Credited Service'!$G$1:$BC$80,$A40+1,FALSE)) * (IF($B40=500, (Assumptions!$B$7)*12, IF((HLOOKUP(Y$2,Earnings!$G$2:$BC$81,('Yearly Pension'!$A40)+1, FALSE)) &gt; Y$1, (Assumptions!$B$8)*(Y$1) + (Assumptions!$B$9)*MAX(0,  (HLOOKUP(Y$2,Earnings!$G$2:$BC$81,('Yearly Pension'!$A40)+1, FALSE)) - Y$1), ((Assumptions!$B$8)*'Yearly Pension'!Y$1))))</f>
        <v>0</v>
      </c>
      <c r="Z40" s="6">
        <f>(HLOOKUP('Yearly Pension'!Z$2,'Credited Service'!$G$1:$BC$80,$A40+1,FALSE)) * (IF($B40=500, (Assumptions!$B$7)*12, IF((HLOOKUP(Z$2,Earnings!$G$2:$BC$81,('Yearly Pension'!$A40)+1, FALSE)) &gt; Z$1, (Assumptions!$B$8)*(Z$1) + (Assumptions!$B$9)*MAX(0,  (HLOOKUP(Z$2,Earnings!$G$2:$BC$81,('Yearly Pension'!$A40)+1, FALSE)) - Z$1), ((Assumptions!$B$8)*'Yearly Pension'!Z$1))))</f>
        <v>0</v>
      </c>
      <c r="AA40" s="6">
        <f>(HLOOKUP('Yearly Pension'!AA$2,'Credited Service'!$G$1:$BC$80,$A40+1,FALSE)) * (IF($B40=500, (Assumptions!$B$7)*12, IF((HLOOKUP(AA$2,Earnings!$G$2:$BC$81,('Yearly Pension'!$A40)+1, FALSE)) &gt; AA$1, (Assumptions!$B$8)*(AA$1) + (Assumptions!$B$9)*MAX(0,  (HLOOKUP(AA$2,Earnings!$G$2:$BC$81,('Yearly Pension'!$A40)+1, FALSE)) - AA$1), ((Assumptions!$B$8)*'Yearly Pension'!AA$1))))</f>
        <v>0</v>
      </c>
      <c r="AB40" s="6">
        <f>(HLOOKUP('Yearly Pension'!AB$2,'Credited Service'!$G$1:$BC$80,$A40+1,FALSE)) * (IF($B40=500, (Assumptions!$B$7)*12, IF((HLOOKUP(AB$2,Earnings!$G$2:$BC$81,('Yearly Pension'!$A40)+1, FALSE)) &gt; AB$1, (Assumptions!$B$8)*(AB$1) + (Assumptions!$B$9)*MAX(0,  (HLOOKUP(AB$2,Earnings!$G$2:$BC$81,('Yearly Pension'!$A40)+1, FALSE)) - AB$1), ((Assumptions!$B$8)*'Yearly Pension'!AB$1))))</f>
        <v>0</v>
      </c>
      <c r="AC40" s="6">
        <f>(HLOOKUP('Yearly Pension'!AC$2,'Credited Service'!$G$1:$BC$80,$A40+1,FALSE)) * (IF($B40=500, (Assumptions!$B$7)*12, IF((HLOOKUP(AC$2,Earnings!$G$2:$BC$81,('Yearly Pension'!$A40)+1, FALSE)) &gt; AC$1, (Assumptions!$B$8)*(AC$1) + (Assumptions!$B$9)*MAX(0,  (HLOOKUP(AC$2,Earnings!$G$2:$BC$81,('Yearly Pension'!$A40)+1, FALSE)) - AC$1), ((Assumptions!$B$8)*'Yearly Pension'!AC$1))))</f>
        <v>0</v>
      </c>
      <c r="AD40" s="6">
        <f>(HLOOKUP('Yearly Pension'!AD$2,'Credited Service'!$G$1:$BC$80,$A40+1,FALSE)) * (IF($B40=500, (Assumptions!$B$7)*12, IF((HLOOKUP(AD$2,Earnings!$G$2:$BC$81,('Yearly Pension'!$A40)+1, FALSE)) &gt; AD$1, (Assumptions!$B$8)*(AD$1) + (Assumptions!$B$9)*MAX(0,  (HLOOKUP(AD$2,Earnings!$G$2:$BC$81,('Yearly Pension'!$A40)+1, FALSE)) - AD$1), ((Assumptions!$B$8)*'Yearly Pension'!AD$1))))</f>
        <v>287.68672435508006</v>
      </c>
      <c r="AE40" s="6">
        <f>(HLOOKUP('Yearly Pension'!AE$2,'Credited Service'!$G$1:$BC$80,$A40+1,FALSE)) * (IF($B40=500, (Assumptions!$B$7)*12, IF((HLOOKUP(AE$2,Earnings!$G$2:$BC$81,('Yearly Pension'!$A40)+1, FALSE)) &gt; AE$1, (Assumptions!$B$8)*(AE$1) + (Assumptions!$B$9)*MAX(0,  (HLOOKUP(AE$2,Earnings!$G$2:$BC$81,('Yearly Pension'!$A40)+1, FALSE)) - AE$1), ((Assumptions!$B$8)*'Yearly Pension'!AE$1))))</f>
        <v>723.21166399027982</v>
      </c>
      <c r="AF40" s="6">
        <f>(HLOOKUP('Yearly Pension'!AF$2,'Credited Service'!$G$1:$BC$80,$A40+1,FALSE)) * (IF($B40=500, (Assumptions!$B$7)*12, IF((HLOOKUP(AF$2,Earnings!$G$2:$BC$81,('Yearly Pension'!$A40)+1, FALSE)) &gt; AF$1, (Assumptions!$B$8)*(AF$1) + (Assumptions!$B$9)*MAX(0,  (HLOOKUP(AF$2,Earnings!$G$2:$BC$81,('Yearly Pension'!$A40)+1, FALSE)) - AF$1), ((Assumptions!$B$8)*'Yearly Pension'!AF$1))))</f>
        <v>756.82493054989095</v>
      </c>
      <c r="AG40" s="6">
        <f>(HLOOKUP('Yearly Pension'!AG$2,'Credited Service'!$G$1:$BC$80,$A40+1,FALSE)) * (IF($B40=500, (Assumptions!$B$7)*12, IF((HLOOKUP(AG$2,Earnings!$G$2:$BC$81,('Yearly Pension'!$A40)+1, FALSE)) &gt; AG$1, (Assumptions!$B$8)*(AG$1) + (Assumptions!$B$9)*MAX(0,  (HLOOKUP(AG$2,Earnings!$G$2:$BC$81,('Yearly Pension'!$A40)+1, FALSE)) - AG$1), ((Assumptions!$B$8)*'Yearly Pension'!AG$1))))</f>
        <v>791.98752777188668</v>
      </c>
      <c r="AH40" s="6">
        <f>(HLOOKUP('Yearly Pension'!AH$2,'Credited Service'!$G$1:$BC$80,$A40+1,FALSE)) * (IF($B40=500, (Assumptions!$B$7)*12, IF((HLOOKUP(AH$2,Earnings!$G$2:$BC$81,('Yearly Pension'!$A40)+1, FALSE)) &gt; AH$1, (Assumptions!$B$8)*(AH$1) + (Assumptions!$B$9)*MAX(0,  (HLOOKUP(AH$2,Earnings!$G$2:$BC$81,('Yearly Pension'!$A40)+1, FALSE)) - AH$1), ((Assumptions!$B$8)*'Yearly Pension'!AH$1))))</f>
        <v>830.04142888276215</v>
      </c>
      <c r="AI40" s="6">
        <f>(HLOOKUP('Yearly Pension'!AI$2,'Credited Service'!$G$1:$BC$80,$A40+1,FALSE)) * (IF($B40=500, (Assumptions!$B$7)*12, IF((HLOOKUP(AI$2,Earnings!$G$2:$BC$81,('Yearly Pension'!$A40)+1, FALSE)) &gt; AI$1, (Assumptions!$B$8)*(AI$1) + (Assumptions!$B$9)*MAX(0,  (HLOOKUP(AI$2,Earnings!$G$2:$BC$81,('Yearly Pension'!$A40)+1, FALSE)) - AI$1), ((Assumptions!$B$8)*'Yearly Pension'!AI$1))))</f>
        <v>869.77108603807255</v>
      </c>
      <c r="AJ40" s="6">
        <f>(HLOOKUP('Yearly Pension'!AJ$2,'Credited Service'!$G$1:$BC$80,$A40+1,FALSE)) * (IF($B40=500, (Assumptions!$B$7)*12, IF((HLOOKUP(AJ$2,Earnings!$G$2:$BC$81,('Yearly Pension'!$A40)+1, FALSE)) &gt; AJ$1, (Assumptions!$B$8)*(AJ$1) + (Assumptions!$B$9)*MAX(0,  (HLOOKUP(AJ$2,Earnings!$G$2:$BC$81,('Yearly Pension'!$A40)+1, FALSE)) - AJ$1), ((Assumptions!$B$8)*'Yearly Pension'!AJ$1))))</f>
        <v>908.68352947959556</v>
      </c>
      <c r="AK40" s="6">
        <f>(HLOOKUP('Yearly Pension'!AK$2,'Credited Service'!$G$1:$BC$80,$A40+1,FALSE)) * (IF($B40=500, (Assumptions!$B$7)*12, IF((HLOOKUP(AK$2,Earnings!$G$2:$BC$81,('Yearly Pension'!$A40)+1, FALSE)) &gt; AK$1, (Assumptions!$B$8)*(AK$1) + (Assumptions!$B$9)*MAX(0,  (HLOOKUP(AK$2,Earnings!$G$2:$BC$81,('Yearly Pension'!$A40)+1, FALSE)) - AK$1), ((Assumptions!$B$8)*'Yearly Pension'!AK$1))))</f>
        <v>945.56847065877935</v>
      </c>
      <c r="AL40" s="6">
        <f>(HLOOKUP('Yearly Pension'!AL$2,'Credited Service'!$G$1:$BC$80,$A40+1,FALSE)) * (IF($B40=500, (Assumptions!$B$7)*12, IF((HLOOKUP(AL$2,Earnings!$G$2:$BC$81,('Yearly Pension'!$A40)+1, FALSE)) &gt; AL$1, (Assumptions!$B$8)*(AL$1) + (Assumptions!$B$9)*MAX(0,  (HLOOKUP(AL$2,Earnings!$G$2:$BC$81,('Yearly Pension'!$A40)+1, FALSE)) - AL$1), ((Assumptions!$B$8)*'Yearly Pension'!AL$1))))</f>
        <v>986.89840948513074</v>
      </c>
      <c r="AM40" s="6">
        <f>(HLOOKUP('Yearly Pension'!AM$2,'Credited Service'!$G$1:$BC$80,$A40+1,FALSE)) * (IF($B40=500, (Assumptions!$B$7)*12, IF((HLOOKUP(AM$2,Earnings!$G$2:$BC$81,('Yearly Pension'!$A40)+1, FALSE)) &gt; AM$1, (Assumptions!$B$8)*(AM$1) + (Assumptions!$B$9)*MAX(0,  (HLOOKUP(AM$2,Earnings!$G$2:$BC$81,('Yearly Pension'!$A40)+1, FALSE)) - AM$1), ((Assumptions!$B$8)*'Yearly Pension'!AM$1))))</f>
        <v>1028.9087458645361</v>
      </c>
      <c r="AN40" s="6">
        <f>(HLOOKUP('Yearly Pension'!AN$2,'Credited Service'!$G$1:$BC$80,$A40+1,FALSE)) * (IF($B40=500, (Assumptions!$B$7)*12, IF((HLOOKUP(AN$2,Earnings!$G$2:$BC$81,('Yearly Pension'!$A40)+1, FALSE)) &gt; AN$1, (Assumptions!$B$8)*(AN$1) + (Assumptions!$B$9)*MAX(0,  (HLOOKUP(AN$2,Earnings!$G$2:$BC$81,('Yearly Pension'!$A40)+1, FALSE)) - AN$1), ((Assumptions!$B$8)*'Yearly Pension'!AN$1))))</f>
        <v>1076.1578956991175</v>
      </c>
      <c r="AO40" s="6">
        <f>(HLOOKUP('Yearly Pension'!AO$2,'Credited Service'!$G$1:$BC$80,$A40+1,FALSE)) * (IF($B40=500, (Assumptions!$B$7)*12, IF((HLOOKUP(AO$2,Earnings!$G$2:$BC$81,('Yearly Pension'!$A40)+1, FALSE)) &gt; AO$1, (Assumptions!$B$8)*(AO$1) + (Assumptions!$B$9)*MAX(0,  (HLOOKUP(AO$2,Earnings!$G$2:$BC$81,('Yearly Pension'!$A40)+1, FALSE)) - AO$1), ((Assumptions!$B$8)*'Yearly Pension'!AO$1))))</f>
        <v>1124.247411527082</v>
      </c>
      <c r="AP40" s="6">
        <f>(HLOOKUP('Yearly Pension'!AP$2,'Credited Service'!$G$1:$BC$80,$A40+1,FALSE)) * (IF($B40=500, (Assumptions!$B$7)*12, IF((HLOOKUP(AP$2,Earnings!$G$2:$BC$81,('Yearly Pension'!$A40)+1, FALSE)) &gt; AP$1, (Assumptions!$B$8)*(AP$1) + (Assumptions!$B$9)*MAX(0,  (HLOOKUP(AP$2,Earnings!$G$2:$BC$81,('Yearly Pension'!$A40)+1, FALSE)) - AP$1), ((Assumptions!$B$8)*'Yearly Pension'!AP$1))))</f>
        <v>1170.0621079881655</v>
      </c>
      <c r="AQ40" s="6">
        <f>(HLOOKUP('Yearly Pension'!AQ$2,'Credited Service'!$G$1:$BC$80,$A40+1,FALSE)) * (IF($B40=500, (Assumptions!$B$7)*12, IF((HLOOKUP(AQ$2,Earnings!$G$2:$BC$81,('Yearly Pension'!$A40)+1, FALSE)) &gt; AQ$1, (Assumptions!$B$8)*(AQ$1) + (Assumptions!$B$9)*MAX(0,  (HLOOKUP(AQ$2,Earnings!$G$2:$BC$81,('Yearly Pension'!$A40)+1, FALSE)) - AQ$1), ((Assumptions!$B$8)*'Yearly Pension'!AQ$1))))</f>
        <v>1223.290192307692</v>
      </c>
      <c r="AR40" s="6">
        <f>(HLOOKUP('Yearly Pension'!AR$2,'Credited Service'!$G$1:$BC$80,$A40+1,FALSE)) * (IF($B40=500, (Assumptions!$B$7)*12, IF((HLOOKUP(AR$2,Earnings!$G$2:$BC$81,('Yearly Pension'!$A40)+1, FALSE)) &gt; AR$1, (Assumptions!$B$8)*(AR$1) + (Assumptions!$B$9)*MAX(0,  (HLOOKUP(AR$2,Earnings!$G$2:$BC$81,('Yearly Pension'!$A40)+1, FALSE)) - AR$1), ((Assumptions!$B$8)*'Yearly Pension'!AR$1))))</f>
        <v>1276.3434</v>
      </c>
      <c r="AS40" s="6">
        <f>(HLOOKUP('Yearly Pension'!AS$2,'Credited Service'!$G$1:$BC$80,$A40+1,FALSE)) * (IF($B40=500, (Assumptions!$B$7)*12, IF((HLOOKUP(AS$2,Earnings!$G$2:$BC$81,('Yearly Pension'!$A40)+1, FALSE)) &gt; AS$1, (Assumptions!$B$8)*(AS$1) + (Assumptions!$B$9)*MAX(0,  (HLOOKUP(AS$2,Earnings!$G$2:$BC$81,('Yearly Pension'!$A40)+1, FALSE)) - AS$1), ((Assumptions!$B$8)*'Yearly Pension'!AS$1))))</f>
        <v>1317.673702</v>
      </c>
      <c r="AT40" s="6">
        <f>(HLOOKUP('Yearly Pension'!AT$2,'Credited Service'!$G$1:$BC$80,$A40+1,FALSE)) * (IF($B40=500, (Assumptions!$B$7)*12, IF((HLOOKUP(AT$2,Earnings!$G$2:$BC$81,('Yearly Pension'!$A40)+1, FALSE)) &gt; AT$1, (Assumptions!$B$8)*(AT$1) + (Assumptions!$B$9)*MAX(0,  (HLOOKUP(AT$2,Earnings!$G$2:$BC$81,('Yearly Pension'!$A40)+1, FALSE)) - AT$1), ((Assumptions!$B$8)*'Yearly Pension'!AT$1))))</f>
        <v>1359.1751130600001</v>
      </c>
      <c r="AU40" s="6">
        <f>(HLOOKUP('Yearly Pension'!AU$2,'Credited Service'!$G$1:$BC$80,$A40+1,FALSE)) * (IF($B40=500, (Assumptions!$B$7)*12, IF((HLOOKUP(AU$2,Earnings!$G$2:$BC$81,('Yearly Pension'!$A40)+1, FALSE)) &gt; AU$1, (Assumptions!$B$8)*(AU$1) + (Assumptions!$B$9)*MAX(0,  (HLOOKUP(AU$2,Earnings!$G$2:$BC$81,('Yearly Pension'!$A40)+1, FALSE)) - AU$1), ((Assumptions!$B$8)*'Yearly Pension'!AU$1))))</f>
        <v>1407.9311664518</v>
      </c>
      <c r="AV40" s="6">
        <f>(HLOOKUP('Yearly Pension'!AV$2,'Credited Service'!$G$1:$BC$80,$A40+1,FALSE)) * (IF($B40=500, (Assumptions!$B$7)*12, IF((HLOOKUP(AV$2,Earnings!$G$2:$BC$81,('Yearly Pension'!$A40)+1, FALSE)) &gt; AV$1, (Assumptions!$B$8)*(AV$1) + (Assumptions!$B$9)*MAX(0,  (HLOOKUP(AV$2,Earnings!$G$2:$BC$81,('Yearly Pension'!$A40)+1, FALSE)) - AV$1), ((Assumptions!$B$8)*'Yearly Pension'!AV$1))))</f>
        <v>1456.9467014453544</v>
      </c>
      <c r="AW40" s="6">
        <f>(HLOOKUP('Yearly Pension'!AW$2,'Credited Service'!$G$1:$BC$80,$A40+1,FALSE)) * (IF($B40=500, (Assumptions!$B$7)*12, IF((HLOOKUP(AW$2,Earnings!$G$2:$BC$81,('Yearly Pension'!$A40)+1, FALSE)) &gt; AW$1, (Assumptions!$B$8)*(AW$1) + (Assumptions!$B$9)*MAX(0,  (HLOOKUP(AW$2,Earnings!$G$2:$BC$81,('Yearly Pension'!$A40)+1, FALSE)) - AW$1), ((Assumptions!$B$8)*'Yearly Pension'!AW$1))))</f>
        <v>1501.7879024887147</v>
      </c>
      <c r="AX40" s="6">
        <f>(HLOOKUP('Yearly Pension'!AX$2,'Credited Service'!$G$1:$BC$80,$A40+1,FALSE)) * (IF($B40=500, (Assumptions!$B$7)*12, IF((HLOOKUP(AX$2,Earnings!$G$2:$BC$81,('Yearly Pension'!$A40)+1, FALSE)) &gt; AX$1, (Assumptions!$B$8)*(AX$1) + (Assumptions!$B$9)*MAX(0,  (HLOOKUP(AX$2,Earnings!$G$2:$BC$81,('Yearly Pension'!$A40)+1, FALSE)) - AX$1), ((Assumptions!$B$8)*'Yearly Pension'!AX$1))))</f>
        <v>1543.1679395633764</v>
      </c>
      <c r="AY40" s="6">
        <f>(HLOOKUP('Yearly Pension'!AY$2,'Credited Service'!$G$1:$BC$80,$A40+1,FALSE)) * (IF($B40=500, (Assumptions!$B$7)*12, IF((HLOOKUP(AY$2,Earnings!$G$2:$BC$81,('Yearly Pension'!$A40)+1, FALSE)) &gt; AY$1, (Assumptions!$B$8)*(AY$1) + (Assumptions!$B$9)*MAX(0,  (HLOOKUP(AY$2,Earnings!$G$2:$BC$81,('Yearly Pension'!$A40)+1, FALSE)) - AY$1), ((Assumptions!$B$8)*'Yearly Pension'!AY$1))))</f>
        <v>1585.6424337502779</v>
      </c>
      <c r="AZ40" s="6">
        <f>(HLOOKUP('Yearly Pension'!AZ$2,'Credited Service'!$G$1:$BC$80,$A40+1,FALSE)) * (IF($B40=500, (Assumptions!$B$7)*12, IF((HLOOKUP(AZ$2,Earnings!$G$2:$BC$81,('Yearly Pension'!$A40)+1, FALSE)) &gt; AZ$1, (Assumptions!$B$8)*(AZ$1) + (Assumptions!$B$9)*MAX(0,  (HLOOKUP(AZ$2,Earnings!$G$2:$BC$81,('Yearly Pension'!$A40)+1, FALSE)) - AZ$1), ((Assumptions!$B$8)*'Yearly Pension'!AZ$1))))</f>
        <v>1629.2383410027862</v>
      </c>
      <c r="BA40" s="6">
        <f>(HLOOKUP('Yearly Pension'!BA$2,'Credited Service'!$G$1:$BC$80,$A40+1,FALSE)) * (IF($B40=500, (Assumptions!$B$7)*12, IF((HLOOKUP(BA$2,Earnings!$G$2:$BC$81,('Yearly Pension'!$A40)+1, FALSE)) &gt; BA$1, (Assumptions!$B$8)*(BA$1) + (Assumptions!$B$9)*MAX(0,  (HLOOKUP(BA$2,Earnings!$G$2:$BC$81,('Yearly Pension'!$A40)+1, FALSE)) - BA$1), ((Assumptions!$B$8)*'Yearly Pension'!BA$1))))</f>
        <v>1673.9831908424699</v>
      </c>
      <c r="BB40" s="6">
        <f>(HLOOKUP('Yearly Pension'!BB$2,'Credited Service'!$G$1:$BC$80,$A40+1,FALSE)) * (IF($B40=500, (Assumptions!$B$7)*12, IF((HLOOKUP(BB$2,Earnings!$G$2:$BC$81,('Yearly Pension'!$A40)+1, FALSE)) &gt; BB$1, (Assumptions!$B$8)*(BB$1) + (Assumptions!$B$9)*MAX(0,  (HLOOKUP(BB$2,Earnings!$G$2:$BC$81,('Yearly Pension'!$A40)+1, FALSE)) - BB$1), ((Assumptions!$B$8)*'Yearly Pension'!BB$1))))</f>
        <v>1719.9050941617279</v>
      </c>
      <c r="BC40" s="6">
        <f>(HLOOKUP('Yearly Pension'!BC$2,'Credited Service'!$G$1:$BC$80,$A40+1,FALSE)) * (IF($B40=500, (Assumptions!$B$7)*12, IF((HLOOKUP(BC$2,Earnings!$G$2:$BC$81,('Yearly Pension'!$A40)+1, FALSE)) &gt; BC$1, (Assumptions!$B$8)*(BC$1) + (Assumptions!$B$9)*MAX(0,  (HLOOKUP(BC$2,Earnings!$G$2:$BC$81,('Yearly Pension'!$A40)+1, FALSE)) - BC$1), ((Assumptions!$B$8)*'Yearly Pension'!BC$1))))</f>
        <v>1767.0327508843231</v>
      </c>
    </row>
    <row r="41" spans="1:55" x14ac:dyDescent="0.25">
      <c r="A41" s="204">
        <v>39</v>
      </c>
      <c r="B41" s="1">
        <v>600</v>
      </c>
      <c r="C41" s="1">
        <v>729</v>
      </c>
      <c r="D41" s="3">
        <v>36675</v>
      </c>
      <c r="E41" s="3">
        <v>52201</v>
      </c>
      <c r="G41" s="6">
        <f>(HLOOKUP('Yearly Pension'!G$2,'Credited Service'!$G$1:$BC$80,$A41+1,FALSE)) * (IF($B41=500, (Assumptions!$B$7)*12, IF((HLOOKUP(G$2,Earnings!$G$2:$BC$81,('Yearly Pension'!$A41)+1, FALSE)) &gt; G$1, (Assumptions!$B$8)*(G$1) + (Assumptions!$B$9)*MAX(0,  (HLOOKUP(G$2,Earnings!$G$2:$BC$81,('Yearly Pension'!$A41)+1, FALSE)) - G$1), ((Assumptions!$B$8)*'Yearly Pension'!G$1))))</f>
        <v>0</v>
      </c>
      <c r="H41" s="6">
        <f>(HLOOKUP('Yearly Pension'!H$2,'Credited Service'!$G$1:$BC$80,$A41+1,FALSE)) * (IF($B41=500, (Assumptions!$B$7)*12, IF((HLOOKUP(H$2,Earnings!$G$2:$BC$81,('Yearly Pension'!$A41)+1, FALSE)) &gt; H$1, (Assumptions!$B$8)*(H$1) + (Assumptions!$B$9)*MAX(0,  (HLOOKUP(H$2,Earnings!$G$2:$BC$81,('Yearly Pension'!$A41)+1, FALSE)) - H$1), ((Assumptions!$B$8)*'Yearly Pension'!H$1))))</f>
        <v>0</v>
      </c>
      <c r="I41" s="6">
        <f>(HLOOKUP('Yearly Pension'!I$2,'Credited Service'!$G$1:$BC$80,$A41+1,FALSE)) * (IF($B41=500, (Assumptions!$B$7)*12, IF((HLOOKUP(I$2,Earnings!$G$2:$BC$81,('Yearly Pension'!$A41)+1, FALSE)) &gt; I$1, (Assumptions!$B$8)*(I$1) + (Assumptions!$B$9)*MAX(0,  (HLOOKUP(I$2,Earnings!$G$2:$BC$81,('Yearly Pension'!$A41)+1, FALSE)) - I$1), ((Assumptions!$B$8)*'Yearly Pension'!I$1))))</f>
        <v>0</v>
      </c>
      <c r="J41" s="6">
        <f>(HLOOKUP('Yearly Pension'!J$2,'Credited Service'!$G$1:$BC$80,$A41+1,FALSE)) * (IF($B41=500, (Assumptions!$B$7)*12, IF((HLOOKUP(J$2,Earnings!$G$2:$BC$81,('Yearly Pension'!$A41)+1, FALSE)) &gt; J$1, (Assumptions!$B$8)*(J$1) + (Assumptions!$B$9)*MAX(0,  (HLOOKUP(J$2,Earnings!$G$2:$BC$81,('Yearly Pension'!$A41)+1, FALSE)) - J$1), ((Assumptions!$B$8)*'Yearly Pension'!J$1))))</f>
        <v>0</v>
      </c>
      <c r="K41" s="6">
        <f>(HLOOKUP('Yearly Pension'!K$2,'Credited Service'!$G$1:$BC$80,$A41+1,FALSE)) * (IF($B41=500, (Assumptions!$B$7)*12, IF((HLOOKUP(K$2,Earnings!$G$2:$BC$81,('Yearly Pension'!$A41)+1, FALSE)) &gt; K$1, (Assumptions!$B$8)*(K$1) + (Assumptions!$B$9)*MAX(0,  (HLOOKUP(K$2,Earnings!$G$2:$BC$81,('Yearly Pension'!$A41)+1, FALSE)) - K$1), ((Assumptions!$B$8)*'Yearly Pension'!K$1))))</f>
        <v>0</v>
      </c>
      <c r="L41" s="6">
        <f>(HLOOKUP('Yearly Pension'!L$2,'Credited Service'!$G$1:$BC$80,$A41+1,FALSE)) * (IF($B41=500, (Assumptions!$B$7)*12, IF((HLOOKUP(L$2,Earnings!$G$2:$BC$81,('Yearly Pension'!$A41)+1, FALSE)) &gt; L$1, (Assumptions!$B$8)*(L$1) + (Assumptions!$B$9)*MAX(0,  (HLOOKUP(L$2,Earnings!$G$2:$BC$81,('Yearly Pension'!$A41)+1, FALSE)) - L$1), ((Assumptions!$B$8)*'Yearly Pension'!L$1))))</f>
        <v>0</v>
      </c>
      <c r="M41" s="6">
        <f>(HLOOKUP('Yearly Pension'!M$2,'Credited Service'!$G$1:$BC$80,$A41+1,FALSE)) * (IF($B41=500, (Assumptions!$B$7)*12, IF((HLOOKUP(M$2,Earnings!$G$2:$BC$81,('Yearly Pension'!$A41)+1, FALSE)) &gt; M$1, (Assumptions!$B$8)*(M$1) + (Assumptions!$B$9)*MAX(0,  (HLOOKUP(M$2,Earnings!$G$2:$BC$81,('Yearly Pension'!$A41)+1, FALSE)) - M$1), ((Assumptions!$B$8)*'Yearly Pension'!M$1))))</f>
        <v>0</v>
      </c>
      <c r="N41" s="6">
        <f>(HLOOKUP('Yearly Pension'!N$2,'Credited Service'!$G$1:$BC$80,$A41+1,FALSE)) * (IF($B41=500, (Assumptions!$B$7)*12, IF((HLOOKUP(N$2,Earnings!$G$2:$BC$81,('Yearly Pension'!$A41)+1, FALSE)) &gt; N$1, (Assumptions!$B$8)*(N$1) + (Assumptions!$B$9)*MAX(0,  (HLOOKUP(N$2,Earnings!$G$2:$BC$81,('Yearly Pension'!$A41)+1, FALSE)) - N$1), ((Assumptions!$B$8)*'Yearly Pension'!N$1))))</f>
        <v>0</v>
      </c>
      <c r="O41" s="6">
        <f>(HLOOKUP('Yearly Pension'!O$2,'Credited Service'!$G$1:$BC$80,$A41+1,FALSE)) * (IF($B41=500, (Assumptions!$B$7)*12, IF((HLOOKUP(O$2,Earnings!$G$2:$BC$81,('Yearly Pension'!$A41)+1, FALSE)) &gt; O$1, (Assumptions!$B$8)*(O$1) + (Assumptions!$B$9)*MAX(0,  (HLOOKUP(O$2,Earnings!$G$2:$BC$81,('Yearly Pension'!$A41)+1, FALSE)) - O$1), ((Assumptions!$B$8)*'Yearly Pension'!O$1))))</f>
        <v>0</v>
      </c>
      <c r="P41" s="6">
        <f>(HLOOKUP('Yearly Pension'!P$2,'Credited Service'!$G$1:$BC$80,$A41+1,FALSE)) * (IF($B41=500, (Assumptions!$B$7)*12, IF((HLOOKUP(P$2,Earnings!$G$2:$BC$81,('Yearly Pension'!$A41)+1, FALSE)) &gt; P$1, (Assumptions!$B$8)*(P$1) + (Assumptions!$B$9)*MAX(0,  (HLOOKUP(P$2,Earnings!$G$2:$BC$81,('Yearly Pension'!$A41)+1, FALSE)) - P$1), ((Assumptions!$B$8)*'Yearly Pension'!P$1))))</f>
        <v>0</v>
      </c>
      <c r="Q41" s="6">
        <f>(HLOOKUP('Yearly Pension'!Q$2,'Credited Service'!$G$1:$BC$80,$A41+1,FALSE)) * (IF($B41=500, (Assumptions!$B$7)*12, IF((HLOOKUP(Q$2,Earnings!$G$2:$BC$81,('Yearly Pension'!$A41)+1, FALSE)) &gt; Q$1, (Assumptions!$B$8)*(Q$1) + (Assumptions!$B$9)*MAX(0,  (HLOOKUP(Q$2,Earnings!$G$2:$BC$81,('Yearly Pension'!$A41)+1, FALSE)) - Q$1), ((Assumptions!$B$8)*'Yearly Pension'!Q$1))))</f>
        <v>0</v>
      </c>
      <c r="R41" s="6">
        <f>(HLOOKUP('Yearly Pension'!R$2,'Credited Service'!$G$1:$BC$80,$A41+1,FALSE)) * (IF($B41=500, (Assumptions!$B$7)*12, IF((HLOOKUP(R$2,Earnings!$G$2:$BC$81,('Yearly Pension'!$A41)+1, FALSE)) &gt; R$1, (Assumptions!$B$8)*(R$1) + (Assumptions!$B$9)*MAX(0,  (HLOOKUP(R$2,Earnings!$G$2:$BC$81,('Yearly Pension'!$A41)+1, FALSE)) - R$1), ((Assumptions!$B$8)*'Yearly Pension'!R$1))))</f>
        <v>0</v>
      </c>
      <c r="S41" s="6">
        <f>(HLOOKUP('Yearly Pension'!S$2,'Credited Service'!$G$1:$BC$80,$A41+1,FALSE)) * (IF($B41=500, (Assumptions!$B$7)*12, IF((HLOOKUP(S$2,Earnings!$G$2:$BC$81,('Yearly Pension'!$A41)+1, FALSE)) &gt; S$1, (Assumptions!$B$8)*(S$1) + (Assumptions!$B$9)*MAX(0,  (HLOOKUP(S$2,Earnings!$G$2:$BC$81,('Yearly Pension'!$A41)+1, FALSE)) - S$1), ((Assumptions!$B$8)*'Yearly Pension'!S$1))))</f>
        <v>0</v>
      </c>
      <c r="T41" s="6">
        <f>(HLOOKUP('Yearly Pension'!T$2,'Credited Service'!$G$1:$BC$80,$A41+1,FALSE)) * (IF($B41=500, (Assumptions!$B$7)*12, IF((HLOOKUP(T$2,Earnings!$G$2:$BC$81,('Yearly Pension'!$A41)+1, FALSE)) &gt; T$1, (Assumptions!$B$8)*(T$1) + (Assumptions!$B$9)*MAX(0,  (HLOOKUP(T$2,Earnings!$G$2:$BC$81,('Yearly Pension'!$A41)+1, FALSE)) - T$1), ((Assumptions!$B$8)*'Yearly Pension'!T$1))))</f>
        <v>0</v>
      </c>
      <c r="U41" s="6">
        <f>(HLOOKUP('Yearly Pension'!U$2,'Credited Service'!$G$1:$BC$80,$A41+1,FALSE)) * (IF($B41=500, (Assumptions!$B$7)*12, IF((HLOOKUP(U$2,Earnings!$G$2:$BC$81,('Yearly Pension'!$A41)+1, FALSE)) &gt; U$1, (Assumptions!$B$8)*(U$1) + (Assumptions!$B$9)*MAX(0,  (HLOOKUP(U$2,Earnings!$G$2:$BC$81,('Yearly Pension'!$A41)+1, FALSE)) - U$1), ((Assumptions!$B$8)*'Yearly Pension'!U$1))))</f>
        <v>0</v>
      </c>
      <c r="V41" s="6">
        <f>(HLOOKUP('Yearly Pension'!V$2,'Credited Service'!$G$1:$BC$80,$A41+1,FALSE)) * (IF($B41=500, (Assumptions!$B$7)*12, IF((HLOOKUP(V$2,Earnings!$G$2:$BC$81,('Yearly Pension'!$A41)+1, FALSE)) &gt; V$1, (Assumptions!$B$8)*(V$1) + (Assumptions!$B$9)*MAX(0,  (HLOOKUP(V$2,Earnings!$G$2:$BC$81,('Yearly Pension'!$A41)+1, FALSE)) - V$1), ((Assumptions!$B$8)*'Yearly Pension'!V$1))))</f>
        <v>0</v>
      </c>
      <c r="W41" s="6">
        <f>(HLOOKUP('Yearly Pension'!W$2,'Credited Service'!$G$1:$BC$80,$A41+1,FALSE)) * (IF($B41=500, (Assumptions!$B$7)*12, IF((HLOOKUP(W$2,Earnings!$G$2:$BC$81,('Yearly Pension'!$A41)+1, FALSE)) &gt; W$1, (Assumptions!$B$8)*(W$1) + (Assumptions!$B$9)*MAX(0,  (HLOOKUP(W$2,Earnings!$G$2:$BC$81,('Yearly Pension'!$A41)+1, FALSE)) - W$1), ((Assumptions!$B$8)*'Yearly Pension'!W$1))))</f>
        <v>0</v>
      </c>
      <c r="X41" s="6">
        <f>(HLOOKUP('Yearly Pension'!X$2,'Credited Service'!$G$1:$BC$80,$A41+1,FALSE)) * (IF($B41=500, (Assumptions!$B$7)*12, IF((HLOOKUP(X$2,Earnings!$G$2:$BC$81,('Yearly Pension'!$A41)+1, FALSE)) &gt; X$1, (Assumptions!$B$8)*(X$1) + (Assumptions!$B$9)*MAX(0,  (HLOOKUP(X$2,Earnings!$G$2:$BC$81,('Yearly Pension'!$A41)+1, FALSE)) - X$1), ((Assumptions!$B$8)*'Yearly Pension'!X$1))))</f>
        <v>0</v>
      </c>
      <c r="Y41" s="6">
        <f>(HLOOKUP('Yearly Pension'!Y$2,'Credited Service'!$G$1:$BC$80,$A41+1,FALSE)) * (IF($B41=500, (Assumptions!$B$7)*12, IF((HLOOKUP(Y$2,Earnings!$G$2:$BC$81,('Yearly Pension'!$A41)+1, FALSE)) &gt; Y$1, (Assumptions!$B$8)*(Y$1) + (Assumptions!$B$9)*MAX(0,  (HLOOKUP(Y$2,Earnings!$G$2:$BC$81,('Yearly Pension'!$A41)+1, FALSE)) - Y$1), ((Assumptions!$B$8)*'Yearly Pension'!Y$1))))</f>
        <v>0</v>
      </c>
      <c r="Z41" s="6">
        <f>(HLOOKUP('Yearly Pension'!Z$2,'Credited Service'!$G$1:$BC$80,$A41+1,FALSE)) * (IF($B41=500, (Assumptions!$B$7)*12, IF((HLOOKUP(Z$2,Earnings!$G$2:$BC$81,('Yearly Pension'!$A41)+1, FALSE)) &gt; Z$1, (Assumptions!$B$8)*(Z$1) + (Assumptions!$B$9)*MAX(0,  (HLOOKUP(Z$2,Earnings!$G$2:$BC$81,('Yearly Pension'!$A41)+1, FALSE)) - Z$1), ((Assumptions!$B$8)*'Yearly Pension'!Z$1))))</f>
        <v>0</v>
      </c>
      <c r="AA41" s="6">
        <f>(HLOOKUP('Yearly Pension'!AA$2,'Credited Service'!$G$1:$BC$80,$A41+1,FALSE)) * (IF($B41=500, (Assumptions!$B$7)*12, IF((HLOOKUP(AA$2,Earnings!$G$2:$BC$81,('Yearly Pension'!$A41)+1, FALSE)) &gt; AA$1, (Assumptions!$B$8)*(AA$1) + (Assumptions!$B$9)*MAX(0,  (HLOOKUP(AA$2,Earnings!$G$2:$BC$81,('Yearly Pension'!$A41)+1, FALSE)) - AA$1), ((Assumptions!$B$8)*'Yearly Pension'!AA$1))))</f>
        <v>0</v>
      </c>
      <c r="AB41" s="6">
        <f>(HLOOKUP('Yearly Pension'!AB$2,'Credited Service'!$G$1:$BC$80,$A41+1,FALSE)) * (IF($B41=500, (Assumptions!$B$7)*12, IF((HLOOKUP(AB$2,Earnings!$G$2:$BC$81,('Yearly Pension'!$A41)+1, FALSE)) &gt; AB$1, (Assumptions!$B$8)*(AB$1) + (Assumptions!$B$9)*MAX(0,  (HLOOKUP(AB$2,Earnings!$G$2:$BC$81,('Yearly Pension'!$A41)+1, FALSE)) - AB$1), ((Assumptions!$B$8)*'Yearly Pension'!AB$1))))</f>
        <v>0</v>
      </c>
      <c r="AC41" s="6">
        <f>(HLOOKUP('Yearly Pension'!AC$2,'Credited Service'!$G$1:$BC$80,$A41+1,FALSE)) * (IF($B41=500, (Assumptions!$B$7)*12, IF((HLOOKUP(AC$2,Earnings!$G$2:$BC$81,('Yearly Pension'!$A41)+1, FALSE)) &gt; AC$1, (Assumptions!$B$8)*(AC$1) + (Assumptions!$B$9)*MAX(0,  (HLOOKUP(AC$2,Earnings!$G$2:$BC$81,('Yearly Pension'!$A41)+1, FALSE)) - AC$1), ((Assumptions!$B$8)*'Yearly Pension'!AC$1))))</f>
        <v>0</v>
      </c>
      <c r="AD41" s="6">
        <f>(HLOOKUP('Yearly Pension'!AD$2,'Credited Service'!$G$1:$BC$80,$A41+1,FALSE)) * (IF($B41=500, (Assumptions!$B$7)*12, IF((HLOOKUP(AD$2,Earnings!$G$2:$BC$81,('Yearly Pension'!$A41)+1, FALSE)) &gt; AD$1, (Assumptions!$B$8)*(AD$1) + (Assumptions!$B$9)*MAX(0,  (HLOOKUP(AD$2,Earnings!$G$2:$BC$81,('Yearly Pension'!$A41)+1, FALSE)) - AD$1), ((Assumptions!$B$8)*'Yearly Pension'!AD$1))))</f>
        <v>408.31839907159787</v>
      </c>
      <c r="AE41" s="6">
        <f>(HLOOKUP('Yearly Pension'!AE$2,'Credited Service'!$G$1:$BC$80,$A41+1,FALSE)) * (IF($B41=500, (Assumptions!$B$7)*12, IF((HLOOKUP(AE$2,Earnings!$G$2:$BC$81,('Yearly Pension'!$A41)+1, FALSE)) &gt; AE$1, (Assumptions!$B$8)*(AE$1) + (Assumptions!$B$9)*MAX(0,  (HLOOKUP(AE$2,Earnings!$G$2:$BC$81,('Yearly Pension'!$A41)+1, FALSE)) - AE$1), ((Assumptions!$B$8)*'Yearly Pension'!AE$1))))</f>
        <v>733.11897434479181</v>
      </c>
      <c r="AF41" s="6">
        <f>(HLOOKUP('Yearly Pension'!AF$2,'Credited Service'!$G$1:$BC$80,$A41+1,FALSE)) * (IF($B41=500, (Assumptions!$B$7)*12, IF((HLOOKUP(AF$2,Earnings!$G$2:$BC$81,('Yearly Pension'!$A41)+1, FALSE)) &gt; AF$1, (Assumptions!$B$8)*(AF$1) + (Assumptions!$B$9)*MAX(0,  (HLOOKUP(AF$2,Earnings!$G$2:$BC$81,('Yearly Pension'!$A41)+1, FALSE)) - AF$1), ((Assumptions!$B$8)*'Yearly Pension'!AF$1))))</f>
        <v>767.12853331858355</v>
      </c>
      <c r="AG41" s="6">
        <f>(HLOOKUP('Yearly Pension'!AG$2,'Credited Service'!$G$1:$BC$80,$A41+1,FALSE)) * (IF($B41=500, (Assumptions!$B$7)*12, IF((HLOOKUP(AG$2,Earnings!$G$2:$BC$81,('Yearly Pension'!$A41)+1, FALSE)) &gt; AG$1, (Assumptions!$B$8)*(AG$1) + (Assumptions!$B$9)*MAX(0,  (HLOOKUP(AG$2,Earnings!$G$2:$BC$81,('Yearly Pension'!$A41)+1, FALSE)) - AG$1), ((Assumptions!$B$8)*'Yearly Pension'!AG$1))))</f>
        <v>802.70327465132686</v>
      </c>
      <c r="AH41" s="6">
        <f>(HLOOKUP('Yearly Pension'!AH$2,'Credited Service'!$G$1:$BC$80,$A41+1,FALSE)) * (IF($B41=500, (Assumptions!$B$7)*12, IF((HLOOKUP(AH$2,Earnings!$G$2:$BC$81,('Yearly Pension'!$A41)+1, FALSE)) &gt; AH$1, (Assumptions!$B$8)*(AH$1) + (Assumptions!$B$9)*MAX(0,  (HLOOKUP(AH$2,Earnings!$G$2:$BC$81,('Yearly Pension'!$A41)+1, FALSE)) - AH$1), ((Assumptions!$B$8)*'Yearly Pension'!AH$1))))</f>
        <v>841.1858056373801</v>
      </c>
      <c r="AI41" s="6">
        <f>(HLOOKUP('Yearly Pension'!AI$2,'Credited Service'!$G$1:$BC$80,$A41+1,FALSE)) * (IF($B41=500, (Assumptions!$B$7)*12, IF((HLOOKUP(AI$2,Earnings!$G$2:$BC$81,('Yearly Pension'!$A41)+1, FALSE)) &gt; AI$1, (Assumptions!$B$8)*(AI$1) + (Assumptions!$B$9)*MAX(0,  (HLOOKUP(AI$2,Earnings!$G$2:$BC$81,('Yearly Pension'!$A41)+1, FALSE)) - AI$1), ((Assumptions!$B$8)*'Yearly Pension'!AI$1))))</f>
        <v>881.36123786287533</v>
      </c>
      <c r="AJ41" s="6">
        <f>(HLOOKUP('Yearly Pension'!AJ$2,'Credited Service'!$G$1:$BC$80,$A41+1,FALSE)) * (IF($B41=500, (Assumptions!$B$7)*12, IF((HLOOKUP(AJ$2,Earnings!$G$2:$BC$81,('Yearly Pension'!$A41)+1, FALSE)) &gt; AJ$1, (Assumptions!$B$8)*(AJ$1) + (Assumptions!$B$9)*MAX(0,  (HLOOKUP(AJ$2,Earnings!$G$2:$BC$81,('Yearly Pension'!$A41)+1, FALSE)) - AJ$1), ((Assumptions!$B$8)*'Yearly Pension'!AJ$1))))</f>
        <v>920.73728737739043</v>
      </c>
      <c r="AK41" s="6">
        <f>(HLOOKUP('Yearly Pension'!AK$2,'Credited Service'!$G$1:$BC$80,$A41+1,FALSE)) * (IF($B41=500, (Assumptions!$B$7)*12, IF((HLOOKUP(AK$2,Earnings!$G$2:$BC$81,('Yearly Pension'!$A41)+1, FALSE)) &gt; AK$1, (Assumptions!$B$8)*(AK$1) + (Assumptions!$B$9)*MAX(0,  (HLOOKUP(AK$2,Earnings!$G$2:$BC$81,('Yearly Pension'!$A41)+1, FALSE)) - AK$1), ((Assumptions!$B$8)*'Yearly Pension'!AK$1))))</f>
        <v>958.104378872486</v>
      </c>
      <c r="AL41" s="6">
        <f>(HLOOKUP('Yearly Pension'!AL$2,'Credited Service'!$G$1:$BC$80,$A41+1,FALSE)) * (IF($B41=500, (Assumptions!$B$7)*12, IF((HLOOKUP(AL$2,Earnings!$G$2:$BC$81,('Yearly Pension'!$A41)+1, FALSE)) &gt; AL$1, (Assumptions!$B$8)*(AL$1) + (Assumptions!$B$9)*MAX(0,  (HLOOKUP(AL$2,Earnings!$G$2:$BC$81,('Yearly Pension'!$A41)+1, FALSE)) - AL$1), ((Assumptions!$B$8)*'Yearly Pension'!AL$1))))</f>
        <v>999.93575402738554</v>
      </c>
      <c r="AM41" s="6">
        <f>(HLOOKUP('Yearly Pension'!AM$2,'Credited Service'!$G$1:$BC$80,$A41+1,FALSE)) * (IF($B41=500, (Assumptions!$B$7)*12, IF((HLOOKUP(AM$2,Earnings!$G$2:$BC$81,('Yearly Pension'!$A41)+1, FALSE)) &gt; AM$1, (Assumptions!$B$8)*(AM$1) + (Assumptions!$B$9)*MAX(0,  (HLOOKUP(AM$2,Earnings!$G$2:$BC$81,('Yearly Pension'!$A41)+1, FALSE)) - AM$1), ((Assumptions!$B$8)*'Yearly Pension'!AM$1))))</f>
        <v>1042.4675841884809</v>
      </c>
      <c r="AN41" s="6">
        <f>(HLOOKUP('Yearly Pension'!AN$2,'Credited Service'!$G$1:$BC$80,$A41+1,FALSE)) * (IF($B41=500, (Assumptions!$B$7)*12, IF((HLOOKUP(AN$2,Earnings!$G$2:$BC$81,('Yearly Pension'!$A41)+1, FALSE)) &gt; AN$1, (Assumptions!$B$8)*(AN$1) + (Assumptions!$B$9)*MAX(0,  (HLOOKUP(AN$2,Earnings!$G$2:$BC$81,('Yearly Pension'!$A41)+1, FALSE)) - AN$1), ((Assumptions!$B$8)*'Yearly Pension'!AN$1))))</f>
        <v>1090.2590875560202</v>
      </c>
      <c r="AO41" s="6">
        <f>(HLOOKUP('Yearly Pension'!AO$2,'Credited Service'!$G$1:$BC$80,$A41+1,FALSE)) * (IF($B41=500, (Assumptions!$B$7)*12, IF((HLOOKUP(AO$2,Earnings!$G$2:$BC$81,('Yearly Pension'!$A41)+1, FALSE)) &gt; AO$1, (Assumptions!$B$8)*(AO$1) + (Assumptions!$B$9)*MAX(0,  (HLOOKUP(AO$2,Earnings!$G$2:$BC$81,('Yearly Pension'!$A41)+1, FALSE)) - AO$1), ((Assumptions!$B$8)*'Yearly Pension'!AO$1))))</f>
        <v>1138.9126510582612</v>
      </c>
      <c r="AP41" s="6">
        <f>(HLOOKUP('Yearly Pension'!AP$2,'Credited Service'!$G$1:$BC$80,$A41+1,FALSE)) * (IF($B41=500, (Assumptions!$B$7)*12, IF((HLOOKUP(AP$2,Earnings!$G$2:$BC$81,('Yearly Pension'!$A41)+1, FALSE)) &gt; AP$1, (Assumptions!$B$8)*(AP$1) + (Assumptions!$B$9)*MAX(0,  (HLOOKUP(AP$2,Earnings!$G$2:$BC$81,('Yearly Pension'!$A41)+1, FALSE)) - AP$1), ((Assumptions!$B$8)*'Yearly Pension'!AP$1))))</f>
        <v>1185.3139571005916</v>
      </c>
      <c r="AQ41" s="6">
        <f>(HLOOKUP('Yearly Pension'!AQ$2,'Credited Service'!$G$1:$BC$80,$A41+1,FALSE)) * (IF($B41=500, (Assumptions!$B$7)*12, IF((HLOOKUP(AQ$2,Earnings!$G$2:$BC$81,('Yearly Pension'!$A41)+1, FALSE)) &gt; AQ$1, (Assumptions!$B$8)*(AQ$1) + (Assumptions!$B$9)*MAX(0,  (HLOOKUP(AQ$2,Earnings!$G$2:$BC$81,('Yearly Pension'!$A41)+1, FALSE)) - AQ$1), ((Assumptions!$B$8)*'Yearly Pension'!AQ$1))))</f>
        <v>1239.1521153846152</v>
      </c>
      <c r="AR41" s="6">
        <f>(HLOOKUP('Yearly Pension'!AR$2,'Credited Service'!$G$1:$BC$80,$A41+1,FALSE)) * (IF($B41=500, (Assumptions!$B$7)*12, IF((HLOOKUP(AR$2,Earnings!$G$2:$BC$81,('Yearly Pension'!$A41)+1, FALSE)) &gt; AR$1, (Assumptions!$B$8)*(AR$1) + (Assumptions!$B$9)*MAX(0,  (HLOOKUP(AR$2,Earnings!$G$2:$BC$81,('Yearly Pension'!$A41)+1, FALSE)) - AR$1), ((Assumptions!$B$8)*'Yearly Pension'!AR$1))))</f>
        <v>1292.8398000000002</v>
      </c>
      <c r="AS41" s="6">
        <f>(HLOOKUP('Yearly Pension'!AS$2,'Credited Service'!$G$1:$BC$80,$A41+1,FALSE)) * (IF($B41=500, (Assumptions!$B$7)*12, IF((HLOOKUP(AS$2,Earnings!$G$2:$BC$81,('Yearly Pension'!$A41)+1, FALSE)) &gt; AS$1, (Assumptions!$B$8)*(AS$1) + (Assumptions!$B$9)*MAX(0,  (HLOOKUP(AS$2,Earnings!$G$2:$BC$81,('Yearly Pension'!$A41)+1, FALSE)) - AS$1), ((Assumptions!$B$8)*'Yearly Pension'!AS$1))))</f>
        <v>1334.664994</v>
      </c>
      <c r="AT41" s="6">
        <f>(HLOOKUP('Yearly Pension'!AT$2,'Credited Service'!$G$1:$BC$80,$A41+1,FALSE)) * (IF($B41=500, (Assumptions!$B$7)*12, IF((HLOOKUP(AT$2,Earnings!$G$2:$BC$81,('Yearly Pension'!$A41)+1, FALSE)) &gt; AT$1, (Assumptions!$B$8)*(AT$1) + (Assumptions!$B$9)*MAX(0,  (HLOOKUP(AT$2,Earnings!$G$2:$BC$81,('Yearly Pension'!$A41)+1, FALSE)) - AT$1), ((Assumptions!$B$8)*'Yearly Pension'!AT$1))))</f>
        <v>1376.6761438200001</v>
      </c>
      <c r="AU41" s="6">
        <f>(HLOOKUP('Yearly Pension'!AU$2,'Credited Service'!$G$1:$BC$80,$A41+1,FALSE)) * (IF($B41=500, (Assumptions!$B$7)*12, IF((HLOOKUP(AU$2,Earnings!$G$2:$BC$81,('Yearly Pension'!$A41)+1, FALSE)) &gt; AU$1, (Assumptions!$B$8)*(AU$1) + (Assumptions!$B$9)*MAX(0,  (HLOOKUP(AU$2,Earnings!$G$2:$BC$81,('Yearly Pension'!$A41)+1, FALSE)) - AU$1), ((Assumptions!$B$8)*'Yearly Pension'!AU$1))))</f>
        <v>1425.9572281346</v>
      </c>
      <c r="AV41" s="6">
        <f>(HLOOKUP('Yearly Pension'!AV$2,'Credited Service'!$G$1:$BC$80,$A41+1,FALSE)) * (IF($B41=500, (Assumptions!$B$7)*12, IF((HLOOKUP(AV$2,Earnings!$G$2:$BC$81,('Yearly Pension'!$A41)+1, FALSE)) &gt; AV$1, (Assumptions!$B$8)*(AV$1) + (Assumptions!$B$9)*MAX(0,  (HLOOKUP(AV$2,Earnings!$G$2:$BC$81,('Yearly Pension'!$A41)+1, FALSE)) - AV$1), ((Assumptions!$B$8)*'Yearly Pension'!AV$1))))</f>
        <v>1475.5135449786383</v>
      </c>
      <c r="AW41" s="6">
        <f>(HLOOKUP('Yearly Pension'!AW$2,'Credited Service'!$G$1:$BC$80,$A41+1,FALSE)) * (IF($B41=500, (Assumptions!$B$7)*12, IF((HLOOKUP(AW$2,Earnings!$G$2:$BC$81,('Yearly Pension'!$A41)+1, FALSE)) &gt; AW$1, (Assumptions!$B$8)*(AW$1) + (Assumptions!$B$9)*MAX(0,  (HLOOKUP(AW$2,Earnings!$G$2:$BC$81,('Yearly Pension'!$A41)+1, FALSE)) - AW$1), ((Assumptions!$B$8)*'Yearly Pension'!AW$1))))</f>
        <v>1520.9117513279975</v>
      </c>
      <c r="AX41" s="6">
        <f>(HLOOKUP('Yearly Pension'!AX$2,'Credited Service'!$G$1:$BC$80,$A41+1,FALSE)) * (IF($B41=500, (Assumptions!$B$7)*12, IF((HLOOKUP(AX$2,Earnings!$G$2:$BC$81,('Yearly Pension'!$A41)+1, FALSE)) &gt; AX$1, (Assumptions!$B$8)*(AX$1) + (Assumptions!$B$9)*MAX(0,  (HLOOKUP(AX$2,Earnings!$G$2:$BC$81,('Yearly Pension'!$A41)+1, FALSE)) - AX$1), ((Assumptions!$B$8)*'Yearly Pension'!AX$1))))</f>
        <v>1562.8655038678376</v>
      </c>
      <c r="AY41" s="6">
        <f>(HLOOKUP('Yearly Pension'!AY$2,'Credited Service'!$G$1:$BC$80,$A41+1,FALSE)) * (IF($B41=500, (Assumptions!$B$7)*12, IF((HLOOKUP(AY$2,Earnings!$G$2:$BC$81,('Yearly Pension'!$A41)+1, FALSE)) &gt; AY$1, (Assumptions!$B$8)*(AY$1) + (Assumptions!$B$9)*MAX(0,  (HLOOKUP(AY$2,Earnings!$G$2:$BC$81,('Yearly Pension'!$A41)+1, FALSE)) - AY$1), ((Assumptions!$B$8)*'Yearly Pension'!AY$1))))</f>
        <v>1605.9309249838727</v>
      </c>
      <c r="AZ41" s="6">
        <f>(HLOOKUP('Yearly Pension'!AZ$2,'Credited Service'!$G$1:$BC$80,$A41+1,FALSE)) * (IF($B41=500, (Assumptions!$B$7)*12, IF((HLOOKUP(AZ$2,Earnings!$G$2:$BC$81,('Yearly Pension'!$A41)+1, FALSE)) &gt; AZ$1, (Assumptions!$B$8)*(AZ$1) + (Assumptions!$B$9)*MAX(0,  (HLOOKUP(AZ$2,Earnings!$G$2:$BC$81,('Yearly Pension'!$A41)+1, FALSE)) - AZ$1), ((Assumptions!$B$8)*'Yearly Pension'!AZ$1))))</f>
        <v>1650.1354869733889</v>
      </c>
      <c r="BA41" s="6">
        <f>(HLOOKUP('Yearly Pension'!BA$2,'Credited Service'!$G$1:$BC$80,$A41+1,FALSE)) * (IF($B41=500, (Assumptions!$B$7)*12, IF((HLOOKUP(BA$2,Earnings!$G$2:$BC$81,('Yearly Pension'!$A41)+1, FALSE)) &gt; BA$1, (Assumptions!$B$8)*(BA$1) + (Assumptions!$B$9)*MAX(0,  (HLOOKUP(BA$2,Earnings!$G$2:$BC$81,('Yearly Pension'!$A41)+1, FALSE)) - BA$1), ((Assumptions!$B$8)*'Yearly Pension'!BA$1))))</f>
        <v>1695.5072511921903</v>
      </c>
      <c r="BB41" s="6">
        <f>(HLOOKUP('Yearly Pension'!BB$2,'Credited Service'!$G$1:$BC$80,$A41+1,FALSE)) * (IF($B41=500, (Assumptions!$B$7)*12, IF((HLOOKUP(BB$2,Earnings!$G$2:$BC$81,('Yearly Pension'!$A41)+1, FALSE)) &gt; BB$1, (Assumptions!$B$8)*(BB$1) + (Assumptions!$B$9)*MAX(0,  (HLOOKUP(BB$2,Earnings!$G$2:$BC$81,('Yearly Pension'!$A41)+1, FALSE)) - BB$1), ((Assumptions!$B$8)*'Yearly Pension'!BB$1))))</f>
        <v>1742.0748763219403</v>
      </c>
      <c r="BC41" s="6">
        <f>(HLOOKUP('Yearly Pension'!BC$2,'Credited Service'!$G$1:$BC$80,$A41+1,FALSE)) * (IF($B41=500, (Assumptions!$B$7)*12, IF((HLOOKUP(BC$2,Earnings!$G$2:$BC$81,('Yearly Pension'!$A41)+1, FALSE)) &gt; BC$1, (Assumptions!$B$8)*(BC$1) + (Assumptions!$B$9)*MAX(0,  (HLOOKUP(BC$2,Earnings!$G$2:$BC$81,('Yearly Pension'!$A41)+1, FALSE)) - BC$1), ((Assumptions!$B$8)*'Yearly Pension'!BC$1))))</f>
        <v>1789.8676265093418</v>
      </c>
    </row>
    <row r="42" spans="1:55" x14ac:dyDescent="0.25">
      <c r="A42" s="204">
        <v>40</v>
      </c>
      <c r="B42" s="1">
        <v>600</v>
      </c>
      <c r="C42" s="1">
        <v>726</v>
      </c>
      <c r="D42" s="3">
        <v>36612</v>
      </c>
      <c r="E42" s="3">
        <v>43952</v>
      </c>
      <c r="G42" s="6">
        <f>(HLOOKUP('Yearly Pension'!G$2,'Credited Service'!$G$1:$BC$80,$A42+1,FALSE)) * (IF($B42=500, (Assumptions!$B$7)*12, IF((HLOOKUP(G$2,Earnings!$G$2:$BC$81,('Yearly Pension'!$A42)+1, FALSE)) &gt; G$1, (Assumptions!$B$8)*(G$1) + (Assumptions!$B$9)*MAX(0,  (HLOOKUP(G$2,Earnings!$G$2:$BC$81,('Yearly Pension'!$A42)+1, FALSE)) - G$1), ((Assumptions!$B$8)*'Yearly Pension'!G$1))))</f>
        <v>0</v>
      </c>
      <c r="H42" s="6">
        <f>(HLOOKUP('Yearly Pension'!H$2,'Credited Service'!$G$1:$BC$80,$A42+1,FALSE)) * (IF($B42=500, (Assumptions!$B$7)*12, IF((HLOOKUP(H$2,Earnings!$G$2:$BC$81,('Yearly Pension'!$A42)+1, FALSE)) &gt; H$1, (Assumptions!$B$8)*(H$1) + (Assumptions!$B$9)*MAX(0,  (HLOOKUP(H$2,Earnings!$G$2:$BC$81,('Yearly Pension'!$A42)+1, FALSE)) - H$1), ((Assumptions!$B$8)*'Yearly Pension'!H$1))))</f>
        <v>0</v>
      </c>
      <c r="I42" s="6">
        <f>(HLOOKUP('Yearly Pension'!I$2,'Credited Service'!$G$1:$BC$80,$A42+1,FALSE)) * (IF($B42=500, (Assumptions!$B$7)*12, IF((HLOOKUP(I$2,Earnings!$G$2:$BC$81,('Yearly Pension'!$A42)+1, FALSE)) &gt; I$1, (Assumptions!$B$8)*(I$1) + (Assumptions!$B$9)*MAX(0,  (HLOOKUP(I$2,Earnings!$G$2:$BC$81,('Yearly Pension'!$A42)+1, FALSE)) - I$1), ((Assumptions!$B$8)*'Yearly Pension'!I$1))))</f>
        <v>0</v>
      </c>
      <c r="J42" s="6">
        <f>(HLOOKUP('Yearly Pension'!J$2,'Credited Service'!$G$1:$BC$80,$A42+1,FALSE)) * (IF($B42=500, (Assumptions!$B$7)*12, IF((HLOOKUP(J$2,Earnings!$G$2:$BC$81,('Yearly Pension'!$A42)+1, FALSE)) &gt; J$1, (Assumptions!$B$8)*(J$1) + (Assumptions!$B$9)*MAX(0,  (HLOOKUP(J$2,Earnings!$G$2:$BC$81,('Yearly Pension'!$A42)+1, FALSE)) - J$1), ((Assumptions!$B$8)*'Yearly Pension'!J$1))))</f>
        <v>0</v>
      </c>
      <c r="K42" s="6">
        <f>(HLOOKUP('Yearly Pension'!K$2,'Credited Service'!$G$1:$BC$80,$A42+1,FALSE)) * (IF($B42=500, (Assumptions!$B$7)*12, IF((HLOOKUP(K$2,Earnings!$G$2:$BC$81,('Yearly Pension'!$A42)+1, FALSE)) &gt; K$1, (Assumptions!$B$8)*(K$1) + (Assumptions!$B$9)*MAX(0,  (HLOOKUP(K$2,Earnings!$G$2:$BC$81,('Yearly Pension'!$A42)+1, FALSE)) - K$1), ((Assumptions!$B$8)*'Yearly Pension'!K$1))))</f>
        <v>0</v>
      </c>
      <c r="L42" s="6">
        <f>(HLOOKUP('Yearly Pension'!L$2,'Credited Service'!$G$1:$BC$80,$A42+1,FALSE)) * (IF($B42=500, (Assumptions!$B$7)*12, IF((HLOOKUP(L$2,Earnings!$G$2:$BC$81,('Yearly Pension'!$A42)+1, FALSE)) &gt; L$1, (Assumptions!$B$8)*(L$1) + (Assumptions!$B$9)*MAX(0,  (HLOOKUP(L$2,Earnings!$G$2:$BC$81,('Yearly Pension'!$A42)+1, FALSE)) - L$1), ((Assumptions!$B$8)*'Yearly Pension'!L$1))))</f>
        <v>0</v>
      </c>
      <c r="M42" s="6">
        <f>(HLOOKUP('Yearly Pension'!M$2,'Credited Service'!$G$1:$BC$80,$A42+1,FALSE)) * (IF($B42=500, (Assumptions!$B$7)*12, IF((HLOOKUP(M$2,Earnings!$G$2:$BC$81,('Yearly Pension'!$A42)+1, FALSE)) &gt; M$1, (Assumptions!$B$8)*(M$1) + (Assumptions!$B$9)*MAX(0,  (HLOOKUP(M$2,Earnings!$G$2:$BC$81,('Yearly Pension'!$A42)+1, FALSE)) - M$1), ((Assumptions!$B$8)*'Yearly Pension'!M$1))))</f>
        <v>0</v>
      </c>
      <c r="N42" s="6">
        <f>(HLOOKUP('Yearly Pension'!N$2,'Credited Service'!$G$1:$BC$80,$A42+1,FALSE)) * (IF($B42=500, (Assumptions!$B$7)*12, IF((HLOOKUP(N$2,Earnings!$G$2:$BC$81,('Yearly Pension'!$A42)+1, FALSE)) &gt; N$1, (Assumptions!$B$8)*(N$1) + (Assumptions!$B$9)*MAX(0,  (HLOOKUP(N$2,Earnings!$G$2:$BC$81,('Yearly Pension'!$A42)+1, FALSE)) - N$1), ((Assumptions!$B$8)*'Yearly Pension'!N$1))))</f>
        <v>0</v>
      </c>
      <c r="O42" s="6">
        <f>(HLOOKUP('Yearly Pension'!O$2,'Credited Service'!$G$1:$BC$80,$A42+1,FALSE)) * (IF($B42=500, (Assumptions!$B$7)*12, IF((HLOOKUP(O$2,Earnings!$G$2:$BC$81,('Yearly Pension'!$A42)+1, FALSE)) &gt; O$1, (Assumptions!$B$8)*(O$1) + (Assumptions!$B$9)*MAX(0,  (HLOOKUP(O$2,Earnings!$G$2:$BC$81,('Yearly Pension'!$A42)+1, FALSE)) - O$1), ((Assumptions!$B$8)*'Yearly Pension'!O$1))))</f>
        <v>0</v>
      </c>
      <c r="P42" s="6">
        <f>(HLOOKUP('Yearly Pension'!P$2,'Credited Service'!$G$1:$BC$80,$A42+1,FALSE)) * (IF($B42=500, (Assumptions!$B$7)*12, IF((HLOOKUP(P$2,Earnings!$G$2:$BC$81,('Yearly Pension'!$A42)+1, FALSE)) &gt; P$1, (Assumptions!$B$8)*(P$1) + (Assumptions!$B$9)*MAX(0,  (HLOOKUP(P$2,Earnings!$G$2:$BC$81,('Yearly Pension'!$A42)+1, FALSE)) - P$1), ((Assumptions!$B$8)*'Yearly Pension'!P$1))))</f>
        <v>0</v>
      </c>
      <c r="Q42" s="6">
        <f>(HLOOKUP('Yearly Pension'!Q$2,'Credited Service'!$G$1:$BC$80,$A42+1,FALSE)) * (IF($B42=500, (Assumptions!$B$7)*12, IF((HLOOKUP(Q$2,Earnings!$G$2:$BC$81,('Yearly Pension'!$A42)+1, FALSE)) &gt; Q$1, (Assumptions!$B$8)*(Q$1) + (Assumptions!$B$9)*MAX(0,  (HLOOKUP(Q$2,Earnings!$G$2:$BC$81,('Yearly Pension'!$A42)+1, FALSE)) - Q$1), ((Assumptions!$B$8)*'Yearly Pension'!Q$1))))</f>
        <v>0</v>
      </c>
      <c r="R42" s="6">
        <f>(HLOOKUP('Yearly Pension'!R$2,'Credited Service'!$G$1:$BC$80,$A42+1,FALSE)) * (IF($B42=500, (Assumptions!$B$7)*12, IF((HLOOKUP(R$2,Earnings!$G$2:$BC$81,('Yearly Pension'!$A42)+1, FALSE)) &gt; R$1, (Assumptions!$B$8)*(R$1) + (Assumptions!$B$9)*MAX(0,  (HLOOKUP(R$2,Earnings!$G$2:$BC$81,('Yearly Pension'!$A42)+1, FALSE)) - R$1), ((Assumptions!$B$8)*'Yearly Pension'!R$1))))</f>
        <v>0</v>
      </c>
      <c r="S42" s="6">
        <f>(HLOOKUP('Yearly Pension'!S$2,'Credited Service'!$G$1:$BC$80,$A42+1,FALSE)) * (IF($B42=500, (Assumptions!$B$7)*12, IF((HLOOKUP(S$2,Earnings!$G$2:$BC$81,('Yearly Pension'!$A42)+1, FALSE)) &gt; S$1, (Assumptions!$B$8)*(S$1) + (Assumptions!$B$9)*MAX(0,  (HLOOKUP(S$2,Earnings!$G$2:$BC$81,('Yearly Pension'!$A42)+1, FALSE)) - S$1), ((Assumptions!$B$8)*'Yearly Pension'!S$1))))</f>
        <v>0</v>
      </c>
      <c r="T42" s="6">
        <f>(HLOOKUP('Yearly Pension'!T$2,'Credited Service'!$G$1:$BC$80,$A42+1,FALSE)) * (IF($B42=500, (Assumptions!$B$7)*12, IF((HLOOKUP(T$2,Earnings!$G$2:$BC$81,('Yearly Pension'!$A42)+1, FALSE)) &gt; T$1, (Assumptions!$B$8)*(T$1) + (Assumptions!$B$9)*MAX(0,  (HLOOKUP(T$2,Earnings!$G$2:$BC$81,('Yearly Pension'!$A42)+1, FALSE)) - T$1), ((Assumptions!$B$8)*'Yearly Pension'!T$1))))</f>
        <v>0</v>
      </c>
      <c r="U42" s="6">
        <f>(HLOOKUP('Yearly Pension'!U$2,'Credited Service'!$G$1:$BC$80,$A42+1,FALSE)) * (IF($B42=500, (Assumptions!$B$7)*12, IF((HLOOKUP(U$2,Earnings!$G$2:$BC$81,('Yearly Pension'!$A42)+1, FALSE)) &gt; U$1, (Assumptions!$B$8)*(U$1) + (Assumptions!$B$9)*MAX(0,  (HLOOKUP(U$2,Earnings!$G$2:$BC$81,('Yearly Pension'!$A42)+1, FALSE)) - U$1), ((Assumptions!$B$8)*'Yearly Pension'!U$1))))</f>
        <v>0</v>
      </c>
      <c r="V42" s="6">
        <f>(HLOOKUP('Yearly Pension'!V$2,'Credited Service'!$G$1:$BC$80,$A42+1,FALSE)) * (IF($B42=500, (Assumptions!$B$7)*12, IF((HLOOKUP(V$2,Earnings!$G$2:$BC$81,('Yearly Pension'!$A42)+1, FALSE)) &gt; V$1, (Assumptions!$B$8)*(V$1) + (Assumptions!$B$9)*MAX(0,  (HLOOKUP(V$2,Earnings!$G$2:$BC$81,('Yearly Pension'!$A42)+1, FALSE)) - V$1), ((Assumptions!$B$8)*'Yearly Pension'!V$1))))</f>
        <v>0</v>
      </c>
      <c r="W42" s="6">
        <f>(HLOOKUP('Yearly Pension'!W$2,'Credited Service'!$G$1:$BC$80,$A42+1,FALSE)) * (IF($B42=500, (Assumptions!$B$7)*12, IF((HLOOKUP(W$2,Earnings!$G$2:$BC$81,('Yearly Pension'!$A42)+1, FALSE)) &gt; W$1, (Assumptions!$B$8)*(W$1) + (Assumptions!$B$9)*MAX(0,  (HLOOKUP(W$2,Earnings!$G$2:$BC$81,('Yearly Pension'!$A42)+1, FALSE)) - W$1), ((Assumptions!$B$8)*'Yearly Pension'!W$1))))</f>
        <v>0</v>
      </c>
      <c r="X42" s="6">
        <f>(HLOOKUP('Yearly Pension'!X$2,'Credited Service'!$G$1:$BC$80,$A42+1,FALSE)) * (IF($B42=500, (Assumptions!$B$7)*12, IF((HLOOKUP(X$2,Earnings!$G$2:$BC$81,('Yearly Pension'!$A42)+1, FALSE)) &gt; X$1, (Assumptions!$B$8)*(X$1) + (Assumptions!$B$9)*MAX(0,  (HLOOKUP(X$2,Earnings!$G$2:$BC$81,('Yearly Pension'!$A42)+1, FALSE)) - X$1), ((Assumptions!$B$8)*'Yearly Pension'!X$1))))</f>
        <v>0</v>
      </c>
      <c r="Y42" s="6">
        <f>(HLOOKUP('Yearly Pension'!Y$2,'Credited Service'!$G$1:$BC$80,$A42+1,FALSE)) * (IF($B42=500, (Assumptions!$B$7)*12, IF((HLOOKUP(Y$2,Earnings!$G$2:$BC$81,('Yearly Pension'!$A42)+1, FALSE)) &gt; Y$1, (Assumptions!$B$8)*(Y$1) + (Assumptions!$B$9)*MAX(0,  (HLOOKUP(Y$2,Earnings!$G$2:$BC$81,('Yearly Pension'!$A42)+1, FALSE)) - Y$1), ((Assumptions!$B$8)*'Yearly Pension'!Y$1))))</f>
        <v>0</v>
      </c>
      <c r="Z42" s="6">
        <f>(HLOOKUP('Yearly Pension'!Z$2,'Credited Service'!$G$1:$BC$80,$A42+1,FALSE)) * (IF($B42=500, (Assumptions!$B$7)*12, IF((HLOOKUP(Z$2,Earnings!$G$2:$BC$81,('Yearly Pension'!$A42)+1, FALSE)) &gt; Z$1, (Assumptions!$B$8)*(Z$1) + (Assumptions!$B$9)*MAX(0,  (HLOOKUP(Z$2,Earnings!$G$2:$BC$81,('Yearly Pension'!$A42)+1, FALSE)) - Z$1), ((Assumptions!$B$8)*'Yearly Pension'!Z$1))))</f>
        <v>0</v>
      </c>
      <c r="AA42" s="6">
        <f>(HLOOKUP('Yearly Pension'!AA$2,'Credited Service'!$G$1:$BC$80,$A42+1,FALSE)) * (IF($B42=500, (Assumptions!$B$7)*12, IF((HLOOKUP(AA$2,Earnings!$G$2:$BC$81,('Yearly Pension'!$A42)+1, FALSE)) &gt; AA$1, (Assumptions!$B$8)*(AA$1) + (Assumptions!$B$9)*MAX(0,  (HLOOKUP(AA$2,Earnings!$G$2:$BC$81,('Yearly Pension'!$A42)+1, FALSE)) - AA$1), ((Assumptions!$B$8)*'Yearly Pension'!AA$1))))</f>
        <v>0</v>
      </c>
      <c r="AB42" s="6">
        <f>(HLOOKUP('Yearly Pension'!AB$2,'Credited Service'!$G$1:$BC$80,$A42+1,FALSE)) * (IF($B42=500, (Assumptions!$B$7)*12, IF((HLOOKUP(AB$2,Earnings!$G$2:$BC$81,('Yearly Pension'!$A42)+1, FALSE)) &gt; AB$1, (Assumptions!$B$8)*(AB$1) + (Assumptions!$B$9)*MAX(0,  (HLOOKUP(AB$2,Earnings!$G$2:$BC$81,('Yearly Pension'!$A42)+1, FALSE)) - AB$1), ((Assumptions!$B$8)*'Yearly Pension'!AB$1))))</f>
        <v>0</v>
      </c>
      <c r="AC42" s="6">
        <f>(HLOOKUP('Yearly Pension'!AC$2,'Credited Service'!$G$1:$BC$80,$A42+1,FALSE)) * (IF($B42=500, (Assumptions!$B$7)*12, IF((HLOOKUP(AC$2,Earnings!$G$2:$BC$81,('Yearly Pension'!$A42)+1, FALSE)) &gt; AC$1, (Assumptions!$B$8)*(AC$1) + (Assumptions!$B$9)*MAX(0,  (HLOOKUP(AC$2,Earnings!$G$2:$BC$81,('Yearly Pension'!$A42)+1, FALSE)) - AC$1), ((Assumptions!$B$8)*'Yearly Pension'!AC$1))))</f>
        <v>0</v>
      </c>
      <c r="AD42" s="6">
        <f>(HLOOKUP('Yearly Pension'!AD$2,'Credited Service'!$G$1:$BC$80,$A42+1,FALSE)) * (IF($B42=500, (Assumptions!$B$7)*12, IF((HLOOKUP(AD$2,Earnings!$G$2:$BC$81,('Yearly Pension'!$A42)+1, FALSE)) &gt; AD$1, (Assumptions!$B$8)*(AD$1) + (Assumptions!$B$9)*MAX(0,  (HLOOKUP(AD$2,Earnings!$G$2:$BC$81,('Yearly Pension'!$A42)+1, FALSE)) - AD$1), ((Assumptions!$B$8)*'Yearly Pension'!AD$1))))</f>
        <v>532.12540715227419</v>
      </c>
      <c r="AE42" s="6">
        <f>(HLOOKUP('Yearly Pension'!AE$2,'Credited Service'!$G$1:$BC$80,$A42+1,FALSE)) * (IF($B42=500, (Assumptions!$B$7)*12, IF((HLOOKUP(AE$2,Earnings!$G$2:$BC$81,('Yearly Pension'!$A42)+1, FALSE)) &gt; AE$1, (Assumptions!$B$8)*(AE$1) + (Assumptions!$B$9)*MAX(0,  (HLOOKUP(AE$2,Earnings!$G$2:$BC$81,('Yearly Pension'!$A42)+1, FALSE)) - AE$1), ((Assumptions!$B$8)*'Yearly Pension'!AE$1))))</f>
        <v>743.02616458448688</v>
      </c>
      <c r="AF42" s="6">
        <f>(HLOOKUP('Yearly Pension'!AF$2,'Credited Service'!$G$1:$BC$80,$A42+1,FALSE)) * (IF($B42=500, (Assumptions!$B$7)*12, IF((HLOOKUP(AF$2,Earnings!$G$2:$BC$81,('Yearly Pension'!$A42)+1, FALSE)) &gt; AF$1, (Assumptions!$B$8)*(AF$1) + (Assumptions!$B$9)*MAX(0,  (HLOOKUP(AF$2,Earnings!$G$2:$BC$81,('Yearly Pension'!$A42)+1, FALSE)) - AF$1), ((Assumptions!$B$8)*'Yearly Pension'!AF$1))))</f>
        <v>777.43201116786622</v>
      </c>
      <c r="AG42" s="6">
        <f>(HLOOKUP('Yearly Pension'!AG$2,'Credited Service'!$G$1:$BC$80,$A42+1,FALSE)) * (IF($B42=500, (Assumptions!$B$7)*12, IF((HLOOKUP(AG$2,Earnings!$G$2:$BC$81,('Yearly Pension'!$A42)+1, FALSE)) &gt; AG$1, (Assumptions!$B$8)*(AG$1) + (Assumptions!$B$9)*MAX(0,  (HLOOKUP(AG$2,Earnings!$G$2:$BC$81,('Yearly Pension'!$A42)+1, FALSE)) - AG$1), ((Assumptions!$B$8)*'Yearly Pension'!AG$1))))</f>
        <v>813.41889161458084</v>
      </c>
      <c r="AH42" s="6">
        <f>(HLOOKUP('Yearly Pension'!AH$2,'Credited Service'!$G$1:$BC$80,$A42+1,FALSE)) * (IF($B42=500, (Assumptions!$B$7)*12, IF((HLOOKUP(AH$2,Earnings!$G$2:$BC$81,('Yearly Pension'!$A42)+1, FALSE)) &gt; AH$1, (Assumptions!$B$8)*(AH$1) + (Assumptions!$B$9)*MAX(0,  (HLOOKUP(AH$2,Earnings!$G$2:$BC$81,('Yearly Pension'!$A42)+1, FALSE)) - AH$1), ((Assumptions!$B$8)*'Yearly Pension'!AH$1))))</f>
        <v>852.33004727916409</v>
      </c>
      <c r="AI42" s="6">
        <f>(HLOOKUP('Yearly Pension'!AI$2,'Credited Service'!$G$1:$BC$80,$A42+1,FALSE)) * (IF($B42=500, (Assumptions!$B$7)*12, IF((HLOOKUP(AI$2,Earnings!$G$2:$BC$81,('Yearly Pension'!$A42)+1, FALSE)) &gt; AI$1, (Assumptions!$B$8)*(AI$1) + (Assumptions!$B$9)*MAX(0,  (HLOOKUP(AI$2,Earnings!$G$2:$BC$81,('Yearly Pension'!$A42)+1, FALSE)) - AI$1), ((Assumptions!$B$8)*'Yearly Pension'!AI$1))))</f>
        <v>892.95124917033058</v>
      </c>
      <c r="AJ42" s="6">
        <f>(HLOOKUP('Yearly Pension'!AJ$2,'Credited Service'!$G$1:$BC$80,$A42+1,FALSE)) * (IF($B42=500, (Assumptions!$B$7)*12, IF((HLOOKUP(AJ$2,Earnings!$G$2:$BC$81,('Yearly Pension'!$A42)+1, FALSE)) &gt; AJ$1, (Assumptions!$B$8)*(AJ$1) + (Assumptions!$B$9)*MAX(0,  (HLOOKUP(AJ$2,Earnings!$G$2:$BC$81,('Yearly Pension'!$A42)+1, FALSE)) - AJ$1), ((Assumptions!$B$8)*'Yearly Pension'!AJ$1))))</f>
        <v>932.79089913714392</v>
      </c>
      <c r="AK42" s="6">
        <f>(HLOOKUP('Yearly Pension'!AK$2,'Credited Service'!$G$1:$BC$80,$A42+1,FALSE)) * (IF($B42=500, (Assumptions!$B$7)*12, IF((HLOOKUP(AK$2,Earnings!$G$2:$BC$81,('Yearly Pension'!$A42)+1, FALSE)) &gt; AK$1, (Assumptions!$B$8)*(AK$1) + (Assumptions!$B$9)*MAX(0,  (HLOOKUP(AK$2,Earnings!$G$2:$BC$81,('Yearly Pension'!$A42)+1, FALSE)) - AK$1), ((Assumptions!$B$8)*'Yearly Pension'!AK$1))))</f>
        <v>970.64013510262976</v>
      </c>
      <c r="AL42" s="6">
        <f>(HLOOKUP('Yearly Pension'!AL$2,'Credited Service'!$G$1:$BC$80,$A42+1,FALSE)) * (IF($B42=500, (Assumptions!$B$7)*12, IF((HLOOKUP(AL$2,Earnings!$G$2:$BC$81,('Yearly Pension'!$A42)+1, FALSE)) &gt; AL$1, (Assumptions!$B$8)*(AL$1) + (Assumptions!$B$9)*MAX(0,  (HLOOKUP(AL$2,Earnings!$G$2:$BC$81,('Yearly Pension'!$A42)+1, FALSE)) - AL$1), ((Assumptions!$B$8)*'Yearly Pension'!AL$1))))</f>
        <v>1012.9729405067351</v>
      </c>
      <c r="AM42" s="6">
        <f>(HLOOKUP('Yearly Pension'!AM$2,'Credited Service'!$G$1:$BC$80,$A42+1,FALSE)) * (IF($B42=500, (Assumptions!$B$7)*12, IF((HLOOKUP(AM$2,Earnings!$G$2:$BC$81,('Yearly Pension'!$A42)+1, FALSE)) &gt; AM$1, (Assumptions!$B$8)*(AM$1) + (Assumptions!$B$9)*MAX(0,  (HLOOKUP(AM$2,Earnings!$G$2:$BC$81,('Yearly Pension'!$A42)+1, FALSE)) - AM$1), ((Assumptions!$B$8)*'Yearly Pension'!AM$1))))</f>
        <v>1056.0262581270044</v>
      </c>
      <c r="AN42" s="6">
        <f>(HLOOKUP('Yearly Pension'!AN$2,'Credited Service'!$G$1:$BC$80,$A42+1,FALSE)) * (IF($B42=500, (Assumptions!$B$7)*12, IF((HLOOKUP(AN$2,Earnings!$G$2:$BC$81,('Yearly Pension'!$A42)+1, FALSE)) &gt; AN$1, (Assumptions!$B$8)*(AN$1) + (Assumptions!$B$9)*MAX(0,  (HLOOKUP(AN$2,Earnings!$G$2:$BC$81,('Yearly Pension'!$A42)+1, FALSE)) - AN$1), ((Assumptions!$B$8)*'Yearly Pension'!AN$1))))</f>
        <v>1104.3601084520847</v>
      </c>
      <c r="AO42" s="6">
        <f>(HLOOKUP('Yearly Pension'!AO$2,'Credited Service'!$G$1:$BC$80,$A42+1,FALSE)) * (IF($B42=500, (Assumptions!$B$7)*12, IF((HLOOKUP(AO$2,Earnings!$G$2:$BC$81,('Yearly Pension'!$A42)+1, FALSE)) &gt; AO$1, (Assumptions!$B$8)*(AO$1) + (Assumptions!$B$9)*MAX(0,  (HLOOKUP(AO$2,Earnings!$G$2:$BC$81,('Yearly Pension'!$A42)+1, FALSE)) - AO$1), ((Assumptions!$B$8)*'Yearly Pension'!AO$1))))</f>
        <v>1153.5777127901683</v>
      </c>
      <c r="AP42" s="6">
        <f>(HLOOKUP('Yearly Pension'!AP$2,'Credited Service'!$G$1:$BC$80,$A42+1,FALSE)) * (IF($B42=500, (Assumptions!$B$7)*12, IF((HLOOKUP(AP$2,Earnings!$G$2:$BC$81,('Yearly Pension'!$A42)+1, FALSE)) &gt; AP$1, (Assumptions!$B$8)*(AP$1) + (Assumptions!$B$9)*MAX(0,  (HLOOKUP(AP$2,Earnings!$G$2:$BC$81,('Yearly Pension'!$A42)+1, FALSE)) - AP$1), ((Assumptions!$B$8)*'Yearly Pension'!AP$1))))</f>
        <v>1200.5656213017751</v>
      </c>
      <c r="AQ42" s="6">
        <f>(HLOOKUP('Yearly Pension'!AQ$2,'Credited Service'!$G$1:$BC$80,$A42+1,FALSE)) * (IF($B42=500, (Assumptions!$B$7)*12, IF((HLOOKUP(AQ$2,Earnings!$G$2:$BC$81,('Yearly Pension'!$A42)+1, FALSE)) &gt; AQ$1, (Assumptions!$B$8)*(AQ$1) + (Assumptions!$B$9)*MAX(0,  (HLOOKUP(AQ$2,Earnings!$G$2:$BC$81,('Yearly Pension'!$A42)+1, FALSE)) - AQ$1), ((Assumptions!$B$8)*'Yearly Pension'!AQ$1))))</f>
        <v>1255.0138461538463</v>
      </c>
      <c r="AR42" s="6">
        <f>(HLOOKUP('Yearly Pension'!AR$2,'Credited Service'!$G$1:$BC$80,$A42+1,FALSE)) * (IF($B42=500, (Assumptions!$B$7)*12, IF((HLOOKUP(AR$2,Earnings!$G$2:$BC$81,('Yearly Pension'!$A42)+1, FALSE)) &gt; AR$1, (Assumptions!$B$8)*(AR$1) + (Assumptions!$B$9)*MAX(0,  (HLOOKUP(AR$2,Earnings!$G$2:$BC$81,('Yearly Pension'!$A42)+1, FALSE)) - AR$1), ((Assumptions!$B$8)*'Yearly Pension'!AR$1))))</f>
        <v>1309.3360000000002</v>
      </c>
      <c r="AS42" s="6">
        <f>(HLOOKUP('Yearly Pension'!AS$2,'Credited Service'!$G$1:$BC$80,$A42+1,FALSE)) * (IF($B42=500, (Assumptions!$B$7)*12, IF((HLOOKUP(AS$2,Earnings!$G$2:$BC$81,('Yearly Pension'!$A42)+1, FALSE)) &gt; AS$1, (Assumptions!$B$8)*(AS$1) + (Assumptions!$B$9)*MAX(0,  (HLOOKUP(AS$2,Earnings!$G$2:$BC$81,('Yearly Pension'!$A42)+1, FALSE)) - AS$1), ((Assumptions!$B$8)*'Yearly Pension'!AS$1))))</f>
        <v>1351.65608</v>
      </c>
      <c r="AT42" s="6">
        <f>(HLOOKUP('Yearly Pension'!AT$2,'Credited Service'!$G$1:$BC$80,$A42+1,FALSE)) * (IF($B42=500, (Assumptions!$B$7)*12, IF((HLOOKUP(AT$2,Earnings!$G$2:$BC$81,('Yearly Pension'!$A42)+1, FALSE)) &gt; AT$1, (Assumptions!$B$8)*(AT$1) + (Assumptions!$B$9)*MAX(0,  (HLOOKUP(AT$2,Earnings!$G$2:$BC$81,('Yearly Pension'!$A42)+1, FALSE)) - AT$1), ((Assumptions!$B$8)*'Yearly Pension'!AT$1))))</f>
        <v>1394.1769624000003</v>
      </c>
      <c r="AU42" s="6">
        <f>(HLOOKUP('Yearly Pension'!AU$2,'Credited Service'!$G$1:$BC$80,$A42+1,FALSE)) * (IF($B42=500, (Assumptions!$B$7)*12, IF((HLOOKUP(AU$2,Earnings!$G$2:$BC$81,('Yearly Pension'!$A42)+1, FALSE)) &gt; AU$1, (Assumptions!$B$8)*(AU$1) + (Assumptions!$B$9)*MAX(0,  (HLOOKUP(AU$2,Earnings!$G$2:$BC$81,('Yearly Pension'!$A42)+1, FALSE)) - AU$1), ((Assumptions!$B$8)*'Yearly Pension'!AU$1))))</f>
        <v>1443.9830712720004</v>
      </c>
      <c r="AV42" s="6">
        <f>(HLOOKUP('Yearly Pension'!AV$2,'Credited Service'!$G$1:$BC$80,$A42+1,FALSE)) * (IF($B42=500, (Assumptions!$B$7)*12, IF((HLOOKUP(AV$2,Earnings!$G$2:$BC$81,('Yearly Pension'!$A42)+1, FALSE)) &gt; AV$1, (Assumptions!$B$8)*(AV$1) + (Assumptions!$B$9)*MAX(0,  (HLOOKUP(AV$2,Earnings!$G$2:$BC$81,('Yearly Pension'!$A42)+1, FALSE)) - AV$1), ((Assumptions!$B$8)*'Yearly Pension'!AV$1))))</f>
        <v>1494.0801634101604</v>
      </c>
      <c r="AW42" s="6">
        <f>(HLOOKUP('Yearly Pension'!AW$2,'Credited Service'!$G$1:$BC$80,$A42+1,FALSE)) * (IF($B42=500, (Assumptions!$B$7)*12, IF((HLOOKUP(AW$2,Earnings!$G$2:$BC$81,('Yearly Pension'!$A42)+1, FALSE)) &gt; AW$1, (Assumptions!$B$8)*(AW$1) + (Assumptions!$B$9)*MAX(0,  (HLOOKUP(AW$2,Earnings!$G$2:$BC$81,('Yearly Pension'!$A42)+1, FALSE)) - AW$1), ((Assumptions!$B$8)*'Yearly Pension'!AW$1))))</f>
        <v>1540.0353683124654</v>
      </c>
      <c r="AX42" s="6">
        <f>(HLOOKUP('Yearly Pension'!AX$2,'Credited Service'!$G$1:$BC$80,$A42+1,FALSE)) * (IF($B42=500, (Assumptions!$B$7)*12, IF((HLOOKUP(AX$2,Earnings!$G$2:$BC$81,('Yearly Pension'!$A42)+1, FALSE)) &gt; AX$1, (Assumptions!$B$8)*(AX$1) + (Assumptions!$B$9)*MAX(0,  (HLOOKUP(AX$2,Earnings!$G$2:$BC$81,('Yearly Pension'!$A42)+1, FALSE)) - AX$1), ((Assumptions!$B$8)*'Yearly Pension'!AX$1))))</f>
        <v>527.52094312061308</v>
      </c>
      <c r="AY42" s="6">
        <f>(HLOOKUP('Yearly Pension'!AY$2,'Credited Service'!$G$1:$BC$80,$A42+1,FALSE)) * (IF($B42=500, (Assumptions!$B$7)*12, IF((HLOOKUP(AY$2,Earnings!$G$2:$BC$81,('Yearly Pension'!$A42)+1, FALSE)) &gt; AY$1, (Assumptions!$B$8)*(AY$1) + (Assumptions!$B$9)*MAX(0,  (HLOOKUP(AY$2,Earnings!$G$2:$BC$81,('Yearly Pension'!$A42)+1, FALSE)) - AY$1), ((Assumptions!$B$8)*'Yearly Pension'!AY$1))))</f>
        <v>0</v>
      </c>
      <c r="AZ42" s="6">
        <f>(HLOOKUP('Yearly Pension'!AZ$2,'Credited Service'!$G$1:$BC$80,$A42+1,FALSE)) * (IF($B42=500, (Assumptions!$B$7)*12, IF((HLOOKUP(AZ$2,Earnings!$G$2:$BC$81,('Yearly Pension'!$A42)+1, FALSE)) &gt; AZ$1, (Assumptions!$B$8)*(AZ$1) + (Assumptions!$B$9)*MAX(0,  (HLOOKUP(AZ$2,Earnings!$G$2:$BC$81,('Yearly Pension'!$A42)+1, FALSE)) - AZ$1), ((Assumptions!$B$8)*'Yearly Pension'!AZ$1))))</f>
        <v>0</v>
      </c>
      <c r="BA42" s="6">
        <f>(HLOOKUP('Yearly Pension'!BA$2,'Credited Service'!$G$1:$BC$80,$A42+1,FALSE)) * (IF($B42=500, (Assumptions!$B$7)*12, IF((HLOOKUP(BA$2,Earnings!$G$2:$BC$81,('Yearly Pension'!$A42)+1, FALSE)) &gt; BA$1, (Assumptions!$B$8)*(BA$1) + (Assumptions!$B$9)*MAX(0,  (HLOOKUP(BA$2,Earnings!$G$2:$BC$81,('Yearly Pension'!$A42)+1, FALSE)) - BA$1), ((Assumptions!$B$8)*'Yearly Pension'!BA$1))))</f>
        <v>0</v>
      </c>
      <c r="BB42" s="6">
        <f>(HLOOKUP('Yearly Pension'!BB$2,'Credited Service'!$G$1:$BC$80,$A42+1,FALSE)) * (IF($B42=500, (Assumptions!$B$7)*12, IF((HLOOKUP(BB$2,Earnings!$G$2:$BC$81,('Yearly Pension'!$A42)+1, FALSE)) &gt; BB$1, (Assumptions!$B$8)*(BB$1) + (Assumptions!$B$9)*MAX(0,  (HLOOKUP(BB$2,Earnings!$G$2:$BC$81,('Yearly Pension'!$A42)+1, FALSE)) - BB$1), ((Assumptions!$B$8)*'Yearly Pension'!BB$1))))</f>
        <v>0</v>
      </c>
      <c r="BC42" s="6">
        <f>(HLOOKUP('Yearly Pension'!BC$2,'Credited Service'!$G$1:$BC$80,$A42+1,FALSE)) * (IF($B42=500, (Assumptions!$B$7)*12, IF((HLOOKUP(BC$2,Earnings!$G$2:$BC$81,('Yearly Pension'!$A42)+1, FALSE)) &gt; BC$1, (Assumptions!$B$8)*(BC$1) + (Assumptions!$B$9)*MAX(0,  (HLOOKUP(BC$2,Earnings!$G$2:$BC$81,('Yearly Pension'!$A42)+1, FALSE)) - BC$1), ((Assumptions!$B$8)*'Yearly Pension'!BC$1))))</f>
        <v>0</v>
      </c>
    </row>
    <row r="43" spans="1:55" x14ac:dyDescent="0.25">
      <c r="A43" s="204">
        <v>41</v>
      </c>
      <c r="B43" s="1">
        <v>600</v>
      </c>
      <c r="C43" s="1">
        <v>721</v>
      </c>
      <c r="D43" s="3">
        <v>36262</v>
      </c>
      <c r="E43" s="3">
        <v>45689</v>
      </c>
      <c r="G43" s="6">
        <f>(HLOOKUP('Yearly Pension'!G$2,'Credited Service'!$G$1:$BC$80,$A43+1,FALSE)) * (IF($B43=500, (Assumptions!$B$7)*12, IF((HLOOKUP(G$2,Earnings!$G$2:$BC$81,('Yearly Pension'!$A43)+1, FALSE)) &gt; G$1, (Assumptions!$B$8)*(G$1) + (Assumptions!$B$9)*MAX(0,  (HLOOKUP(G$2,Earnings!$G$2:$BC$81,('Yearly Pension'!$A43)+1, FALSE)) - G$1), ((Assumptions!$B$8)*'Yearly Pension'!G$1))))</f>
        <v>0</v>
      </c>
      <c r="H43" s="6">
        <f>(HLOOKUP('Yearly Pension'!H$2,'Credited Service'!$G$1:$BC$80,$A43+1,FALSE)) * (IF($B43=500, (Assumptions!$B$7)*12, IF((HLOOKUP(H$2,Earnings!$G$2:$BC$81,('Yearly Pension'!$A43)+1, FALSE)) &gt; H$1, (Assumptions!$B$8)*(H$1) + (Assumptions!$B$9)*MAX(0,  (HLOOKUP(H$2,Earnings!$G$2:$BC$81,('Yearly Pension'!$A43)+1, FALSE)) - H$1), ((Assumptions!$B$8)*'Yearly Pension'!H$1))))</f>
        <v>0</v>
      </c>
      <c r="I43" s="6">
        <f>(HLOOKUP('Yearly Pension'!I$2,'Credited Service'!$G$1:$BC$80,$A43+1,FALSE)) * (IF($B43=500, (Assumptions!$B$7)*12, IF((HLOOKUP(I$2,Earnings!$G$2:$BC$81,('Yearly Pension'!$A43)+1, FALSE)) &gt; I$1, (Assumptions!$B$8)*(I$1) + (Assumptions!$B$9)*MAX(0,  (HLOOKUP(I$2,Earnings!$G$2:$BC$81,('Yearly Pension'!$A43)+1, FALSE)) - I$1), ((Assumptions!$B$8)*'Yearly Pension'!I$1))))</f>
        <v>0</v>
      </c>
      <c r="J43" s="6">
        <f>(HLOOKUP('Yearly Pension'!J$2,'Credited Service'!$G$1:$BC$80,$A43+1,FALSE)) * (IF($B43=500, (Assumptions!$B$7)*12, IF((HLOOKUP(J$2,Earnings!$G$2:$BC$81,('Yearly Pension'!$A43)+1, FALSE)) &gt; J$1, (Assumptions!$B$8)*(J$1) + (Assumptions!$B$9)*MAX(0,  (HLOOKUP(J$2,Earnings!$G$2:$BC$81,('Yearly Pension'!$A43)+1, FALSE)) - J$1), ((Assumptions!$B$8)*'Yearly Pension'!J$1))))</f>
        <v>0</v>
      </c>
      <c r="K43" s="6">
        <f>(HLOOKUP('Yearly Pension'!K$2,'Credited Service'!$G$1:$BC$80,$A43+1,FALSE)) * (IF($B43=500, (Assumptions!$B$7)*12, IF((HLOOKUP(K$2,Earnings!$G$2:$BC$81,('Yearly Pension'!$A43)+1, FALSE)) &gt; K$1, (Assumptions!$B$8)*(K$1) + (Assumptions!$B$9)*MAX(0,  (HLOOKUP(K$2,Earnings!$G$2:$BC$81,('Yearly Pension'!$A43)+1, FALSE)) - K$1), ((Assumptions!$B$8)*'Yearly Pension'!K$1))))</f>
        <v>0</v>
      </c>
      <c r="L43" s="6">
        <f>(HLOOKUP('Yearly Pension'!L$2,'Credited Service'!$G$1:$BC$80,$A43+1,FALSE)) * (IF($B43=500, (Assumptions!$B$7)*12, IF((HLOOKUP(L$2,Earnings!$G$2:$BC$81,('Yearly Pension'!$A43)+1, FALSE)) &gt; L$1, (Assumptions!$B$8)*(L$1) + (Assumptions!$B$9)*MAX(0,  (HLOOKUP(L$2,Earnings!$G$2:$BC$81,('Yearly Pension'!$A43)+1, FALSE)) - L$1), ((Assumptions!$B$8)*'Yearly Pension'!L$1))))</f>
        <v>0</v>
      </c>
      <c r="M43" s="6">
        <f>(HLOOKUP('Yearly Pension'!M$2,'Credited Service'!$G$1:$BC$80,$A43+1,FALSE)) * (IF($B43=500, (Assumptions!$B$7)*12, IF((HLOOKUP(M$2,Earnings!$G$2:$BC$81,('Yearly Pension'!$A43)+1, FALSE)) &gt; M$1, (Assumptions!$B$8)*(M$1) + (Assumptions!$B$9)*MAX(0,  (HLOOKUP(M$2,Earnings!$G$2:$BC$81,('Yearly Pension'!$A43)+1, FALSE)) - M$1), ((Assumptions!$B$8)*'Yearly Pension'!M$1))))</f>
        <v>0</v>
      </c>
      <c r="N43" s="6">
        <f>(HLOOKUP('Yearly Pension'!N$2,'Credited Service'!$G$1:$BC$80,$A43+1,FALSE)) * (IF($B43=500, (Assumptions!$B$7)*12, IF((HLOOKUP(N$2,Earnings!$G$2:$BC$81,('Yearly Pension'!$A43)+1, FALSE)) &gt; N$1, (Assumptions!$B$8)*(N$1) + (Assumptions!$B$9)*MAX(0,  (HLOOKUP(N$2,Earnings!$G$2:$BC$81,('Yearly Pension'!$A43)+1, FALSE)) - N$1), ((Assumptions!$B$8)*'Yearly Pension'!N$1))))</f>
        <v>0</v>
      </c>
      <c r="O43" s="6">
        <f>(HLOOKUP('Yearly Pension'!O$2,'Credited Service'!$G$1:$BC$80,$A43+1,FALSE)) * (IF($B43=500, (Assumptions!$B$7)*12, IF((HLOOKUP(O$2,Earnings!$G$2:$BC$81,('Yearly Pension'!$A43)+1, FALSE)) &gt; O$1, (Assumptions!$B$8)*(O$1) + (Assumptions!$B$9)*MAX(0,  (HLOOKUP(O$2,Earnings!$G$2:$BC$81,('Yearly Pension'!$A43)+1, FALSE)) - O$1), ((Assumptions!$B$8)*'Yearly Pension'!O$1))))</f>
        <v>0</v>
      </c>
      <c r="P43" s="6">
        <f>(HLOOKUP('Yearly Pension'!P$2,'Credited Service'!$G$1:$BC$80,$A43+1,FALSE)) * (IF($B43=500, (Assumptions!$B$7)*12, IF((HLOOKUP(P$2,Earnings!$G$2:$BC$81,('Yearly Pension'!$A43)+1, FALSE)) &gt; P$1, (Assumptions!$B$8)*(P$1) + (Assumptions!$B$9)*MAX(0,  (HLOOKUP(P$2,Earnings!$G$2:$BC$81,('Yearly Pension'!$A43)+1, FALSE)) - P$1), ((Assumptions!$B$8)*'Yearly Pension'!P$1))))</f>
        <v>0</v>
      </c>
      <c r="Q43" s="6">
        <f>(HLOOKUP('Yearly Pension'!Q$2,'Credited Service'!$G$1:$BC$80,$A43+1,FALSE)) * (IF($B43=500, (Assumptions!$B$7)*12, IF((HLOOKUP(Q$2,Earnings!$G$2:$BC$81,('Yearly Pension'!$A43)+1, FALSE)) &gt; Q$1, (Assumptions!$B$8)*(Q$1) + (Assumptions!$B$9)*MAX(0,  (HLOOKUP(Q$2,Earnings!$G$2:$BC$81,('Yearly Pension'!$A43)+1, FALSE)) - Q$1), ((Assumptions!$B$8)*'Yearly Pension'!Q$1))))</f>
        <v>0</v>
      </c>
      <c r="R43" s="6">
        <f>(HLOOKUP('Yearly Pension'!R$2,'Credited Service'!$G$1:$BC$80,$A43+1,FALSE)) * (IF($B43=500, (Assumptions!$B$7)*12, IF((HLOOKUP(R$2,Earnings!$G$2:$BC$81,('Yearly Pension'!$A43)+1, FALSE)) &gt; R$1, (Assumptions!$B$8)*(R$1) + (Assumptions!$B$9)*MAX(0,  (HLOOKUP(R$2,Earnings!$G$2:$BC$81,('Yearly Pension'!$A43)+1, FALSE)) - R$1), ((Assumptions!$B$8)*'Yearly Pension'!R$1))))</f>
        <v>0</v>
      </c>
      <c r="S43" s="6">
        <f>(HLOOKUP('Yearly Pension'!S$2,'Credited Service'!$G$1:$BC$80,$A43+1,FALSE)) * (IF($B43=500, (Assumptions!$B$7)*12, IF((HLOOKUP(S$2,Earnings!$G$2:$BC$81,('Yearly Pension'!$A43)+1, FALSE)) &gt; S$1, (Assumptions!$B$8)*(S$1) + (Assumptions!$B$9)*MAX(0,  (HLOOKUP(S$2,Earnings!$G$2:$BC$81,('Yearly Pension'!$A43)+1, FALSE)) - S$1), ((Assumptions!$B$8)*'Yearly Pension'!S$1))))</f>
        <v>0</v>
      </c>
      <c r="T43" s="6">
        <f>(HLOOKUP('Yearly Pension'!T$2,'Credited Service'!$G$1:$BC$80,$A43+1,FALSE)) * (IF($B43=500, (Assumptions!$B$7)*12, IF((HLOOKUP(T$2,Earnings!$G$2:$BC$81,('Yearly Pension'!$A43)+1, FALSE)) &gt; T$1, (Assumptions!$B$8)*(T$1) + (Assumptions!$B$9)*MAX(0,  (HLOOKUP(T$2,Earnings!$G$2:$BC$81,('Yearly Pension'!$A43)+1, FALSE)) - T$1), ((Assumptions!$B$8)*'Yearly Pension'!T$1))))</f>
        <v>0</v>
      </c>
      <c r="U43" s="6">
        <f>(HLOOKUP('Yearly Pension'!U$2,'Credited Service'!$G$1:$BC$80,$A43+1,FALSE)) * (IF($B43=500, (Assumptions!$B$7)*12, IF((HLOOKUP(U$2,Earnings!$G$2:$BC$81,('Yearly Pension'!$A43)+1, FALSE)) &gt; U$1, (Assumptions!$B$8)*(U$1) + (Assumptions!$B$9)*MAX(0,  (HLOOKUP(U$2,Earnings!$G$2:$BC$81,('Yearly Pension'!$A43)+1, FALSE)) - U$1), ((Assumptions!$B$8)*'Yearly Pension'!U$1))))</f>
        <v>0</v>
      </c>
      <c r="V43" s="6">
        <f>(HLOOKUP('Yearly Pension'!V$2,'Credited Service'!$G$1:$BC$80,$A43+1,FALSE)) * (IF($B43=500, (Assumptions!$B$7)*12, IF((HLOOKUP(V$2,Earnings!$G$2:$BC$81,('Yearly Pension'!$A43)+1, FALSE)) &gt; V$1, (Assumptions!$B$8)*(V$1) + (Assumptions!$B$9)*MAX(0,  (HLOOKUP(V$2,Earnings!$G$2:$BC$81,('Yearly Pension'!$A43)+1, FALSE)) - V$1), ((Assumptions!$B$8)*'Yearly Pension'!V$1))))</f>
        <v>0</v>
      </c>
      <c r="W43" s="6">
        <f>(HLOOKUP('Yearly Pension'!W$2,'Credited Service'!$G$1:$BC$80,$A43+1,FALSE)) * (IF($B43=500, (Assumptions!$B$7)*12, IF((HLOOKUP(W$2,Earnings!$G$2:$BC$81,('Yearly Pension'!$A43)+1, FALSE)) &gt; W$1, (Assumptions!$B$8)*(W$1) + (Assumptions!$B$9)*MAX(0,  (HLOOKUP(W$2,Earnings!$G$2:$BC$81,('Yearly Pension'!$A43)+1, FALSE)) - W$1), ((Assumptions!$B$8)*'Yearly Pension'!W$1))))</f>
        <v>0</v>
      </c>
      <c r="X43" s="6">
        <f>(HLOOKUP('Yearly Pension'!X$2,'Credited Service'!$G$1:$BC$80,$A43+1,FALSE)) * (IF($B43=500, (Assumptions!$B$7)*12, IF((HLOOKUP(X$2,Earnings!$G$2:$BC$81,('Yearly Pension'!$A43)+1, FALSE)) &gt; X$1, (Assumptions!$B$8)*(X$1) + (Assumptions!$B$9)*MAX(0,  (HLOOKUP(X$2,Earnings!$G$2:$BC$81,('Yearly Pension'!$A43)+1, FALSE)) - X$1), ((Assumptions!$B$8)*'Yearly Pension'!X$1))))</f>
        <v>0</v>
      </c>
      <c r="Y43" s="6">
        <f>(HLOOKUP('Yearly Pension'!Y$2,'Credited Service'!$G$1:$BC$80,$A43+1,FALSE)) * (IF($B43=500, (Assumptions!$B$7)*12, IF((HLOOKUP(Y$2,Earnings!$G$2:$BC$81,('Yearly Pension'!$A43)+1, FALSE)) &gt; Y$1, (Assumptions!$B$8)*(Y$1) + (Assumptions!$B$9)*MAX(0,  (HLOOKUP(Y$2,Earnings!$G$2:$BC$81,('Yearly Pension'!$A43)+1, FALSE)) - Y$1), ((Assumptions!$B$8)*'Yearly Pension'!Y$1))))</f>
        <v>0</v>
      </c>
      <c r="Z43" s="6">
        <f>(HLOOKUP('Yearly Pension'!Z$2,'Credited Service'!$G$1:$BC$80,$A43+1,FALSE)) * (IF($B43=500, (Assumptions!$B$7)*12, IF((HLOOKUP(Z$2,Earnings!$G$2:$BC$81,('Yearly Pension'!$A43)+1, FALSE)) &gt; Z$1, (Assumptions!$B$8)*(Z$1) + (Assumptions!$B$9)*MAX(0,  (HLOOKUP(Z$2,Earnings!$G$2:$BC$81,('Yearly Pension'!$A43)+1, FALSE)) - Z$1), ((Assumptions!$B$8)*'Yearly Pension'!Z$1))))</f>
        <v>0</v>
      </c>
      <c r="AA43" s="6">
        <f>(HLOOKUP('Yearly Pension'!AA$2,'Credited Service'!$G$1:$BC$80,$A43+1,FALSE)) * (IF($B43=500, (Assumptions!$B$7)*12, IF((HLOOKUP(AA$2,Earnings!$G$2:$BC$81,('Yearly Pension'!$A43)+1, FALSE)) &gt; AA$1, (Assumptions!$B$8)*(AA$1) + (Assumptions!$B$9)*MAX(0,  (HLOOKUP(AA$2,Earnings!$G$2:$BC$81,('Yearly Pension'!$A43)+1, FALSE)) - AA$1), ((Assumptions!$B$8)*'Yearly Pension'!AA$1))))</f>
        <v>0</v>
      </c>
      <c r="AB43" s="6">
        <f>(HLOOKUP('Yearly Pension'!AB$2,'Credited Service'!$G$1:$BC$80,$A43+1,FALSE)) * (IF($B43=500, (Assumptions!$B$7)*12, IF((HLOOKUP(AB$2,Earnings!$G$2:$BC$81,('Yearly Pension'!$A43)+1, FALSE)) &gt; AB$1, (Assumptions!$B$8)*(AB$1) + (Assumptions!$B$9)*MAX(0,  (HLOOKUP(AB$2,Earnings!$G$2:$BC$81,('Yearly Pension'!$A43)+1, FALSE)) - AB$1), ((Assumptions!$B$8)*'Yearly Pension'!AB$1))))</f>
        <v>0</v>
      </c>
      <c r="AC43" s="6">
        <f>(HLOOKUP('Yearly Pension'!AC$2,'Credited Service'!$G$1:$BC$80,$A43+1,FALSE)) * (IF($B43=500, (Assumptions!$B$7)*12, IF((HLOOKUP(AC$2,Earnings!$G$2:$BC$81,('Yearly Pension'!$A43)+1, FALSE)) &gt; AC$1, (Assumptions!$B$8)*(AC$1) + (Assumptions!$B$9)*MAX(0,  (HLOOKUP(AC$2,Earnings!$G$2:$BC$81,('Yearly Pension'!$A43)+1, FALSE)) - AC$1), ((Assumptions!$B$8)*'Yearly Pension'!AC$1))))</f>
        <v>455.59762008393824</v>
      </c>
      <c r="AD43" s="6">
        <f>(HLOOKUP('Yearly Pension'!AD$2,'Credited Service'!$G$1:$BC$80,$A43+1,FALSE)) * (IF($B43=500, (Assumptions!$B$7)*12, IF((HLOOKUP(AD$2,Earnings!$G$2:$BC$81,('Yearly Pension'!$A43)+1, FALSE)) &gt; AD$1, (Assumptions!$B$8)*(AD$1) + (Assumptions!$B$9)*MAX(0,  (HLOOKUP(AD$2,Earnings!$G$2:$BC$81,('Yearly Pension'!$A43)+1, FALSE)) - AD$1), ((Assumptions!$B$8)*'Yearly Pension'!AD$1))))</f>
        <v>719.02668733094367</v>
      </c>
      <c r="AE43" s="6">
        <f>(HLOOKUP('Yearly Pension'!AE$2,'Credited Service'!$G$1:$BC$80,$A43+1,FALSE)) * (IF($B43=500, (Assumptions!$B$7)*12, IF((HLOOKUP(AE$2,Earnings!$G$2:$BC$81,('Yearly Pension'!$A43)+1, FALSE)) &gt; AE$1, (Assumptions!$B$8)*(AE$1) + (Assumptions!$B$9)*MAX(0,  (HLOOKUP(AE$2,Earnings!$G$2:$BC$81,('Yearly Pension'!$A43)+1, FALSE)) - AE$1), ((Assumptions!$B$8)*'Yearly Pension'!AE$1))))</f>
        <v>752.93335482418138</v>
      </c>
      <c r="AF43" s="6">
        <f>(HLOOKUP('Yearly Pension'!AF$2,'Credited Service'!$G$1:$BC$80,$A43+1,FALSE)) * (IF($B43=500, (Assumptions!$B$7)*12, IF((HLOOKUP(AF$2,Earnings!$G$2:$BC$81,('Yearly Pension'!$A43)+1, FALSE)) &gt; AF$1, (Assumptions!$B$8)*(AF$1) + (Assumptions!$B$9)*MAX(0,  (HLOOKUP(AF$2,Earnings!$G$2:$BC$81,('Yearly Pension'!$A43)+1, FALSE)) - AF$1), ((Assumptions!$B$8)*'Yearly Pension'!AF$1))))</f>
        <v>787.73548901714878</v>
      </c>
      <c r="AG43" s="6">
        <f>(HLOOKUP('Yearly Pension'!AG$2,'Credited Service'!$G$1:$BC$80,$A43+1,FALSE)) * (IF($B43=500, (Assumptions!$B$7)*12, IF((HLOOKUP(AG$2,Earnings!$G$2:$BC$81,('Yearly Pension'!$A43)+1, FALSE)) &gt; AG$1, (Assumptions!$B$8)*(AG$1) + (Assumptions!$B$9)*MAX(0,  (HLOOKUP(AG$2,Earnings!$G$2:$BC$81,('Yearly Pension'!$A43)+1, FALSE)) - AG$1), ((Assumptions!$B$8)*'Yearly Pension'!AG$1))))</f>
        <v>824.13450857783482</v>
      </c>
      <c r="AH43" s="6">
        <f>(HLOOKUP('Yearly Pension'!AH$2,'Credited Service'!$G$1:$BC$80,$A43+1,FALSE)) * (IF($B43=500, (Assumptions!$B$7)*12, IF((HLOOKUP(AH$2,Earnings!$G$2:$BC$81,('Yearly Pension'!$A43)+1, FALSE)) &gt; AH$1, (Assumptions!$B$8)*(AH$1) + (Assumptions!$B$9)*MAX(0,  (HLOOKUP(AH$2,Earnings!$G$2:$BC$81,('Yearly Pension'!$A43)+1, FALSE)) - AH$1), ((Assumptions!$B$8)*'Yearly Pension'!AH$1))))</f>
        <v>863.47428892094808</v>
      </c>
      <c r="AI43" s="6">
        <f>(HLOOKUP('Yearly Pension'!AI$2,'Credited Service'!$G$1:$BC$80,$A43+1,FALSE)) * (IF($B43=500, (Assumptions!$B$7)*12, IF((HLOOKUP(AI$2,Earnings!$G$2:$BC$81,('Yearly Pension'!$A43)+1, FALSE)) &gt; AI$1, (Assumptions!$B$8)*(AI$1) + (Assumptions!$B$9)*MAX(0,  (HLOOKUP(AI$2,Earnings!$G$2:$BC$81,('Yearly Pension'!$A43)+1, FALSE)) - AI$1), ((Assumptions!$B$8)*'Yearly Pension'!AI$1))))</f>
        <v>904.54126047778607</v>
      </c>
      <c r="AJ43" s="6">
        <f>(HLOOKUP('Yearly Pension'!AJ$2,'Credited Service'!$G$1:$BC$80,$A43+1,FALSE)) * (IF($B43=500, (Assumptions!$B$7)*12, IF((HLOOKUP(AJ$2,Earnings!$G$2:$BC$81,('Yearly Pension'!$A43)+1, FALSE)) &gt; AJ$1, (Assumptions!$B$8)*(AJ$1) + (Assumptions!$B$9)*MAX(0,  (HLOOKUP(AJ$2,Earnings!$G$2:$BC$81,('Yearly Pension'!$A43)+1, FALSE)) - AJ$1), ((Assumptions!$B$8)*'Yearly Pension'!AJ$1))))</f>
        <v>944.84451089689753</v>
      </c>
      <c r="AK43" s="6">
        <f>(HLOOKUP('Yearly Pension'!AK$2,'Credited Service'!$G$1:$BC$80,$A43+1,FALSE)) * (IF($B43=500, (Assumptions!$B$7)*12, IF((HLOOKUP(AK$2,Earnings!$G$2:$BC$81,('Yearly Pension'!$A43)+1, FALSE)) &gt; AK$1, (Assumptions!$B$8)*(AK$1) + (Assumptions!$B$9)*MAX(0,  (HLOOKUP(AK$2,Earnings!$G$2:$BC$81,('Yearly Pension'!$A43)+1, FALSE)) - AK$1), ((Assumptions!$B$8)*'Yearly Pension'!AK$1))))</f>
        <v>983.1758913327734</v>
      </c>
      <c r="AL43" s="6">
        <f>(HLOOKUP('Yearly Pension'!AL$2,'Credited Service'!$G$1:$BC$80,$A43+1,FALSE)) * (IF($B43=500, (Assumptions!$B$7)*12, IF((HLOOKUP(AL$2,Earnings!$G$2:$BC$81,('Yearly Pension'!$A43)+1, FALSE)) &gt; AL$1, (Assumptions!$B$8)*(AL$1) + (Assumptions!$B$9)*MAX(0,  (HLOOKUP(AL$2,Earnings!$G$2:$BC$81,('Yearly Pension'!$A43)+1, FALSE)) - AL$1), ((Assumptions!$B$8)*'Yearly Pension'!AL$1))))</f>
        <v>1026.0101269860845</v>
      </c>
      <c r="AM43" s="6">
        <f>(HLOOKUP('Yearly Pension'!AM$2,'Credited Service'!$G$1:$BC$80,$A43+1,FALSE)) * (IF($B43=500, (Assumptions!$B$7)*12, IF((HLOOKUP(AM$2,Earnings!$G$2:$BC$81,('Yearly Pension'!$A43)+1, FALSE)) &gt; AM$1, (Assumptions!$B$8)*(AM$1) + (Assumptions!$B$9)*MAX(0,  (HLOOKUP(AM$2,Earnings!$G$2:$BC$81,('Yearly Pension'!$A43)+1, FALSE)) - AM$1), ((Assumptions!$B$8)*'Yearly Pension'!AM$1))))</f>
        <v>1069.5849320655277</v>
      </c>
      <c r="AN43" s="6">
        <f>(HLOOKUP('Yearly Pension'!AN$2,'Credited Service'!$G$1:$BC$80,$A43+1,FALSE)) * (IF($B43=500, (Assumptions!$B$7)*12, IF((HLOOKUP(AN$2,Earnings!$G$2:$BC$81,('Yearly Pension'!$A43)+1, FALSE)) &gt; AN$1, (Assumptions!$B$8)*(AN$1) + (Assumptions!$B$9)*MAX(0,  (HLOOKUP(AN$2,Earnings!$G$2:$BC$81,('Yearly Pension'!$A43)+1, FALSE)) - AN$1), ((Assumptions!$B$8)*'Yearly Pension'!AN$1))))</f>
        <v>1118.4611293481491</v>
      </c>
      <c r="AO43" s="6">
        <f>(HLOOKUP('Yearly Pension'!AO$2,'Credited Service'!$G$1:$BC$80,$A43+1,FALSE)) * (IF($B43=500, (Assumptions!$B$7)*12, IF((HLOOKUP(AO$2,Earnings!$G$2:$BC$81,('Yearly Pension'!$A43)+1, FALSE)) &gt; AO$1, (Assumptions!$B$8)*(AO$1) + (Assumptions!$B$9)*MAX(0,  (HLOOKUP(AO$2,Earnings!$G$2:$BC$81,('Yearly Pension'!$A43)+1, FALSE)) - AO$1), ((Assumptions!$B$8)*'Yearly Pension'!AO$1))))</f>
        <v>1168.2427745220753</v>
      </c>
      <c r="AP43" s="6">
        <f>(HLOOKUP('Yearly Pension'!AP$2,'Credited Service'!$G$1:$BC$80,$A43+1,FALSE)) * (IF($B43=500, (Assumptions!$B$7)*12, IF((HLOOKUP(AP$2,Earnings!$G$2:$BC$81,('Yearly Pension'!$A43)+1, FALSE)) &gt; AP$1, (Assumptions!$B$8)*(AP$1) + (Assumptions!$B$9)*MAX(0,  (HLOOKUP(AP$2,Earnings!$G$2:$BC$81,('Yearly Pension'!$A43)+1, FALSE)) - AP$1), ((Assumptions!$B$8)*'Yearly Pension'!AP$1))))</f>
        <v>1215.8172855029584</v>
      </c>
      <c r="AQ43" s="6">
        <f>(HLOOKUP('Yearly Pension'!AQ$2,'Credited Service'!$G$1:$BC$80,$A43+1,FALSE)) * (IF($B43=500, (Assumptions!$B$7)*12, IF((HLOOKUP(AQ$2,Earnings!$G$2:$BC$81,('Yearly Pension'!$A43)+1, FALSE)) &gt; AQ$1, (Assumptions!$B$8)*(AQ$1) + (Assumptions!$B$9)*MAX(0,  (HLOOKUP(AQ$2,Earnings!$G$2:$BC$81,('Yearly Pension'!$A43)+1, FALSE)) - AQ$1), ((Assumptions!$B$8)*'Yearly Pension'!AQ$1))))</f>
        <v>1270.8755769230768</v>
      </c>
      <c r="AR43" s="6">
        <f>(HLOOKUP('Yearly Pension'!AR$2,'Credited Service'!$G$1:$BC$80,$A43+1,FALSE)) * (IF($B43=500, (Assumptions!$B$7)*12, IF((HLOOKUP(AR$2,Earnings!$G$2:$BC$81,('Yearly Pension'!$A43)+1, FALSE)) &gt; AR$1, (Assumptions!$B$8)*(AR$1) + (Assumptions!$B$9)*MAX(0,  (HLOOKUP(AR$2,Earnings!$G$2:$BC$81,('Yearly Pension'!$A43)+1, FALSE)) - AR$1), ((Assumptions!$B$8)*'Yearly Pension'!AR$1))))</f>
        <v>1325.8322000000001</v>
      </c>
      <c r="AS43" s="6">
        <f>(HLOOKUP('Yearly Pension'!AS$2,'Credited Service'!$G$1:$BC$80,$A43+1,FALSE)) * (IF($B43=500, (Assumptions!$B$7)*12, IF((HLOOKUP(AS$2,Earnings!$G$2:$BC$81,('Yearly Pension'!$A43)+1, FALSE)) &gt; AS$1, (Assumptions!$B$8)*(AS$1) + (Assumptions!$B$9)*MAX(0,  (HLOOKUP(AS$2,Earnings!$G$2:$BC$81,('Yearly Pension'!$A43)+1, FALSE)) - AS$1), ((Assumptions!$B$8)*'Yearly Pension'!AS$1))))</f>
        <v>1368.6471660000002</v>
      </c>
      <c r="AT43" s="6">
        <f>(HLOOKUP('Yearly Pension'!AT$2,'Credited Service'!$G$1:$BC$80,$A43+1,FALSE)) * (IF($B43=500, (Assumptions!$B$7)*12, IF((HLOOKUP(AT$2,Earnings!$G$2:$BC$81,('Yearly Pension'!$A43)+1, FALSE)) &gt; AT$1, (Assumptions!$B$8)*(AT$1) + (Assumptions!$B$9)*MAX(0,  (HLOOKUP(AT$2,Earnings!$G$2:$BC$81,('Yearly Pension'!$A43)+1, FALSE)) - AT$1), ((Assumptions!$B$8)*'Yearly Pension'!AT$1))))</f>
        <v>1411.6777809800001</v>
      </c>
      <c r="AU43" s="6">
        <f>(HLOOKUP('Yearly Pension'!AU$2,'Credited Service'!$G$1:$BC$80,$A43+1,FALSE)) * (IF($B43=500, (Assumptions!$B$7)*12, IF((HLOOKUP(AU$2,Earnings!$G$2:$BC$81,('Yearly Pension'!$A43)+1, FALSE)) &gt; AU$1, (Assumptions!$B$8)*(AU$1) + (Assumptions!$B$9)*MAX(0,  (HLOOKUP(AU$2,Earnings!$G$2:$BC$81,('Yearly Pension'!$A43)+1, FALSE)) - AU$1), ((Assumptions!$B$8)*'Yearly Pension'!AU$1))))</f>
        <v>1462.0089144093999</v>
      </c>
      <c r="AV43" s="6">
        <f>(HLOOKUP('Yearly Pension'!AV$2,'Credited Service'!$G$1:$BC$80,$A43+1,FALSE)) * (IF($B43=500, (Assumptions!$B$7)*12, IF((HLOOKUP(AV$2,Earnings!$G$2:$BC$81,('Yearly Pension'!$A43)+1, FALSE)) &gt; AV$1, (Assumptions!$B$8)*(AV$1) + (Assumptions!$B$9)*MAX(0,  (HLOOKUP(AV$2,Earnings!$G$2:$BC$81,('Yearly Pension'!$A43)+1, FALSE)) - AV$1), ((Assumptions!$B$8)*'Yearly Pension'!AV$1))))</f>
        <v>1512.6467818416822</v>
      </c>
      <c r="AW43" s="6">
        <f>(HLOOKUP('Yearly Pension'!AW$2,'Credited Service'!$G$1:$BC$80,$A43+1,FALSE)) * (IF($B43=500, (Assumptions!$B$7)*12, IF((HLOOKUP(AW$2,Earnings!$G$2:$BC$81,('Yearly Pension'!$A43)+1, FALSE)) &gt; AW$1, (Assumptions!$B$8)*(AW$1) + (Assumptions!$B$9)*MAX(0,  (HLOOKUP(AW$2,Earnings!$G$2:$BC$81,('Yearly Pension'!$A43)+1, FALSE)) - AW$1), ((Assumptions!$B$8)*'Yearly Pension'!AW$1))))</f>
        <v>1559.1589852969325</v>
      </c>
      <c r="AX43" s="6">
        <f>(HLOOKUP('Yearly Pension'!AX$2,'Credited Service'!$G$1:$BC$80,$A43+1,FALSE)) * (IF($B43=500, (Assumptions!$B$7)*12, IF((HLOOKUP(AX$2,Earnings!$G$2:$BC$81,('Yearly Pension'!$A43)+1, FALSE)) &gt; AX$1, (Assumptions!$B$8)*(AX$1) + (Assumptions!$B$9)*MAX(0,  (HLOOKUP(AX$2,Earnings!$G$2:$BC$81,('Yearly Pension'!$A43)+1, FALSE)) - AX$1), ((Assumptions!$B$8)*'Yearly Pension'!AX$1))))</f>
        <v>1602.2601548558405</v>
      </c>
      <c r="AY43" s="6">
        <f>(HLOOKUP('Yearly Pension'!AY$2,'Credited Service'!$G$1:$BC$80,$A43+1,FALSE)) * (IF($B43=500, (Assumptions!$B$7)*12, IF((HLOOKUP(AY$2,Earnings!$G$2:$BC$81,('Yearly Pension'!$A43)+1, FALSE)) &gt; AY$1, (Assumptions!$B$8)*(AY$1) + (Assumptions!$B$9)*MAX(0,  (HLOOKUP(AY$2,Earnings!$G$2:$BC$81,('Yearly Pension'!$A43)+1, FALSE)) - AY$1), ((Assumptions!$B$8)*'Yearly Pension'!AY$1))))</f>
        <v>1646.5074155015154</v>
      </c>
      <c r="AZ43" s="6">
        <f>(HLOOKUP('Yearly Pension'!AZ$2,'Credited Service'!$G$1:$BC$80,$A43+1,FALSE)) * (IF($B43=500, (Assumptions!$B$7)*12, IF((HLOOKUP(AZ$2,Earnings!$G$2:$BC$81,('Yearly Pension'!$A43)+1, FALSE)) &gt; AZ$1, (Assumptions!$B$8)*(AZ$1) + (Assumptions!$B$9)*MAX(0,  (HLOOKUP(AZ$2,Earnings!$G$2:$BC$81,('Yearly Pension'!$A43)+1, FALSE)) - AZ$1), ((Assumptions!$B$8)*'Yearly Pension'!AZ$1))))</f>
        <v>1691.9292722065611</v>
      </c>
      <c r="BA43" s="6">
        <f>(HLOOKUP('Yearly Pension'!BA$2,'Credited Service'!$G$1:$BC$80,$A43+1,FALSE)) * (IF($B43=500, (Assumptions!$B$7)*12, IF((HLOOKUP(BA$2,Earnings!$G$2:$BC$81,('Yearly Pension'!$A43)+1, FALSE)) &gt; BA$1, (Assumptions!$B$8)*(BA$1) + (Assumptions!$B$9)*MAX(0,  (HLOOKUP(BA$2,Earnings!$G$2:$BC$81,('Yearly Pension'!$A43)+1, FALSE)) - BA$1), ((Assumptions!$B$8)*'Yearly Pension'!BA$1))))</f>
        <v>1738.5548499823581</v>
      </c>
      <c r="BB43" s="6">
        <f>(HLOOKUP('Yearly Pension'!BB$2,'Credited Service'!$G$1:$BC$80,$A43+1,FALSE)) * (IF($B43=500, (Assumptions!$B$7)*12, IF((HLOOKUP(BB$2,Earnings!$G$2:$BC$81,('Yearly Pension'!$A43)+1, FALSE)) &gt; BB$1, (Assumptions!$B$8)*(BB$1) + (Assumptions!$B$9)*MAX(0,  (HLOOKUP(BB$2,Earnings!$G$2:$BC$81,('Yearly Pension'!$A43)+1, FALSE)) - BB$1), ((Assumptions!$B$8)*'Yearly Pension'!BB$1))))</f>
        <v>1786.4139030758129</v>
      </c>
      <c r="BC43" s="6">
        <f>(HLOOKUP('Yearly Pension'!BC$2,'Credited Service'!$G$1:$BC$80,$A43+1,FALSE)) * (IF($B43=500, (Assumptions!$B$7)*12, IF((HLOOKUP(BC$2,Earnings!$G$2:$BC$81,('Yearly Pension'!$A43)+1, FALSE)) &gt; BC$1, (Assumptions!$B$8)*(BC$1) + (Assumptions!$B$9)*MAX(0,  (HLOOKUP(BC$2,Earnings!$G$2:$BC$81,('Yearly Pension'!$A43)+1, FALSE)) - BC$1), ((Assumptions!$B$8)*'Yearly Pension'!BC$1))))</f>
        <v>152.96140200548587</v>
      </c>
    </row>
    <row r="44" spans="1:55" x14ac:dyDescent="0.25">
      <c r="A44" s="204">
        <v>42</v>
      </c>
      <c r="B44" s="1">
        <v>600</v>
      </c>
      <c r="C44" s="1">
        <v>718</v>
      </c>
      <c r="D44" s="3">
        <v>36787</v>
      </c>
      <c r="E44" s="3">
        <v>46905</v>
      </c>
      <c r="G44" s="6">
        <f>(HLOOKUP('Yearly Pension'!G$2,'Credited Service'!$G$1:$BC$80,$A44+1,FALSE)) * (IF($B44=500, (Assumptions!$B$7)*12, IF((HLOOKUP(G$2,Earnings!$G$2:$BC$81,('Yearly Pension'!$A44)+1, FALSE)) &gt; G$1, (Assumptions!$B$8)*(G$1) + (Assumptions!$B$9)*MAX(0,  (HLOOKUP(G$2,Earnings!$G$2:$BC$81,('Yearly Pension'!$A44)+1, FALSE)) - G$1), ((Assumptions!$B$8)*'Yearly Pension'!G$1))))</f>
        <v>0</v>
      </c>
      <c r="H44" s="6">
        <f>(HLOOKUP('Yearly Pension'!H$2,'Credited Service'!$G$1:$BC$80,$A44+1,FALSE)) * (IF($B44=500, (Assumptions!$B$7)*12, IF((HLOOKUP(H$2,Earnings!$G$2:$BC$81,('Yearly Pension'!$A44)+1, FALSE)) &gt; H$1, (Assumptions!$B$8)*(H$1) + (Assumptions!$B$9)*MAX(0,  (HLOOKUP(H$2,Earnings!$G$2:$BC$81,('Yearly Pension'!$A44)+1, FALSE)) - H$1), ((Assumptions!$B$8)*'Yearly Pension'!H$1))))</f>
        <v>0</v>
      </c>
      <c r="I44" s="6">
        <f>(HLOOKUP('Yearly Pension'!I$2,'Credited Service'!$G$1:$BC$80,$A44+1,FALSE)) * (IF($B44=500, (Assumptions!$B$7)*12, IF((HLOOKUP(I$2,Earnings!$G$2:$BC$81,('Yearly Pension'!$A44)+1, FALSE)) &gt; I$1, (Assumptions!$B$8)*(I$1) + (Assumptions!$B$9)*MAX(0,  (HLOOKUP(I$2,Earnings!$G$2:$BC$81,('Yearly Pension'!$A44)+1, FALSE)) - I$1), ((Assumptions!$B$8)*'Yearly Pension'!I$1))))</f>
        <v>0</v>
      </c>
      <c r="J44" s="6">
        <f>(HLOOKUP('Yearly Pension'!J$2,'Credited Service'!$G$1:$BC$80,$A44+1,FALSE)) * (IF($B44=500, (Assumptions!$B$7)*12, IF((HLOOKUP(J$2,Earnings!$G$2:$BC$81,('Yearly Pension'!$A44)+1, FALSE)) &gt; J$1, (Assumptions!$B$8)*(J$1) + (Assumptions!$B$9)*MAX(0,  (HLOOKUP(J$2,Earnings!$G$2:$BC$81,('Yearly Pension'!$A44)+1, FALSE)) - J$1), ((Assumptions!$B$8)*'Yearly Pension'!J$1))))</f>
        <v>0</v>
      </c>
      <c r="K44" s="6">
        <f>(HLOOKUP('Yearly Pension'!K$2,'Credited Service'!$G$1:$BC$80,$A44+1,FALSE)) * (IF($B44=500, (Assumptions!$B$7)*12, IF((HLOOKUP(K$2,Earnings!$G$2:$BC$81,('Yearly Pension'!$A44)+1, FALSE)) &gt; K$1, (Assumptions!$B$8)*(K$1) + (Assumptions!$B$9)*MAX(0,  (HLOOKUP(K$2,Earnings!$G$2:$BC$81,('Yearly Pension'!$A44)+1, FALSE)) - K$1), ((Assumptions!$B$8)*'Yearly Pension'!K$1))))</f>
        <v>0</v>
      </c>
      <c r="L44" s="6">
        <f>(HLOOKUP('Yearly Pension'!L$2,'Credited Service'!$G$1:$BC$80,$A44+1,FALSE)) * (IF($B44=500, (Assumptions!$B$7)*12, IF((HLOOKUP(L$2,Earnings!$G$2:$BC$81,('Yearly Pension'!$A44)+1, FALSE)) &gt; L$1, (Assumptions!$B$8)*(L$1) + (Assumptions!$B$9)*MAX(0,  (HLOOKUP(L$2,Earnings!$G$2:$BC$81,('Yearly Pension'!$A44)+1, FALSE)) - L$1), ((Assumptions!$B$8)*'Yearly Pension'!L$1))))</f>
        <v>0</v>
      </c>
      <c r="M44" s="6">
        <f>(HLOOKUP('Yearly Pension'!M$2,'Credited Service'!$G$1:$BC$80,$A44+1,FALSE)) * (IF($B44=500, (Assumptions!$B$7)*12, IF((HLOOKUP(M$2,Earnings!$G$2:$BC$81,('Yearly Pension'!$A44)+1, FALSE)) &gt; M$1, (Assumptions!$B$8)*(M$1) + (Assumptions!$B$9)*MAX(0,  (HLOOKUP(M$2,Earnings!$G$2:$BC$81,('Yearly Pension'!$A44)+1, FALSE)) - M$1), ((Assumptions!$B$8)*'Yearly Pension'!M$1))))</f>
        <v>0</v>
      </c>
      <c r="N44" s="6">
        <f>(HLOOKUP('Yearly Pension'!N$2,'Credited Service'!$G$1:$BC$80,$A44+1,FALSE)) * (IF($B44=500, (Assumptions!$B$7)*12, IF((HLOOKUP(N$2,Earnings!$G$2:$BC$81,('Yearly Pension'!$A44)+1, FALSE)) &gt; N$1, (Assumptions!$B$8)*(N$1) + (Assumptions!$B$9)*MAX(0,  (HLOOKUP(N$2,Earnings!$G$2:$BC$81,('Yearly Pension'!$A44)+1, FALSE)) - N$1), ((Assumptions!$B$8)*'Yearly Pension'!N$1))))</f>
        <v>0</v>
      </c>
      <c r="O44" s="6">
        <f>(HLOOKUP('Yearly Pension'!O$2,'Credited Service'!$G$1:$BC$80,$A44+1,FALSE)) * (IF($B44=500, (Assumptions!$B$7)*12, IF((HLOOKUP(O$2,Earnings!$G$2:$BC$81,('Yearly Pension'!$A44)+1, FALSE)) &gt; O$1, (Assumptions!$B$8)*(O$1) + (Assumptions!$B$9)*MAX(0,  (HLOOKUP(O$2,Earnings!$G$2:$BC$81,('Yearly Pension'!$A44)+1, FALSE)) - O$1), ((Assumptions!$B$8)*'Yearly Pension'!O$1))))</f>
        <v>0</v>
      </c>
      <c r="P44" s="6">
        <f>(HLOOKUP('Yearly Pension'!P$2,'Credited Service'!$G$1:$BC$80,$A44+1,FALSE)) * (IF($B44=500, (Assumptions!$B$7)*12, IF((HLOOKUP(P$2,Earnings!$G$2:$BC$81,('Yearly Pension'!$A44)+1, FALSE)) &gt; P$1, (Assumptions!$B$8)*(P$1) + (Assumptions!$B$9)*MAX(0,  (HLOOKUP(P$2,Earnings!$G$2:$BC$81,('Yearly Pension'!$A44)+1, FALSE)) - P$1), ((Assumptions!$B$8)*'Yearly Pension'!P$1))))</f>
        <v>0</v>
      </c>
      <c r="Q44" s="6">
        <f>(HLOOKUP('Yearly Pension'!Q$2,'Credited Service'!$G$1:$BC$80,$A44+1,FALSE)) * (IF($B44=500, (Assumptions!$B$7)*12, IF((HLOOKUP(Q$2,Earnings!$G$2:$BC$81,('Yearly Pension'!$A44)+1, FALSE)) &gt; Q$1, (Assumptions!$B$8)*(Q$1) + (Assumptions!$B$9)*MAX(0,  (HLOOKUP(Q$2,Earnings!$G$2:$BC$81,('Yearly Pension'!$A44)+1, FALSE)) - Q$1), ((Assumptions!$B$8)*'Yearly Pension'!Q$1))))</f>
        <v>0</v>
      </c>
      <c r="R44" s="6">
        <f>(HLOOKUP('Yearly Pension'!R$2,'Credited Service'!$G$1:$BC$80,$A44+1,FALSE)) * (IF($B44=500, (Assumptions!$B$7)*12, IF((HLOOKUP(R$2,Earnings!$G$2:$BC$81,('Yearly Pension'!$A44)+1, FALSE)) &gt; R$1, (Assumptions!$B$8)*(R$1) + (Assumptions!$B$9)*MAX(0,  (HLOOKUP(R$2,Earnings!$G$2:$BC$81,('Yearly Pension'!$A44)+1, FALSE)) - R$1), ((Assumptions!$B$8)*'Yearly Pension'!R$1))))</f>
        <v>0</v>
      </c>
      <c r="S44" s="6">
        <f>(HLOOKUP('Yearly Pension'!S$2,'Credited Service'!$G$1:$BC$80,$A44+1,FALSE)) * (IF($B44=500, (Assumptions!$B$7)*12, IF((HLOOKUP(S$2,Earnings!$G$2:$BC$81,('Yearly Pension'!$A44)+1, FALSE)) &gt; S$1, (Assumptions!$B$8)*(S$1) + (Assumptions!$B$9)*MAX(0,  (HLOOKUP(S$2,Earnings!$G$2:$BC$81,('Yearly Pension'!$A44)+1, FALSE)) - S$1), ((Assumptions!$B$8)*'Yearly Pension'!S$1))))</f>
        <v>0</v>
      </c>
      <c r="T44" s="6">
        <f>(HLOOKUP('Yearly Pension'!T$2,'Credited Service'!$G$1:$BC$80,$A44+1,FALSE)) * (IF($B44=500, (Assumptions!$B$7)*12, IF((HLOOKUP(T$2,Earnings!$G$2:$BC$81,('Yearly Pension'!$A44)+1, FALSE)) &gt; T$1, (Assumptions!$B$8)*(T$1) + (Assumptions!$B$9)*MAX(0,  (HLOOKUP(T$2,Earnings!$G$2:$BC$81,('Yearly Pension'!$A44)+1, FALSE)) - T$1), ((Assumptions!$B$8)*'Yearly Pension'!T$1))))</f>
        <v>0</v>
      </c>
      <c r="U44" s="6">
        <f>(HLOOKUP('Yearly Pension'!U$2,'Credited Service'!$G$1:$BC$80,$A44+1,FALSE)) * (IF($B44=500, (Assumptions!$B$7)*12, IF((HLOOKUP(U$2,Earnings!$G$2:$BC$81,('Yearly Pension'!$A44)+1, FALSE)) &gt; U$1, (Assumptions!$B$8)*(U$1) + (Assumptions!$B$9)*MAX(0,  (HLOOKUP(U$2,Earnings!$G$2:$BC$81,('Yearly Pension'!$A44)+1, FALSE)) - U$1), ((Assumptions!$B$8)*'Yearly Pension'!U$1))))</f>
        <v>0</v>
      </c>
      <c r="V44" s="6">
        <f>(HLOOKUP('Yearly Pension'!V$2,'Credited Service'!$G$1:$BC$80,$A44+1,FALSE)) * (IF($B44=500, (Assumptions!$B$7)*12, IF((HLOOKUP(V$2,Earnings!$G$2:$BC$81,('Yearly Pension'!$A44)+1, FALSE)) &gt; V$1, (Assumptions!$B$8)*(V$1) + (Assumptions!$B$9)*MAX(0,  (HLOOKUP(V$2,Earnings!$G$2:$BC$81,('Yearly Pension'!$A44)+1, FALSE)) - V$1), ((Assumptions!$B$8)*'Yearly Pension'!V$1))))</f>
        <v>0</v>
      </c>
      <c r="W44" s="6">
        <f>(HLOOKUP('Yearly Pension'!W$2,'Credited Service'!$G$1:$BC$80,$A44+1,FALSE)) * (IF($B44=500, (Assumptions!$B$7)*12, IF((HLOOKUP(W$2,Earnings!$G$2:$BC$81,('Yearly Pension'!$A44)+1, FALSE)) &gt; W$1, (Assumptions!$B$8)*(W$1) + (Assumptions!$B$9)*MAX(0,  (HLOOKUP(W$2,Earnings!$G$2:$BC$81,('Yearly Pension'!$A44)+1, FALSE)) - W$1), ((Assumptions!$B$8)*'Yearly Pension'!W$1))))</f>
        <v>0</v>
      </c>
      <c r="X44" s="6">
        <f>(HLOOKUP('Yearly Pension'!X$2,'Credited Service'!$G$1:$BC$80,$A44+1,FALSE)) * (IF($B44=500, (Assumptions!$B$7)*12, IF((HLOOKUP(X$2,Earnings!$G$2:$BC$81,('Yearly Pension'!$A44)+1, FALSE)) &gt; X$1, (Assumptions!$B$8)*(X$1) + (Assumptions!$B$9)*MAX(0,  (HLOOKUP(X$2,Earnings!$G$2:$BC$81,('Yearly Pension'!$A44)+1, FALSE)) - X$1), ((Assumptions!$B$8)*'Yearly Pension'!X$1))))</f>
        <v>0</v>
      </c>
      <c r="Y44" s="6">
        <f>(HLOOKUP('Yearly Pension'!Y$2,'Credited Service'!$G$1:$BC$80,$A44+1,FALSE)) * (IF($B44=500, (Assumptions!$B$7)*12, IF((HLOOKUP(Y$2,Earnings!$G$2:$BC$81,('Yearly Pension'!$A44)+1, FALSE)) &gt; Y$1, (Assumptions!$B$8)*(Y$1) + (Assumptions!$B$9)*MAX(0,  (HLOOKUP(Y$2,Earnings!$G$2:$BC$81,('Yearly Pension'!$A44)+1, FALSE)) - Y$1), ((Assumptions!$B$8)*'Yearly Pension'!Y$1))))</f>
        <v>0</v>
      </c>
      <c r="Z44" s="6">
        <f>(HLOOKUP('Yearly Pension'!Z$2,'Credited Service'!$G$1:$BC$80,$A44+1,FALSE)) * (IF($B44=500, (Assumptions!$B$7)*12, IF((HLOOKUP(Z$2,Earnings!$G$2:$BC$81,('Yearly Pension'!$A44)+1, FALSE)) &gt; Z$1, (Assumptions!$B$8)*(Z$1) + (Assumptions!$B$9)*MAX(0,  (HLOOKUP(Z$2,Earnings!$G$2:$BC$81,('Yearly Pension'!$A44)+1, FALSE)) - Z$1), ((Assumptions!$B$8)*'Yearly Pension'!Z$1))))</f>
        <v>0</v>
      </c>
      <c r="AA44" s="6">
        <f>(HLOOKUP('Yearly Pension'!AA$2,'Credited Service'!$G$1:$BC$80,$A44+1,FALSE)) * (IF($B44=500, (Assumptions!$B$7)*12, IF((HLOOKUP(AA$2,Earnings!$G$2:$BC$81,('Yearly Pension'!$A44)+1, FALSE)) &gt; AA$1, (Assumptions!$B$8)*(AA$1) + (Assumptions!$B$9)*MAX(0,  (HLOOKUP(AA$2,Earnings!$G$2:$BC$81,('Yearly Pension'!$A44)+1, FALSE)) - AA$1), ((Assumptions!$B$8)*'Yearly Pension'!AA$1))))</f>
        <v>0</v>
      </c>
      <c r="AB44" s="6">
        <f>(HLOOKUP('Yearly Pension'!AB$2,'Credited Service'!$G$1:$BC$80,$A44+1,FALSE)) * (IF($B44=500, (Assumptions!$B$7)*12, IF((HLOOKUP(AB$2,Earnings!$G$2:$BC$81,('Yearly Pension'!$A44)+1, FALSE)) &gt; AB$1, (Assumptions!$B$8)*(AB$1) + (Assumptions!$B$9)*MAX(0,  (HLOOKUP(AB$2,Earnings!$G$2:$BC$81,('Yearly Pension'!$A44)+1, FALSE)) - AB$1), ((Assumptions!$B$8)*'Yearly Pension'!AB$1))))</f>
        <v>0</v>
      </c>
      <c r="AC44" s="6">
        <f>(HLOOKUP('Yearly Pension'!AC$2,'Credited Service'!$G$1:$BC$80,$A44+1,FALSE)) * (IF($B44=500, (Assumptions!$B$7)*12, IF((HLOOKUP(AC$2,Earnings!$G$2:$BC$81,('Yearly Pension'!$A44)+1, FALSE)) &gt; AC$1, (Assumptions!$B$8)*(AC$1) + (Assumptions!$B$9)*MAX(0,  (HLOOKUP(AC$2,Earnings!$G$2:$BC$81,('Yearly Pension'!$A44)+1, FALSE)) - AC$1), ((Assumptions!$B$8)*'Yearly Pension'!AC$1))))</f>
        <v>0</v>
      </c>
      <c r="AD44" s="6">
        <f>(HLOOKUP('Yearly Pension'!AD$2,'Credited Service'!$G$1:$BC$80,$A44+1,FALSE)) * (IF($B44=500, (Assumptions!$B$7)*12, IF((HLOOKUP(AD$2,Earnings!$G$2:$BC$81,('Yearly Pension'!$A44)+1, FALSE)) &gt; AD$1, (Assumptions!$B$8)*(AD$1) + (Assumptions!$B$9)*MAX(0,  (HLOOKUP(AD$2,Earnings!$G$2:$BC$81,('Yearly Pension'!$A44)+1, FALSE)) - AD$1), ((Assumptions!$B$8)*'Yearly Pension'!AD$1))))</f>
        <v>182.13820794804715</v>
      </c>
      <c r="AE44" s="6">
        <f>(HLOOKUP('Yearly Pension'!AE$2,'Credited Service'!$G$1:$BC$80,$A44+1,FALSE)) * (IF($B44=500, (Assumptions!$B$7)*12, IF((HLOOKUP(AE$2,Earnings!$G$2:$BC$81,('Yearly Pension'!$A44)+1, FALSE)) &gt; AE$1, (Assumptions!$B$8)*(AE$1) + (Assumptions!$B$9)*MAX(0,  (HLOOKUP(AE$2,Earnings!$G$2:$BC$81,('Yearly Pension'!$A44)+1, FALSE)) - AE$1), ((Assumptions!$B$8)*'Yearly Pension'!AE$1))))</f>
        <v>762.84054506387622</v>
      </c>
      <c r="AF44" s="6">
        <f>(HLOOKUP('Yearly Pension'!AF$2,'Credited Service'!$G$1:$BC$80,$A44+1,FALSE)) * (IF($B44=500, (Assumptions!$B$7)*12, IF((HLOOKUP(AF$2,Earnings!$G$2:$BC$81,('Yearly Pension'!$A44)+1, FALSE)) &gt; AF$1, (Assumptions!$B$8)*(AF$1) + (Assumptions!$B$9)*MAX(0,  (HLOOKUP(AF$2,Earnings!$G$2:$BC$81,('Yearly Pension'!$A44)+1, FALSE)) - AF$1), ((Assumptions!$B$8)*'Yearly Pension'!AF$1))))</f>
        <v>798.03896686643134</v>
      </c>
      <c r="AG44" s="6">
        <f>(HLOOKUP('Yearly Pension'!AG$2,'Credited Service'!$G$1:$BC$80,$A44+1,FALSE)) * (IF($B44=500, (Assumptions!$B$7)*12, IF((HLOOKUP(AG$2,Earnings!$G$2:$BC$81,('Yearly Pension'!$A44)+1, FALSE)) &gt; AG$1, (Assumptions!$B$8)*(AG$1) + (Assumptions!$B$9)*MAX(0,  (HLOOKUP(AG$2,Earnings!$G$2:$BC$81,('Yearly Pension'!$A44)+1, FALSE)) - AG$1), ((Assumptions!$B$8)*'Yearly Pension'!AG$1))))</f>
        <v>834.85012554108857</v>
      </c>
      <c r="AH44" s="6">
        <f>(HLOOKUP('Yearly Pension'!AH$2,'Credited Service'!$G$1:$BC$80,$A44+1,FALSE)) * (IF($B44=500, (Assumptions!$B$7)*12, IF((HLOOKUP(AH$2,Earnings!$G$2:$BC$81,('Yearly Pension'!$A44)+1, FALSE)) &gt; AH$1, (Assumptions!$B$8)*(AH$1) + (Assumptions!$B$9)*MAX(0,  (HLOOKUP(AH$2,Earnings!$G$2:$BC$81,('Yearly Pension'!$A44)+1, FALSE)) - AH$1), ((Assumptions!$B$8)*'Yearly Pension'!AH$1))))</f>
        <v>874.61853056273208</v>
      </c>
      <c r="AI44" s="6">
        <f>(HLOOKUP('Yearly Pension'!AI$2,'Credited Service'!$G$1:$BC$80,$A44+1,FALSE)) * (IF($B44=500, (Assumptions!$B$7)*12, IF((HLOOKUP(AI$2,Earnings!$G$2:$BC$81,('Yearly Pension'!$A44)+1, FALSE)) &gt; AI$1, (Assumptions!$B$8)*(AI$1) + (Assumptions!$B$9)*MAX(0,  (HLOOKUP(AI$2,Earnings!$G$2:$BC$81,('Yearly Pension'!$A44)+1, FALSE)) - AI$1), ((Assumptions!$B$8)*'Yearly Pension'!AI$1))))</f>
        <v>916.13127178524155</v>
      </c>
      <c r="AJ44" s="6">
        <f>(HLOOKUP('Yearly Pension'!AJ$2,'Credited Service'!$G$1:$BC$80,$A44+1,FALSE)) * (IF($B44=500, (Assumptions!$B$7)*12, IF((HLOOKUP(AJ$2,Earnings!$G$2:$BC$81,('Yearly Pension'!$A44)+1, FALSE)) &gt; AJ$1, (Assumptions!$B$8)*(AJ$1) + (Assumptions!$B$9)*MAX(0,  (HLOOKUP(AJ$2,Earnings!$G$2:$BC$81,('Yearly Pension'!$A44)+1, FALSE)) - AJ$1), ((Assumptions!$B$8)*'Yearly Pension'!AJ$1))))</f>
        <v>956.89812265665114</v>
      </c>
      <c r="AK44" s="6">
        <f>(HLOOKUP('Yearly Pension'!AK$2,'Credited Service'!$G$1:$BC$80,$A44+1,FALSE)) * (IF($B44=500, (Assumptions!$B$7)*12, IF((HLOOKUP(AK$2,Earnings!$G$2:$BC$81,('Yearly Pension'!$A44)+1, FALSE)) &gt; AK$1, (Assumptions!$B$8)*(AK$1) + (Assumptions!$B$9)*MAX(0,  (HLOOKUP(AK$2,Earnings!$G$2:$BC$81,('Yearly Pension'!$A44)+1, FALSE)) - AK$1), ((Assumptions!$B$8)*'Yearly Pension'!AK$1))))</f>
        <v>995.71164756291728</v>
      </c>
      <c r="AL44" s="6">
        <f>(HLOOKUP('Yearly Pension'!AL$2,'Credited Service'!$G$1:$BC$80,$A44+1,FALSE)) * (IF($B44=500, (Assumptions!$B$7)*12, IF((HLOOKUP(AL$2,Earnings!$G$2:$BC$81,('Yearly Pension'!$A44)+1, FALSE)) &gt; AL$1, (Assumptions!$B$8)*(AL$1) + (Assumptions!$B$9)*MAX(0,  (HLOOKUP(AL$2,Earnings!$G$2:$BC$81,('Yearly Pension'!$A44)+1, FALSE)) - AL$1), ((Assumptions!$B$8)*'Yearly Pension'!AL$1))))</f>
        <v>1039.0473134654342</v>
      </c>
      <c r="AM44" s="6">
        <f>(HLOOKUP('Yearly Pension'!AM$2,'Credited Service'!$G$1:$BC$80,$A44+1,FALSE)) * (IF($B44=500, (Assumptions!$B$7)*12, IF((HLOOKUP(AM$2,Earnings!$G$2:$BC$81,('Yearly Pension'!$A44)+1, FALSE)) &gt; AM$1, (Assumptions!$B$8)*(AM$1) + (Assumptions!$B$9)*MAX(0,  (HLOOKUP(AM$2,Earnings!$G$2:$BC$81,('Yearly Pension'!$A44)+1, FALSE)) - AM$1), ((Assumptions!$B$8)*'Yearly Pension'!AM$1))))</f>
        <v>1083.1436060040517</v>
      </c>
      <c r="AN44" s="6">
        <f>(HLOOKUP('Yearly Pension'!AN$2,'Credited Service'!$G$1:$BC$80,$A44+1,FALSE)) * (IF($B44=500, (Assumptions!$B$7)*12, IF((HLOOKUP(AN$2,Earnings!$G$2:$BC$81,('Yearly Pension'!$A44)+1, FALSE)) &gt; AN$1, (Assumptions!$B$8)*(AN$1) + (Assumptions!$B$9)*MAX(0,  (HLOOKUP(AN$2,Earnings!$G$2:$BC$81,('Yearly Pension'!$A44)+1, FALSE)) - AN$1), ((Assumptions!$B$8)*'Yearly Pension'!AN$1))))</f>
        <v>1132.5621502442136</v>
      </c>
      <c r="AO44" s="6">
        <f>(HLOOKUP('Yearly Pension'!AO$2,'Credited Service'!$G$1:$BC$80,$A44+1,FALSE)) * (IF($B44=500, (Assumptions!$B$7)*12, IF((HLOOKUP(AO$2,Earnings!$G$2:$BC$81,('Yearly Pension'!$A44)+1, FALSE)) &gt; AO$1, (Assumptions!$B$8)*(AO$1) + (Assumptions!$B$9)*MAX(0,  (HLOOKUP(AO$2,Earnings!$G$2:$BC$81,('Yearly Pension'!$A44)+1, FALSE)) - AO$1), ((Assumptions!$B$8)*'Yearly Pension'!AO$1))))</f>
        <v>1182.9078362539824</v>
      </c>
      <c r="AP44" s="6">
        <f>(HLOOKUP('Yearly Pension'!AP$2,'Credited Service'!$G$1:$BC$80,$A44+1,FALSE)) * (IF($B44=500, (Assumptions!$B$7)*12, IF((HLOOKUP(AP$2,Earnings!$G$2:$BC$81,('Yearly Pension'!$A44)+1, FALSE)) &gt; AP$1, (Assumptions!$B$8)*(AP$1) + (Assumptions!$B$9)*MAX(0,  (HLOOKUP(AP$2,Earnings!$G$2:$BC$81,('Yearly Pension'!$A44)+1, FALSE)) - AP$1), ((Assumptions!$B$8)*'Yearly Pension'!AP$1))))</f>
        <v>1231.0689497041417</v>
      </c>
      <c r="AQ44" s="6">
        <f>(HLOOKUP('Yearly Pension'!AQ$2,'Credited Service'!$G$1:$BC$80,$A44+1,FALSE)) * (IF($B44=500, (Assumptions!$B$7)*12, IF((HLOOKUP(AQ$2,Earnings!$G$2:$BC$81,('Yearly Pension'!$A44)+1, FALSE)) &gt; AQ$1, (Assumptions!$B$8)*(AQ$1) + (Assumptions!$B$9)*MAX(0,  (HLOOKUP(AQ$2,Earnings!$G$2:$BC$81,('Yearly Pension'!$A44)+1, FALSE)) - AQ$1), ((Assumptions!$B$8)*'Yearly Pension'!AQ$1))))</f>
        <v>1286.7373076923075</v>
      </c>
      <c r="AR44" s="6">
        <f>(HLOOKUP('Yearly Pension'!AR$2,'Credited Service'!$G$1:$BC$80,$A44+1,FALSE)) * (IF($B44=500, (Assumptions!$B$7)*12, IF((HLOOKUP(AR$2,Earnings!$G$2:$BC$81,('Yearly Pension'!$A44)+1, FALSE)) &gt; AR$1, (Assumptions!$B$8)*(AR$1) + (Assumptions!$B$9)*MAX(0,  (HLOOKUP(AR$2,Earnings!$G$2:$BC$81,('Yearly Pension'!$A44)+1, FALSE)) - AR$1), ((Assumptions!$B$8)*'Yearly Pension'!AR$1))))</f>
        <v>1342.3283999999999</v>
      </c>
      <c r="AS44" s="6">
        <f>(HLOOKUP('Yearly Pension'!AS$2,'Credited Service'!$G$1:$BC$80,$A44+1,FALSE)) * (IF($B44=500, (Assumptions!$B$7)*12, IF((HLOOKUP(AS$2,Earnings!$G$2:$BC$81,('Yearly Pension'!$A44)+1, FALSE)) &gt; AS$1, (Assumptions!$B$8)*(AS$1) + (Assumptions!$B$9)*MAX(0,  (HLOOKUP(AS$2,Earnings!$G$2:$BC$81,('Yearly Pension'!$A44)+1, FALSE)) - AS$1), ((Assumptions!$B$8)*'Yearly Pension'!AS$1))))</f>
        <v>1385.6382519999997</v>
      </c>
      <c r="AT44" s="6">
        <f>(HLOOKUP('Yearly Pension'!AT$2,'Credited Service'!$G$1:$BC$80,$A44+1,FALSE)) * (IF($B44=500, (Assumptions!$B$7)*12, IF((HLOOKUP(AT$2,Earnings!$G$2:$BC$81,('Yearly Pension'!$A44)+1, FALSE)) &gt; AT$1, (Assumptions!$B$8)*(AT$1) + (Assumptions!$B$9)*MAX(0,  (HLOOKUP(AT$2,Earnings!$G$2:$BC$81,('Yearly Pension'!$A44)+1, FALSE)) - AT$1), ((Assumptions!$B$8)*'Yearly Pension'!AT$1))))</f>
        <v>1429.1785995599998</v>
      </c>
      <c r="AU44" s="6">
        <f>(HLOOKUP('Yearly Pension'!AU$2,'Credited Service'!$G$1:$BC$80,$A44+1,FALSE)) * (IF($B44=500, (Assumptions!$B$7)*12, IF((HLOOKUP(AU$2,Earnings!$G$2:$BC$81,('Yearly Pension'!$A44)+1, FALSE)) &gt; AU$1, (Assumptions!$B$8)*(AU$1) + (Assumptions!$B$9)*MAX(0,  (HLOOKUP(AU$2,Earnings!$G$2:$BC$81,('Yearly Pension'!$A44)+1, FALSE)) - AU$1), ((Assumptions!$B$8)*'Yearly Pension'!AU$1))))</f>
        <v>1480.0347575467999</v>
      </c>
      <c r="AV44" s="6">
        <f>(HLOOKUP('Yearly Pension'!AV$2,'Credited Service'!$G$1:$BC$80,$A44+1,FALSE)) * (IF($B44=500, (Assumptions!$B$7)*12, IF((HLOOKUP(AV$2,Earnings!$G$2:$BC$81,('Yearly Pension'!$A44)+1, FALSE)) &gt; AV$1, (Assumptions!$B$8)*(AV$1) + (Assumptions!$B$9)*MAX(0,  (HLOOKUP(AV$2,Earnings!$G$2:$BC$81,('Yearly Pension'!$A44)+1, FALSE)) - AV$1), ((Assumptions!$B$8)*'Yearly Pension'!AV$1))))</f>
        <v>1531.2134002732041</v>
      </c>
      <c r="AW44" s="6">
        <f>(HLOOKUP('Yearly Pension'!AW$2,'Credited Service'!$G$1:$BC$80,$A44+1,FALSE)) * (IF($B44=500, (Assumptions!$B$7)*12, IF((HLOOKUP(AW$2,Earnings!$G$2:$BC$81,('Yearly Pension'!$A44)+1, FALSE)) &gt; AW$1, (Assumptions!$B$8)*(AW$1) + (Assumptions!$B$9)*MAX(0,  (HLOOKUP(AW$2,Earnings!$G$2:$BC$81,('Yearly Pension'!$A44)+1, FALSE)) - AW$1), ((Assumptions!$B$8)*'Yearly Pension'!AW$1))))</f>
        <v>1578.2826022814002</v>
      </c>
      <c r="AX44" s="6">
        <f>(HLOOKUP('Yearly Pension'!AX$2,'Credited Service'!$G$1:$BC$80,$A44+1,FALSE)) * (IF($B44=500, (Assumptions!$B$7)*12, IF((HLOOKUP(AX$2,Earnings!$G$2:$BC$81,('Yearly Pension'!$A44)+1, FALSE)) &gt; AX$1, (Assumptions!$B$8)*(AX$1) + (Assumptions!$B$9)*MAX(0,  (HLOOKUP(AX$2,Earnings!$G$2:$BC$81,('Yearly Pension'!$A44)+1, FALSE)) - AX$1), ((Assumptions!$B$8)*'Yearly Pension'!AX$1))))</f>
        <v>1621.9574803498422</v>
      </c>
      <c r="AY44" s="6">
        <f>(HLOOKUP('Yearly Pension'!AY$2,'Credited Service'!$G$1:$BC$80,$A44+1,FALSE)) * (IF($B44=500, (Assumptions!$B$7)*12, IF((HLOOKUP(AY$2,Earnings!$G$2:$BC$81,('Yearly Pension'!$A44)+1, FALSE)) &gt; AY$1, (Assumptions!$B$8)*(AY$1) + (Assumptions!$B$9)*MAX(0,  (HLOOKUP(AY$2,Earnings!$G$2:$BC$81,('Yearly Pension'!$A44)+1, FALSE)) - AY$1), ((Assumptions!$B$8)*'Yearly Pension'!AY$1))))</f>
        <v>1666.7956607603376</v>
      </c>
      <c r="AZ44" s="6">
        <f>(HLOOKUP('Yearly Pension'!AZ$2,'Credited Service'!$G$1:$BC$80,$A44+1,FALSE)) * (IF($B44=500, (Assumptions!$B$7)*12, IF((HLOOKUP(AZ$2,Earnings!$G$2:$BC$81,('Yearly Pension'!$A44)+1, FALSE)) &gt; AZ$1, (Assumptions!$B$8)*(AZ$1) + (Assumptions!$B$9)*MAX(0,  (HLOOKUP(AZ$2,Earnings!$G$2:$BC$81,('Yearly Pension'!$A44)+1, FALSE)) - AZ$1), ((Assumptions!$B$8)*'Yearly Pension'!AZ$1))))</f>
        <v>1712.8261648231478</v>
      </c>
      <c r="BA44" s="6">
        <f>(HLOOKUP('Yearly Pension'!BA$2,'Credited Service'!$G$1:$BC$80,$A44+1,FALSE)) * (IF($B44=500, (Assumptions!$B$7)*12, IF((HLOOKUP(BA$2,Earnings!$G$2:$BC$81,('Yearly Pension'!$A44)+1, FALSE)) &gt; BA$1, (Assumptions!$B$8)*(BA$1) + (Assumptions!$B$9)*MAX(0,  (HLOOKUP(BA$2,Earnings!$G$2:$BC$81,('Yearly Pension'!$A44)+1, FALSE)) - BA$1), ((Assumptions!$B$8)*'Yearly Pension'!BA$1))))</f>
        <v>1760.0786493774422</v>
      </c>
      <c r="BB44" s="6">
        <f>(HLOOKUP('Yearly Pension'!BB$2,'Credited Service'!$G$1:$BC$80,$A44+1,FALSE)) * (IF($B44=500, (Assumptions!$B$7)*12, IF((HLOOKUP(BB$2,Earnings!$G$2:$BC$81,('Yearly Pension'!$A44)+1, FALSE)) &gt; BB$1, (Assumptions!$B$8)*(BB$1) + (Assumptions!$B$9)*MAX(0,  (HLOOKUP(BB$2,Earnings!$G$2:$BC$81,('Yearly Pension'!$A44)+1, FALSE)) - BB$1), ((Assumptions!$B$8)*'Yearly Pension'!BB$1))))</f>
        <v>1808.5834164527494</v>
      </c>
      <c r="BC44" s="6">
        <f>(HLOOKUP('Yearly Pension'!BC$2,'Credited Service'!$G$1:$BC$80,$A44+1,FALSE)) * (IF($B44=500, (Assumptions!$B$7)*12, IF((HLOOKUP(BC$2,Earnings!$G$2:$BC$81,('Yearly Pension'!$A44)+1, FALSE)) &gt; BC$1, (Assumptions!$B$8)*(BC$1) + (Assumptions!$B$9)*MAX(0,  (HLOOKUP(BC$2,Earnings!$G$2:$BC$81,('Yearly Pension'!$A44)+1, FALSE)) - BC$1), ((Assumptions!$B$8)*'Yearly Pension'!BC$1))))</f>
        <v>1858.3714228440754</v>
      </c>
    </row>
    <row r="45" spans="1:55" x14ac:dyDescent="0.25">
      <c r="A45" s="204">
        <v>43</v>
      </c>
      <c r="B45" s="1">
        <v>600</v>
      </c>
      <c r="C45" s="1">
        <v>714</v>
      </c>
      <c r="D45" s="3">
        <v>36556</v>
      </c>
      <c r="E45" s="3">
        <v>47515</v>
      </c>
      <c r="G45" s="6">
        <f>(HLOOKUP('Yearly Pension'!G$2,'Credited Service'!$G$1:$BC$80,$A45+1,FALSE)) * (IF($B45=500, (Assumptions!$B$7)*12, IF((HLOOKUP(G$2,Earnings!$G$2:$BC$81,('Yearly Pension'!$A45)+1, FALSE)) &gt; G$1, (Assumptions!$B$8)*(G$1) + (Assumptions!$B$9)*MAX(0,  (HLOOKUP(G$2,Earnings!$G$2:$BC$81,('Yearly Pension'!$A45)+1, FALSE)) - G$1), ((Assumptions!$B$8)*'Yearly Pension'!G$1))))</f>
        <v>0</v>
      </c>
      <c r="H45" s="6">
        <f>(HLOOKUP('Yearly Pension'!H$2,'Credited Service'!$G$1:$BC$80,$A45+1,FALSE)) * (IF($B45=500, (Assumptions!$B$7)*12, IF((HLOOKUP(H$2,Earnings!$G$2:$BC$81,('Yearly Pension'!$A45)+1, FALSE)) &gt; H$1, (Assumptions!$B$8)*(H$1) + (Assumptions!$B$9)*MAX(0,  (HLOOKUP(H$2,Earnings!$G$2:$BC$81,('Yearly Pension'!$A45)+1, FALSE)) - H$1), ((Assumptions!$B$8)*'Yearly Pension'!H$1))))</f>
        <v>0</v>
      </c>
      <c r="I45" s="6">
        <f>(HLOOKUP('Yearly Pension'!I$2,'Credited Service'!$G$1:$BC$80,$A45+1,FALSE)) * (IF($B45=500, (Assumptions!$B$7)*12, IF((HLOOKUP(I$2,Earnings!$G$2:$BC$81,('Yearly Pension'!$A45)+1, FALSE)) &gt; I$1, (Assumptions!$B$8)*(I$1) + (Assumptions!$B$9)*MAX(0,  (HLOOKUP(I$2,Earnings!$G$2:$BC$81,('Yearly Pension'!$A45)+1, FALSE)) - I$1), ((Assumptions!$B$8)*'Yearly Pension'!I$1))))</f>
        <v>0</v>
      </c>
      <c r="J45" s="6">
        <f>(HLOOKUP('Yearly Pension'!J$2,'Credited Service'!$G$1:$BC$80,$A45+1,FALSE)) * (IF($B45=500, (Assumptions!$B$7)*12, IF((HLOOKUP(J$2,Earnings!$G$2:$BC$81,('Yearly Pension'!$A45)+1, FALSE)) &gt; J$1, (Assumptions!$B$8)*(J$1) + (Assumptions!$B$9)*MAX(0,  (HLOOKUP(J$2,Earnings!$G$2:$BC$81,('Yearly Pension'!$A45)+1, FALSE)) - J$1), ((Assumptions!$B$8)*'Yearly Pension'!J$1))))</f>
        <v>0</v>
      </c>
      <c r="K45" s="6">
        <f>(HLOOKUP('Yearly Pension'!K$2,'Credited Service'!$G$1:$BC$80,$A45+1,FALSE)) * (IF($B45=500, (Assumptions!$B$7)*12, IF((HLOOKUP(K$2,Earnings!$G$2:$BC$81,('Yearly Pension'!$A45)+1, FALSE)) &gt; K$1, (Assumptions!$B$8)*(K$1) + (Assumptions!$B$9)*MAX(0,  (HLOOKUP(K$2,Earnings!$G$2:$BC$81,('Yearly Pension'!$A45)+1, FALSE)) - K$1), ((Assumptions!$B$8)*'Yearly Pension'!K$1))))</f>
        <v>0</v>
      </c>
      <c r="L45" s="6">
        <f>(HLOOKUP('Yearly Pension'!L$2,'Credited Service'!$G$1:$BC$80,$A45+1,FALSE)) * (IF($B45=500, (Assumptions!$B$7)*12, IF((HLOOKUP(L$2,Earnings!$G$2:$BC$81,('Yearly Pension'!$A45)+1, FALSE)) &gt; L$1, (Assumptions!$B$8)*(L$1) + (Assumptions!$B$9)*MAX(0,  (HLOOKUP(L$2,Earnings!$G$2:$BC$81,('Yearly Pension'!$A45)+1, FALSE)) - L$1), ((Assumptions!$B$8)*'Yearly Pension'!L$1))))</f>
        <v>0</v>
      </c>
      <c r="M45" s="6">
        <f>(HLOOKUP('Yearly Pension'!M$2,'Credited Service'!$G$1:$BC$80,$A45+1,FALSE)) * (IF($B45=500, (Assumptions!$B$7)*12, IF((HLOOKUP(M$2,Earnings!$G$2:$BC$81,('Yearly Pension'!$A45)+1, FALSE)) &gt; M$1, (Assumptions!$B$8)*(M$1) + (Assumptions!$B$9)*MAX(0,  (HLOOKUP(M$2,Earnings!$G$2:$BC$81,('Yearly Pension'!$A45)+1, FALSE)) - M$1), ((Assumptions!$B$8)*'Yearly Pension'!M$1))))</f>
        <v>0</v>
      </c>
      <c r="N45" s="6">
        <f>(HLOOKUP('Yearly Pension'!N$2,'Credited Service'!$G$1:$BC$80,$A45+1,FALSE)) * (IF($B45=500, (Assumptions!$B$7)*12, IF((HLOOKUP(N$2,Earnings!$G$2:$BC$81,('Yearly Pension'!$A45)+1, FALSE)) &gt; N$1, (Assumptions!$B$8)*(N$1) + (Assumptions!$B$9)*MAX(0,  (HLOOKUP(N$2,Earnings!$G$2:$BC$81,('Yearly Pension'!$A45)+1, FALSE)) - N$1), ((Assumptions!$B$8)*'Yearly Pension'!N$1))))</f>
        <v>0</v>
      </c>
      <c r="O45" s="6">
        <f>(HLOOKUP('Yearly Pension'!O$2,'Credited Service'!$G$1:$BC$80,$A45+1,FALSE)) * (IF($B45=500, (Assumptions!$B$7)*12, IF((HLOOKUP(O$2,Earnings!$G$2:$BC$81,('Yearly Pension'!$A45)+1, FALSE)) &gt; O$1, (Assumptions!$B$8)*(O$1) + (Assumptions!$B$9)*MAX(0,  (HLOOKUP(O$2,Earnings!$G$2:$BC$81,('Yearly Pension'!$A45)+1, FALSE)) - O$1), ((Assumptions!$B$8)*'Yearly Pension'!O$1))))</f>
        <v>0</v>
      </c>
      <c r="P45" s="6">
        <f>(HLOOKUP('Yearly Pension'!P$2,'Credited Service'!$G$1:$BC$80,$A45+1,FALSE)) * (IF($B45=500, (Assumptions!$B$7)*12, IF((HLOOKUP(P$2,Earnings!$G$2:$BC$81,('Yearly Pension'!$A45)+1, FALSE)) &gt; P$1, (Assumptions!$B$8)*(P$1) + (Assumptions!$B$9)*MAX(0,  (HLOOKUP(P$2,Earnings!$G$2:$BC$81,('Yearly Pension'!$A45)+1, FALSE)) - P$1), ((Assumptions!$B$8)*'Yearly Pension'!P$1))))</f>
        <v>0</v>
      </c>
      <c r="Q45" s="6">
        <f>(HLOOKUP('Yearly Pension'!Q$2,'Credited Service'!$G$1:$BC$80,$A45+1,FALSE)) * (IF($B45=500, (Assumptions!$B$7)*12, IF((HLOOKUP(Q$2,Earnings!$G$2:$BC$81,('Yearly Pension'!$A45)+1, FALSE)) &gt; Q$1, (Assumptions!$B$8)*(Q$1) + (Assumptions!$B$9)*MAX(0,  (HLOOKUP(Q$2,Earnings!$G$2:$BC$81,('Yearly Pension'!$A45)+1, FALSE)) - Q$1), ((Assumptions!$B$8)*'Yearly Pension'!Q$1))))</f>
        <v>0</v>
      </c>
      <c r="R45" s="6">
        <f>(HLOOKUP('Yearly Pension'!R$2,'Credited Service'!$G$1:$BC$80,$A45+1,FALSE)) * (IF($B45=500, (Assumptions!$B$7)*12, IF((HLOOKUP(R$2,Earnings!$G$2:$BC$81,('Yearly Pension'!$A45)+1, FALSE)) &gt; R$1, (Assumptions!$B$8)*(R$1) + (Assumptions!$B$9)*MAX(0,  (HLOOKUP(R$2,Earnings!$G$2:$BC$81,('Yearly Pension'!$A45)+1, FALSE)) - R$1), ((Assumptions!$B$8)*'Yearly Pension'!R$1))))</f>
        <v>0</v>
      </c>
      <c r="S45" s="6">
        <f>(HLOOKUP('Yearly Pension'!S$2,'Credited Service'!$G$1:$BC$80,$A45+1,FALSE)) * (IF($B45=500, (Assumptions!$B$7)*12, IF((HLOOKUP(S$2,Earnings!$G$2:$BC$81,('Yearly Pension'!$A45)+1, FALSE)) &gt; S$1, (Assumptions!$B$8)*(S$1) + (Assumptions!$B$9)*MAX(0,  (HLOOKUP(S$2,Earnings!$G$2:$BC$81,('Yearly Pension'!$A45)+1, FALSE)) - S$1), ((Assumptions!$B$8)*'Yearly Pension'!S$1))))</f>
        <v>0</v>
      </c>
      <c r="T45" s="6">
        <f>(HLOOKUP('Yearly Pension'!T$2,'Credited Service'!$G$1:$BC$80,$A45+1,FALSE)) * (IF($B45=500, (Assumptions!$B$7)*12, IF((HLOOKUP(T$2,Earnings!$G$2:$BC$81,('Yearly Pension'!$A45)+1, FALSE)) &gt; T$1, (Assumptions!$B$8)*(T$1) + (Assumptions!$B$9)*MAX(0,  (HLOOKUP(T$2,Earnings!$G$2:$BC$81,('Yearly Pension'!$A45)+1, FALSE)) - T$1), ((Assumptions!$B$8)*'Yearly Pension'!T$1))))</f>
        <v>0</v>
      </c>
      <c r="U45" s="6">
        <f>(HLOOKUP('Yearly Pension'!U$2,'Credited Service'!$G$1:$BC$80,$A45+1,FALSE)) * (IF($B45=500, (Assumptions!$B$7)*12, IF((HLOOKUP(U$2,Earnings!$G$2:$BC$81,('Yearly Pension'!$A45)+1, FALSE)) &gt; U$1, (Assumptions!$B$8)*(U$1) + (Assumptions!$B$9)*MAX(0,  (HLOOKUP(U$2,Earnings!$G$2:$BC$81,('Yearly Pension'!$A45)+1, FALSE)) - U$1), ((Assumptions!$B$8)*'Yearly Pension'!U$1))))</f>
        <v>0</v>
      </c>
      <c r="V45" s="6">
        <f>(HLOOKUP('Yearly Pension'!V$2,'Credited Service'!$G$1:$BC$80,$A45+1,FALSE)) * (IF($B45=500, (Assumptions!$B$7)*12, IF((HLOOKUP(V$2,Earnings!$G$2:$BC$81,('Yearly Pension'!$A45)+1, FALSE)) &gt; V$1, (Assumptions!$B$8)*(V$1) + (Assumptions!$B$9)*MAX(0,  (HLOOKUP(V$2,Earnings!$G$2:$BC$81,('Yearly Pension'!$A45)+1, FALSE)) - V$1), ((Assumptions!$B$8)*'Yearly Pension'!V$1))))</f>
        <v>0</v>
      </c>
      <c r="W45" s="6">
        <f>(HLOOKUP('Yearly Pension'!W$2,'Credited Service'!$G$1:$BC$80,$A45+1,FALSE)) * (IF($B45=500, (Assumptions!$B$7)*12, IF((HLOOKUP(W$2,Earnings!$G$2:$BC$81,('Yearly Pension'!$A45)+1, FALSE)) &gt; W$1, (Assumptions!$B$8)*(W$1) + (Assumptions!$B$9)*MAX(0,  (HLOOKUP(W$2,Earnings!$G$2:$BC$81,('Yearly Pension'!$A45)+1, FALSE)) - W$1), ((Assumptions!$B$8)*'Yearly Pension'!W$1))))</f>
        <v>0</v>
      </c>
      <c r="X45" s="6">
        <f>(HLOOKUP('Yearly Pension'!X$2,'Credited Service'!$G$1:$BC$80,$A45+1,FALSE)) * (IF($B45=500, (Assumptions!$B$7)*12, IF((HLOOKUP(X$2,Earnings!$G$2:$BC$81,('Yearly Pension'!$A45)+1, FALSE)) &gt; X$1, (Assumptions!$B$8)*(X$1) + (Assumptions!$B$9)*MAX(0,  (HLOOKUP(X$2,Earnings!$G$2:$BC$81,('Yearly Pension'!$A45)+1, FALSE)) - X$1), ((Assumptions!$B$8)*'Yearly Pension'!X$1))))</f>
        <v>0</v>
      </c>
      <c r="Y45" s="6">
        <f>(HLOOKUP('Yearly Pension'!Y$2,'Credited Service'!$G$1:$BC$80,$A45+1,FALSE)) * (IF($B45=500, (Assumptions!$B$7)*12, IF((HLOOKUP(Y$2,Earnings!$G$2:$BC$81,('Yearly Pension'!$A45)+1, FALSE)) &gt; Y$1, (Assumptions!$B$8)*(Y$1) + (Assumptions!$B$9)*MAX(0,  (HLOOKUP(Y$2,Earnings!$G$2:$BC$81,('Yearly Pension'!$A45)+1, FALSE)) - Y$1), ((Assumptions!$B$8)*'Yearly Pension'!Y$1))))</f>
        <v>0</v>
      </c>
      <c r="Z45" s="6">
        <f>(HLOOKUP('Yearly Pension'!Z$2,'Credited Service'!$G$1:$BC$80,$A45+1,FALSE)) * (IF($B45=500, (Assumptions!$B$7)*12, IF((HLOOKUP(Z$2,Earnings!$G$2:$BC$81,('Yearly Pension'!$A45)+1, FALSE)) &gt; Z$1, (Assumptions!$B$8)*(Z$1) + (Assumptions!$B$9)*MAX(0,  (HLOOKUP(Z$2,Earnings!$G$2:$BC$81,('Yearly Pension'!$A45)+1, FALSE)) - Z$1), ((Assumptions!$B$8)*'Yearly Pension'!Z$1))))</f>
        <v>0</v>
      </c>
      <c r="AA45" s="6">
        <f>(HLOOKUP('Yearly Pension'!AA$2,'Credited Service'!$G$1:$BC$80,$A45+1,FALSE)) * (IF($B45=500, (Assumptions!$B$7)*12, IF((HLOOKUP(AA$2,Earnings!$G$2:$BC$81,('Yearly Pension'!$A45)+1, FALSE)) &gt; AA$1, (Assumptions!$B$8)*(AA$1) + (Assumptions!$B$9)*MAX(0,  (HLOOKUP(AA$2,Earnings!$G$2:$BC$81,('Yearly Pension'!$A45)+1, FALSE)) - AA$1), ((Assumptions!$B$8)*'Yearly Pension'!AA$1))))</f>
        <v>0</v>
      </c>
      <c r="AB45" s="6">
        <f>(HLOOKUP('Yearly Pension'!AB$2,'Credited Service'!$G$1:$BC$80,$A45+1,FALSE)) * (IF($B45=500, (Assumptions!$B$7)*12, IF((HLOOKUP(AB$2,Earnings!$G$2:$BC$81,('Yearly Pension'!$A45)+1, FALSE)) &gt; AB$1, (Assumptions!$B$8)*(AB$1) + (Assumptions!$B$9)*MAX(0,  (HLOOKUP(AB$2,Earnings!$G$2:$BC$81,('Yearly Pension'!$A45)+1, FALSE)) - AB$1), ((Assumptions!$B$8)*'Yearly Pension'!AB$1))))</f>
        <v>0</v>
      </c>
      <c r="AC45" s="6">
        <f>(HLOOKUP('Yearly Pension'!AC$2,'Credited Service'!$G$1:$BC$80,$A45+1,FALSE)) * (IF($B45=500, (Assumptions!$B$7)*12, IF((HLOOKUP(AC$2,Earnings!$G$2:$BC$81,('Yearly Pension'!$A45)+1, FALSE)) &gt; AC$1, (Assumptions!$B$8)*(AC$1) + (Assumptions!$B$9)*MAX(0,  (HLOOKUP(AC$2,Earnings!$G$2:$BC$81,('Yearly Pension'!$A45)+1, FALSE)) - AC$1), ((Assumptions!$B$8)*'Yearly Pension'!AC$1))))</f>
        <v>0</v>
      </c>
      <c r="AD45" s="6">
        <f>(HLOOKUP('Yearly Pension'!AD$2,'Credited Service'!$G$1:$BC$80,$A45+1,FALSE)) * (IF($B45=500, (Assumptions!$B$7)*12, IF((HLOOKUP(AD$2,Earnings!$G$2:$BC$81,('Yearly Pension'!$A45)+1, FALSE)) &gt; AD$1, (Assumptions!$B$8)*(AD$1) + (Assumptions!$B$9)*MAX(0,  (HLOOKUP(AD$2,Earnings!$G$2:$BC$81,('Yearly Pension'!$A45)+1, FALSE)) - AD$1), ((Assumptions!$B$8)*'Yearly Pension'!AD$1))))</f>
        <v>676.57250076941318</v>
      </c>
      <c r="AE45" s="6">
        <f>(HLOOKUP('Yearly Pension'!AE$2,'Credited Service'!$G$1:$BC$80,$A45+1,FALSE)) * (IF($B45=500, (Assumptions!$B$7)*12, IF((HLOOKUP(AE$2,Earnings!$G$2:$BC$81,('Yearly Pension'!$A45)+1, FALSE)) &gt; AE$1, (Assumptions!$B$8)*(AE$1) + (Assumptions!$B$9)*MAX(0,  (HLOOKUP(AE$2,Earnings!$G$2:$BC$81,('Yearly Pension'!$A45)+1, FALSE)) - AE$1), ((Assumptions!$B$8)*'Yearly Pension'!AE$1))))</f>
        <v>772.74785541838878</v>
      </c>
      <c r="AF45" s="6">
        <f>(HLOOKUP('Yearly Pension'!AF$2,'Credited Service'!$G$1:$BC$80,$A45+1,FALSE)) * (IF($B45=500, (Assumptions!$B$7)*12, IF((HLOOKUP(AF$2,Earnings!$G$2:$BC$81,('Yearly Pension'!$A45)+1, FALSE)) &gt; AF$1, (Assumptions!$B$8)*(AF$1) + (Assumptions!$B$9)*MAX(0,  (HLOOKUP(AF$2,Earnings!$G$2:$BC$81,('Yearly Pension'!$A45)+1, FALSE)) - AF$1), ((Assumptions!$B$8)*'Yearly Pension'!AF$1))))</f>
        <v>808.34256963512439</v>
      </c>
      <c r="AG45" s="6">
        <f>(HLOOKUP('Yearly Pension'!AG$2,'Credited Service'!$G$1:$BC$80,$A45+1,FALSE)) * (IF($B45=500, (Assumptions!$B$7)*12, IF((HLOOKUP(AG$2,Earnings!$G$2:$BC$81,('Yearly Pension'!$A45)+1, FALSE)) &gt; AG$1, (Assumptions!$B$8)*(AG$1) + (Assumptions!$B$9)*MAX(0,  (HLOOKUP(AG$2,Earnings!$G$2:$BC$81,('Yearly Pension'!$A45)+1, FALSE)) - AG$1), ((Assumptions!$B$8)*'Yearly Pension'!AG$1))))</f>
        <v>845.56587242052933</v>
      </c>
      <c r="AH45" s="6">
        <f>(HLOOKUP('Yearly Pension'!AH$2,'Credited Service'!$G$1:$BC$80,$A45+1,FALSE)) * (IF($B45=500, (Assumptions!$B$7)*12, IF((HLOOKUP(AH$2,Earnings!$G$2:$BC$81,('Yearly Pension'!$A45)+1, FALSE)) &gt; AH$1, (Assumptions!$B$8)*(AH$1) + (Assumptions!$B$9)*MAX(0,  (HLOOKUP(AH$2,Earnings!$G$2:$BC$81,('Yearly Pension'!$A45)+1, FALSE)) - AH$1), ((Assumptions!$B$8)*'Yearly Pension'!AH$1))))</f>
        <v>885.7629073173506</v>
      </c>
      <c r="AI45" s="6">
        <f>(HLOOKUP('Yearly Pension'!AI$2,'Credited Service'!$G$1:$BC$80,$A45+1,FALSE)) * (IF($B45=500, (Assumptions!$B$7)*12, IF((HLOOKUP(AI$2,Earnings!$G$2:$BC$81,('Yearly Pension'!$A45)+1, FALSE)) &gt; AI$1, (Assumptions!$B$8)*(AI$1) + (Assumptions!$B$9)*MAX(0,  (HLOOKUP(AI$2,Earnings!$G$2:$BC$81,('Yearly Pension'!$A45)+1, FALSE)) - AI$1), ((Assumptions!$B$8)*'Yearly Pension'!AI$1))))</f>
        <v>927.72142361004467</v>
      </c>
      <c r="AJ45" s="6">
        <f>(HLOOKUP('Yearly Pension'!AJ$2,'Credited Service'!$G$1:$BC$80,$A45+1,FALSE)) * (IF($B45=500, (Assumptions!$B$7)*12, IF((HLOOKUP(AJ$2,Earnings!$G$2:$BC$81,('Yearly Pension'!$A45)+1, FALSE)) &gt; AJ$1, (Assumptions!$B$8)*(AJ$1) + (Assumptions!$B$9)*MAX(0,  (HLOOKUP(AJ$2,Earnings!$G$2:$BC$81,('Yearly Pension'!$A45)+1, FALSE)) - AJ$1), ((Assumptions!$B$8)*'Yearly Pension'!AJ$1))))</f>
        <v>968.95188055444646</v>
      </c>
      <c r="AK45" s="6">
        <f>(HLOOKUP('Yearly Pension'!AK$2,'Credited Service'!$G$1:$BC$80,$A45+1,FALSE)) * (IF($B45=500, (Assumptions!$B$7)*12, IF((HLOOKUP(AK$2,Earnings!$G$2:$BC$81,('Yearly Pension'!$A45)+1, FALSE)) &gt; AK$1, (Assumptions!$B$8)*(AK$1) + (Assumptions!$B$9)*MAX(0,  (HLOOKUP(AK$2,Earnings!$G$2:$BC$81,('Yearly Pension'!$A45)+1, FALSE)) - AK$1), ((Assumptions!$B$8)*'Yearly Pension'!AK$1))))</f>
        <v>1008.2475557766245</v>
      </c>
      <c r="AL45" s="6">
        <f>(HLOOKUP('Yearly Pension'!AL$2,'Credited Service'!$G$1:$BC$80,$A45+1,FALSE)) * (IF($B45=500, (Assumptions!$B$7)*12, IF((HLOOKUP(AL$2,Earnings!$G$2:$BC$81,('Yearly Pension'!$A45)+1, FALSE)) &gt; AL$1, (Assumptions!$B$8)*(AL$1) + (Assumptions!$B$9)*MAX(0,  (HLOOKUP(AL$2,Earnings!$G$2:$BC$81,('Yearly Pension'!$A45)+1, FALSE)) - AL$1), ((Assumptions!$B$8)*'Yearly Pension'!AL$1))))</f>
        <v>1052.0846580076895</v>
      </c>
      <c r="AM45" s="6">
        <f>(HLOOKUP('Yearly Pension'!AM$2,'Credited Service'!$G$1:$BC$80,$A45+1,FALSE)) * (IF($B45=500, (Assumptions!$B$7)*12, IF((HLOOKUP(AM$2,Earnings!$G$2:$BC$81,('Yearly Pension'!$A45)+1, FALSE)) &gt; AM$1, (Assumptions!$B$8)*(AM$1) + (Assumptions!$B$9)*MAX(0,  (HLOOKUP(AM$2,Earnings!$G$2:$BC$81,('Yearly Pension'!$A45)+1, FALSE)) - AM$1), ((Assumptions!$B$8)*'Yearly Pension'!AM$1))))</f>
        <v>1096.7024443279972</v>
      </c>
      <c r="AN45" s="6">
        <f>(HLOOKUP('Yearly Pension'!AN$2,'Credited Service'!$G$1:$BC$80,$A45+1,FALSE)) * (IF($B45=500, (Assumptions!$B$7)*12, IF((HLOOKUP(AN$2,Earnings!$G$2:$BC$81,('Yearly Pension'!$A45)+1, FALSE)) &gt; AN$1, (Assumptions!$B$8)*(AN$1) + (Assumptions!$B$9)*MAX(0,  (HLOOKUP(AN$2,Earnings!$G$2:$BC$81,('Yearly Pension'!$A45)+1, FALSE)) - AN$1), ((Assumptions!$B$8)*'Yearly Pension'!AN$1))))</f>
        <v>1146.663342101117</v>
      </c>
      <c r="AO45" s="6">
        <f>(HLOOKUP('Yearly Pension'!AO$2,'Credited Service'!$G$1:$BC$80,$A45+1,FALSE)) * (IF($B45=500, (Assumptions!$B$7)*12, IF((HLOOKUP(AO$2,Earnings!$G$2:$BC$81,('Yearly Pension'!$A45)+1, FALSE)) &gt; AO$1, (Assumptions!$B$8)*(AO$1) + (Assumptions!$B$9)*MAX(0,  (HLOOKUP(AO$2,Earnings!$G$2:$BC$81,('Yearly Pension'!$A45)+1, FALSE)) - AO$1), ((Assumptions!$B$8)*'Yearly Pension'!AO$1))))</f>
        <v>1197.5730757851616</v>
      </c>
      <c r="AP45" s="6">
        <f>(HLOOKUP('Yearly Pension'!AP$2,'Credited Service'!$G$1:$BC$80,$A45+1,FALSE)) * (IF($B45=500, (Assumptions!$B$7)*12, IF((HLOOKUP(AP$2,Earnings!$G$2:$BC$81,('Yearly Pension'!$A45)+1, FALSE)) &gt; AP$1, (Assumptions!$B$8)*(AP$1) + (Assumptions!$B$9)*MAX(0,  (HLOOKUP(AP$2,Earnings!$G$2:$BC$81,('Yearly Pension'!$A45)+1, FALSE)) - AP$1), ((Assumptions!$B$8)*'Yearly Pension'!AP$1))))</f>
        <v>1246.3207988165682</v>
      </c>
      <c r="AQ45" s="6">
        <f>(HLOOKUP('Yearly Pension'!AQ$2,'Credited Service'!$G$1:$BC$80,$A45+1,FALSE)) * (IF($B45=500, (Assumptions!$B$7)*12, IF((HLOOKUP(AQ$2,Earnings!$G$2:$BC$81,('Yearly Pension'!$A45)+1, FALSE)) &gt; AQ$1, (Assumptions!$B$8)*(AQ$1) + (Assumptions!$B$9)*MAX(0,  (HLOOKUP(AQ$2,Earnings!$G$2:$BC$81,('Yearly Pension'!$A45)+1, FALSE)) - AQ$1), ((Assumptions!$B$8)*'Yearly Pension'!AQ$1))))</f>
        <v>1302.5992307692309</v>
      </c>
      <c r="AR45" s="6">
        <f>(HLOOKUP('Yearly Pension'!AR$2,'Credited Service'!$G$1:$BC$80,$A45+1,FALSE)) * (IF($B45=500, (Assumptions!$B$7)*12, IF((HLOOKUP(AR$2,Earnings!$G$2:$BC$81,('Yearly Pension'!$A45)+1, FALSE)) &gt; AR$1, (Assumptions!$B$8)*(AR$1) + (Assumptions!$B$9)*MAX(0,  (HLOOKUP(AR$2,Earnings!$G$2:$BC$81,('Yearly Pension'!$A45)+1, FALSE)) - AR$1), ((Assumptions!$B$8)*'Yearly Pension'!AR$1))))</f>
        <v>1358.8248000000001</v>
      </c>
      <c r="AS45" s="6">
        <f>(HLOOKUP('Yearly Pension'!AS$2,'Credited Service'!$G$1:$BC$80,$A45+1,FALSE)) * (IF($B45=500, (Assumptions!$B$7)*12, IF((HLOOKUP(AS$2,Earnings!$G$2:$BC$81,('Yearly Pension'!$A45)+1, FALSE)) &gt; AS$1, (Assumptions!$B$8)*(AS$1) + (Assumptions!$B$9)*MAX(0,  (HLOOKUP(AS$2,Earnings!$G$2:$BC$81,('Yearly Pension'!$A45)+1, FALSE)) - AS$1), ((Assumptions!$B$8)*'Yearly Pension'!AS$1))))</f>
        <v>1402.6295440000001</v>
      </c>
      <c r="AT45" s="6">
        <f>(HLOOKUP('Yearly Pension'!AT$2,'Credited Service'!$G$1:$BC$80,$A45+1,FALSE)) * (IF($B45=500, (Assumptions!$B$7)*12, IF((HLOOKUP(AT$2,Earnings!$G$2:$BC$81,('Yearly Pension'!$A45)+1, FALSE)) &gt; AT$1, (Assumptions!$B$8)*(AT$1) + (Assumptions!$B$9)*MAX(0,  (HLOOKUP(AT$2,Earnings!$G$2:$BC$81,('Yearly Pension'!$A45)+1, FALSE)) - AT$1), ((Assumptions!$B$8)*'Yearly Pension'!AT$1))))</f>
        <v>1446.6796303200003</v>
      </c>
      <c r="AU45" s="6">
        <f>(HLOOKUP('Yearly Pension'!AU$2,'Credited Service'!$G$1:$BC$80,$A45+1,FALSE)) * (IF($B45=500, (Assumptions!$B$7)*12, IF((HLOOKUP(AU$2,Earnings!$G$2:$BC$81,('Yearly Pension'!$A45)+1, FALSE)) &gt; AU$1, (Assumptions!$B$8)*(AU$1) + (Assumptions!$B$9)*MAX(0,  (HLOOKUP(AU$2,Earnings!$G$2:$BC$81,('Yearly Pension'!$A45)+1, FALSE)) - AU$1), ((Assumptions!$B$8)*'Yearly Pension'!AU$1))))</f>
        <v>1498.0608192296004</v>
      </c>
      <c r="AV45" s="6">
        <f>(HLOOKUP('Yearly Pension'!AV$2,'Credited Service'!$G$1:$BC$80,$A45+1,FALSE)) * (IF($B45=500, (Assumptions!$B$7)*12, IF((HLOOKUP(AV$2,Earnings!$G$2:$BC$81,('Yearly Pension'!$A45)+1, FALSE)) &gt; AV$1, (Assumptions!$B$8)*(AV$1) + (Assumptions!$B$9)*MAX(0,  (HLOOKUP(AV$2,Earnings!$G$2:$BC$81,('Yearly Pension'!$A45)+1, FALSE)) - AV$1), ((Assumptions!$B$8)*'Yearly Pension'!AV$1))))</f>
        <v>1549.7802438064882</v>
      </c>
      <c r="AW45" s="6">
        <f>(HLOOKUP('Yearly Pension'!AW$2,'Credited Service'!$G$1:$BC$80,$A45+1,FALSE)) * (IF($B45=500, (Assumptions!$B$7)*12, IF((HLOOKUP(AW$2,Earnings!$G$2:$BC$81,('Yearly Pension'!$A45)+1, FALSE)) &gt; AW$1, (Assumptions!$B$8)*(AW$1) + (Assumptions!$B$9)*MAX(0,  (HLOOKUP(AW$2,Earnings!$G$2:$BC$81,('Yearly Pension'!$A45)+1, FALSE)) - AW$1), ((Assumptions!$B$8)*'Yearly Pension'!AW$1))))</f>
        <v>1597.406451120683</v>
      </c>
      <c r="AX45" s="6">
        <f>(HLOOKUP('Yearly Pension'!AX$2,'Credited Service'!$G$1:$BC$80,$A45+1,FALSE)) * (IF($B45=500, (Assumptions!$B$7)*12, IF((HLOOKUP(AX$2,Earnings!$G$2:$BC$81,('Yearly Pension'!$A45)+1, FALSE)) &gt; AX$1, (Assumptions!$B$8)*(AX$1) + (Assumptions!$B$9)*MAX(0,  (HLOOKUP(AX$2,Earnings!$G$2:$BC$81,('Yearly Pension'!$A45)+1, FALSE)) - AX$1), ((Assumptions!$B$8)*'Yearly Pension'!AX$1))))</f>
        <v>1641.6550446543038</v>
      </c>
      <c r="AY45" s="6">
        <f>(HLOOKUP('Yearly Pension'!AY$2,'Credited Service'!$G$1:$BC$80,$A45+1,FALSE)) * (IF($B45=500, (Assumptions!$B$7)*12, IF((HLOOKUP(AY$2,Earnings!$G$2:$BC$81,('Yearly Pension'!$A45)+1, FALSE)) &gt; AY$1, (Assumptions!$B$8)*(AY$1) + (Assumptions!$B$9)*MAX(0,  (HLOOKUP(AY$2,Earnings!$G$2:$BC$81,('Yearly Pension'!$A45)+1, FALSE)) - AY$1), ((Assumptions!$B$8)*'Yearly Pension'!AY$1))))</f>
        <v>1687.0841519939329</v>
      </c>
      <c r="AZ45" s="6">
        <f>(HLOOKUP('Yearly Pension'!AZ$2,'Credited Service'!$G$1:$BC$80,$A45+1,FALSE)) * (IF($B45=500, (Assumptions!$B$7)*12, IF((HLOOKUP(AZ$2,Earnings!$G$2:$BC$81,('Yearly Pension'!$A45)+1, FALSE)) &gt; AZ$1, (Assumptions!$B$8)*(AZ$1) + (Assumptions!$B$9)*MAX(0,  (HLOOKUP(AZ$2,Earnings!$G$2:$BC$81,('Yearly Pension'!$A45)+1, FALSE)) - AZ$1), ((Assumptions!$B$8)*'Yearly Pension'!AZ$1))))</f>
        <v>1733.7233107937509</v>
      </c>
      <c r="BA45" s="6">
        <f>(HLOOKUP('Yearly Pension'!BA$2,'Credited Service'!$G$1:$BC$80,$A45+1,FALSE)) * (IF($B45=500, (Assumptions!$B$7)*12, IF((HLOOKUP(BA$2,Earnings!$G$2:$BC$81,('Yearly Pension'!$A45)+1, FALSE)) &gt; BA$1, (Assumptions!$B$8)*(BA$1) + (Assumptions!$B$9)*MAX(0,  (HLOOKUP(BA$2,Earnings!$G$2:$BC$81,('Yearly Pension'!$A45)+1, FALSE)) - BA$1), ((Assumptions!$B$8)*'Yearly Pension'!BA$1))))</f>
        <v>1781.6027097271635</v>
      </c>
      <c r="BB45" s="6">
        <f>(HLOOKUP('Yearly Pension'!BB$2,'Credited Service'!$G$1:$BC$80,$A45+1,FALSE)) * (IF($B45=500, (Assumptions!$B$7)*12, IF((HLOOKUP(BB$2,Earnings!$G$2:$BC$81,('Yearly Pension'!$A45)+1, FALSE)) &gt; BB$1, (Assumptions!$B$8)*(BB$1) + (Assumptions!$B$9)*MAX(0,  (HLOOKUP(BB$2,Earnings!$G$2:$BC$81,('Yearly Pension'!$A45)+1, FALSE)) - BB$1), ((Assumptions!$B$8)*'Yearly Pension'!BB$1))))</f>
        <v>1830.7531986129625</v>
      </c>
      <c r="BC45" s="6">
        <f>(HLOOKUP('Yearly Pension'!BC$2,'Credited Service'!$G$1:$BC$80,$A45+1,FALSE)) * (IF($B45=500, (Assumptions!$B$7)*12, IF((HLOOKUP(BC$2,Earnings!$G$2:$BC$81,('Yearly Pension'!$A45)+1, FALSE)) &gt; BC$1, (Assumptions!$B$8)*(BC$1) + (Assumptions!$B$9)*MAX(0,  (HLOOKUP(BC$2,Earnings!$G$2:$BC$81,('Yearly Pension'!$A45)+1, FALSE)) - BC$1), ((Assumptions!$B$8)*'Yearly Pension'!BC$1))))</f>
        <v>1881.2062984690947</v>
      </c>
    </row>
    <row r="46" spans="1:55" x14ac:dyDescent="0.25">
      <c r="A46" s="204">
        <v>44</v>
      </c>
      <c r="B46" s="1">
        <v>600</v>
      </c>
      <c r="C46" s="1">
        <v>709</v>
      </c>
      <c r="D46" s="3">
        <v>35570</v>
      </c>
      <c r="E46" s="3">
        <v>51257</v>
      </c>
      <c r="G46" s="6">
        <f>(HLOOKUP('Yearly Pension'!G$2,'Credited Service'!$G$1:$BC$80,$A46+1,FALSE)) * (IF($B46=500, (Assumptions!$B$7)*12, IF((HLOOKUP(G$2,Earnings!$G$2:$BC$81,('Yearly Pension'!$A46)+1, FALSE)) &gt; G$1, (Assumptions!$B$8)*(G$1) + (Assumptions!$B$9)*MAX(0,  (HLOOKUP(G$2,Earnings!$G$2:$BC$81,('Yearly Pension'!$A46)+1, FALSE)) - G$1), ((Assumptions!$B$8)*'Yearly Pension'!G$1))))</f>
        <v>0</v>
      </c>
      <c r="H46" s="6">
        <f>(HLOOKUP('Yearly Pension'!H$2,'Credited Service'!$G$1:$BC$80,$A46+1,FALSE)) * (IF($B46=500, (Assumptions!$B$7)*12, IF((HLOOKUP(H$2,Earnings!$G$2:$BC$81,('Yearly Pension'!$A46)+1, FALSE)) &gt; H$1, (Assumptions!$B$8)*(H$1) + (Assumptions!$B$9)*MAX(0,  (HLOOKUP(H$2,Earnings!$G$2:$BC$81,('Yearly Pension'!$A46)+1, FALSE)) - H$1), ((Assumptions!$B$8)*'Yearly Pension'!H$1))))</f>
        <v>0</v>
      </c>
      <c r="I46" s="6">
        <f>(HLOOKUP('Yearly Pension'!I$2,'Credited Service'!$G$1:$BC$80,$A46+1,FALSE)) * (IF($B46=500, (Assumptions!$B$7)*12, IF((HLOOKUP(I$2,Earnings!$G$2:$BC$81,('Yearly Pension'!$A46)+1, FALSE)) &gt; I$1, (Assumptions!$B$8)*(I$1) + (Assumptions!$B$9)*MAX(0,  (HLOOKUP(I$2,Earnings!$G$2:$BC$81,('Yearly Pension'!$A46)+1, FALSE)) - I$1), ((Assumptions!$B$8)*'Yearly Pension'!I$1))))</f>
        <v>0</v>
      </c>
      <c r="J46" s="6">
        <f>(HLOOKUP('Yearly Pension'!J$2,'Credited Service'!$G$1:$BC$80,$A46+1,FALSE)) * (IF($B46=500, (Assumptions!$B$7)*12, IF((HLOOKUP(J$2,Earnings!$G$2:$BC$81,('Yearly Pension'!$A46)+1, FALSE)) &gt; J$1, (Assumptions!$B$8)*(J$1) + (Assumptions!$B$9)*MAX(0,  (HLOOKUP(J$2,Earnings!$G$2:$BC$81,('Yearly Pension'!$A46)+1, FALSE)) - J$1), ((Assumptions!$B$8)*'Yearly Pension'!J$1))))</f>
        <v>0</v>
      </c>
      <c r="K46" s="6">
        <f>(HLOOKUP('Yearly Pension'!K$2,'Credited Service'!$G$1:$BC$80,$A46+1,FALSE)) * (IF($B46=500, (Assumptions!$B$7)*12, IF((HLOOKUP(K$2,Earnings!$G$2:$BC$81,('Yearly Pension'!$A46)+1, FALSE)) &gt; K$1, (Assumptions!$B$8)*(K$1) + (Assumptions!$B$9)*MAX(0,  (HLOOKUP(K$2,Earnings!$G$2:$BC$81,('Yearly Pension'!$A46)+1, FALSE)) - K$1), ((Assumptions!$B$8)*'Yearly Pension'!K$1))))</f>
        <v>0</v>
      </c>
      <c r="L46" s="6">
        <f>(HLOOKUP('Yearly Pension'!L$2,'Credited Service'!$G$1:$BC$80,$A46+1,FALSE)) * (IF($B46=500, (Assumptions!$B$7)*12, IF((HLOOKUP(L$2,Earnings!$G$2:$BC$81,('Yearly Pension'!$A46)+1, FALSE)) &gt; L$1, (Assumptions!$B$8)*(L$1) + (Assumptions!$B$9)*MAX(0,  (HLOOKUP(L$2,Earnings!$G$2:$BC$81,('Yearly Pension'!$A46)+1, FALSE)) - L$1), ((Assumptions!$B$8)*'Yearly Pension'!L$1))))</f>
        <v>0</v>
      </c>
      <c r="M46" s="6">
        <f>(HLOOKUP('Yearly Pension'!M$2,'Credited Service'!$G$1:$BC$80,$A46+1,FALSE)) * (IF($B46=500, (Assumptions!$B$7)*12, IF((HLOOKUP(M$2,Earnings!$G$2:$BC$81,('Yearly Pension'!$A46)+1, FALSE)) &gt; M$1, (Assumptions!$B$8)*(M$1) + (Assumptions!$B$9)*MAX(0,  (HLOOKUP(M$2,Earnings!$G$2:$BC$81,('Yearly Pension'!$A46)+1, FALSE)) - M$1), ((Assumptions!$B$8)*'Yearly Pension'!M$1))))</f>
        <v>0</v>
      </c>
      <c r="N46" s="6">
        <f>(HLOOKUP('Yearly Pension'!N$2,'Credited Service'!$G$1:$BC$80,$A46+1,FALSE)) * (IF($B46=500, (Assumptions!$B$7)*12, IF((HLOOKUP(N$2,Earnings!$G$2:$BC$81,('Yearly Pension'!$A46)+1, FALSE)) &gt; N$1, (Assumptions!$B$8)*(N$1) + (Assumptions!$B$9)*MAX(0,  (HLOOKUP(N$2,Earnings!$G$2:$BC$81,('Yearly Pension'!$A46)+1, FALSE)) - N$1), ((Assumptions!$B$8)*'Yearly Pension'!N$1))))</f>
        <v>0</v>
      </c>
      <c r="O46" s="6">
        <f>(HLOOKUP('Yearly Pension'!O$2,'Credited Service'!$G$1:$BC$80,$A46+1,FALSE)) * (IF($B46=500, (Assumptions!$B$7)*12, IF((HLOOKUP(O$2,Earnings!$G$2:$BC$81,('Yearly Pension'!$A46)+1, FALSE)) &gt; O$1, (Assumptions!$B$8)*(O$1) + (Assumptions!$B$9)*MAX(0,  (HLOOKUP(O$2,Earnings!$G$2:$BC$81,('Yearly Pension'!$A46)+1, FALSE)) - O$1), ((Assumptions!$B$8)*'Yearly Pension'!O$1))))</f>
        <v>0</v>
      </c>
      <c r="P46" s="6">
        <f>(HLOOKUP('Yearly Pension'!P$2,'Credited Service'!$G$1:$BC$80,$A46+1,FALSE)) * (IF($B46=500, (Assumptions!$B$7)*12, IF((HLOOKUP(P$2,Earnings!$G$2:$BC$81,('Yearly Pension'!$A46)+1, FALSE)) &gt; P$1, (Assumptions!$B$8)*(P$1) + (Assumptions!$B$9)*MAX(0,  (HLOOKUP(P$2,Earnings!$G$2:$BC$81,('Yearly Pension'!$A46)+1, FALSE)) - P$1), ((Assumptions!$B$8)*'Yearly Pension'!P$1))))</f>
        <v>0</v>
      </c>
      <c r="Q46" s="6">
        <f>(HLOOKUP('Yearly Pension'!Q$2,'Credited Service'!$G$1:$BC$80,$A46+1,FALSE)) * (IF($B46=500, (Assumptions!$B$7)*12, IF((HLOOKUP(Q$2,Earnings!$G$2:$BC$81,('Yearly Pension'!$A46)+1, FALSE)) &gt; Q$1, (Assumptions!$B$8)*(Q$1) + (Assumptions!$B$9)*MAX(0,  (HLOOKUP(Q$2,Earnings!$G$2:$BC$81,('Yearly Pension'!$A46)+1, FALSE)) - Q$1), ((Assumptions!$B$8)*'Yearly Pension'!Q$1))))</f>
        <v>0</v>
      </c>
      <c r="R46" s="6">
        <f>(HLOOKUP('Yearly Pension'!R$2,'Credited Service'!$G$1:$BC$80,$A46+1,FALSE)) * (IF($B46=500, (Assumptions!$B$7)*12, IF((HLOOKUP(R$2,Earnings!$G$2:$BC$81,('Yearly Pension'!$A46)+1, FALSE)) &gt; R$1, (Assumptions!$B$8)*(R$1) + (Assumptions!$B$9)*MAX(0,  (HLOOKUP(R$2,Earnings!$G$2:$BC$81,('Yearly Pension'!$A46)+1, FALSE)) - R$1), ((Assumptions!$B$8)*'Yearly Pension'!R$1))))</f>
        <v>0</v>
      </c>
      <c r="S46" s="6">
        <f>(HLOOKUP('Yearly Pension'!S$2,'Credited Service'!$G$1:$BC$80,$A46+1,FALSE)) * (IF($B46=500, (Assumptions!$B$7)*12, IF((HLOOKUP(S$2,Earnings!$G$2:$BC$81,('Yearly Pension'!$A46)+1, FALSE)) &gt; S$1, (Assumptions!$B$8)*(S$1) + (Assumptions!$B$9)*MAX(0,  (HLOOKUP(S$2,Earnings!$G$2:$BC$81,('Yearly Pension'!$A46)+1, FALSE)) - S$1), ((Assumptions!$B$8)*'Yearly Pension'!S$1))))</f>
        <v>0</v>
      </c>
      <c r="T46" s="6">
        <f>(HLOOKUP('Yearly Pension'!T$2,'Credited Service'!$G$1:$BC$80,$A46+1,FALSE)) * (IF($B46=500, (Assumptions!$B$7)*12, IF((HLOOKUP(T$2,Earnings!$G$2:$BC$81,('Yearly Pension'!$A46)+1, FALSE)) &gt; T$1, (Assumptions!$B$8)*(T$1) + (Assumptions!$B$9)*MAX(0,  (HLOOKUP(T$2,Earnings!$G$2:$BC$81,('Yearly Pension'!$A46)+1, FALSE)) - T$1), ((Assumptions!$B$8)*'Yearly Pension'!T$1))))</f>
        <v>0</v>
      </c>
      <c r="U46" s="6">
        <f>(HLOOKUP('Yearly Pension'!U$2,'Credited Service'!$G$1:$BC$80,$A46+1,FALSE)) * (IF($B46=500, (Assumptions!$B$7)*12, IF((HLOOKUP(U$2,Earnings!$G$2:$BC$81,('Yearly Pension'!$A46)+1, FALSE)) &gt; U$1, (Assumptions!$B$8)*(U$1) + (Assumptions!$B$9)*MAX(0,  (HLOOKUP(U$2,Earnings!$G$2:$BC$81,('Yearly Pension'!$A46)+1, FALSE)) - U$1), ((Assumptions!$B$8)*'Yearly Pension'!U$1))))</f>
        <v>0</v>
      </c>
      <c r="V46" s="6">
        <f>(HLOOKUP('Yearly Pension'!V$2,'Credited Service'!$G$1:$BC$80,$A46+1,FALSE)) * (IF($B46=500, (Assumptions!$B$7)*12, IF((HLOOKUP(V$2,Earnings!$G$2:$BC$81,('Yearly Pension'!$A46)+1, FALSE)) &gt; V$1, (Assumptions!$B$8)*(V$1) + (Assumptions!$B$9)*MAX(0,  (HLOOKUP(V$2,Earnings!$G$2:$BC$81,('Yearly Pension'!$A46)+1, FALSE)) - V$1), ((Assumptions!$B$8)*'Yearly Pension'!V$1))))</f>
        <v>0</v>
      </c>
      <c r="W46" s="6">
        <f>(HLOOKUP('Yearly Pension'!W$2,'Credited Service'!$G$1:$BC$80,$A46+1,FALSE)) * (IF($B46=500, (Assumptions!$B$7)*12, IF((HLOOKUP(W$2,Earnings!$G$2:$BC$81,('Yearly Pension'!$A46)+1, FALSE)) &gt; W$1, (Assumptions!$B$8)*(W$1) + (Assumptions!$B$9)*MAX(0,  (HLOOKUP(W$2,Earnings!$G$2:$BC$81,('Yearly Pension'!$A46)+1, FALSE)) - W$1), ((Assumptions!$B$8)*'Yearly Pension'!W$1))))</f>
        <v>0</v>
      </c>
      <c r="X46" s="6">
        <f>(HLOOKUP('Yearly Pension'!X$2,'Credited Service'!$G$1:$BC$80,$A46+1,FALSE)) * (IF($B46=500, (Assumptions!$B$7)*12, IF((HLOOKUP(X$2,Earnings!$G$2:$BC$81,('Yearly Pension'!$A46)+1, FALSE)) &gt; X$1, (Assumptions!$B$8)*(X$1) + (Assumptions!$B$9)*MAX(0,  (HLOOKUP(X$2,Earnings!$G$2:$BC$81,('Yearly Pension'!$A46)+1, FALSE)) - X$1), ((Assumptions!$B$8)*'Yearly Pension'!X$1))))</f>
        <v>0</v>
      </c>
      <c r="Y46" s="6">
        <f>(HLOOKUP('Yearly Pension'!Y$2,'Credited Service'!$G$1:$BC$80,$A46+1,FALSE)) * (IF($B46=500, (Assumptions!$B$7)*12, IF((HLOOKUP(Y$2,Earnings!$G$2:$BC$81,('Yearly Pension'!$A46)+1, FALSE)) &gt; Y$1, (Assumptions!$B$8)*(Y$1) + (Assumptions!$B$9)*MAX(0,  (HLOOKUP(Y$2,Earnings!$G$2:$BC$81,('Yearly Pension'!$A46)+1, FALSE)) - Y$1), ((Assumptions!$B$8)*'Yearly Pension'!Y$1))))</f>
        <v>0</v>
      </c>
      <c r="Z46" s="6">
        <f>(HLOOKUP('Yearly Pension'!Z$2,'Credited Service'!$G$1:$BC$80,$A46+1,FALSE)) * (IF($B46=500, (Assumptions!$B$7)*12, IF((HLOOKUP(Z$2,Earnings!$G$2:$BC$81,('Yearly Pension'!$A46)+1, FALSE)) &gt; Z$1, (Assumptions!$B$8)*(Z$1) + (Assumptions!$B$9)*MAX(0,  (HLOOKUP(Z$2,Earnings!$G$2:$BC$81,('Yearly Pension'!$A46)+1, FALSE)) - Z$1), ((Assumptions!$B$8)*'Yearly Pension'!Z$1))))</f>
        <v>0</v>
      </c>
      <c r="AA46" s="6">
        <f>(HLOOKUP('Yearly Pension'!AA$2,'Credited Service'!$G$1:$BC$80,$A46+1,FALSE)) * (IF($B46=500, (Assumptions!$B$7)*12, IF((HLOOKUP(AA$2,Earnings!$G$2:$BC$81,('Yearly Pension'!$A46)+1, FALSE)) &gt; AA$1, (Assumptions!$B$8)*(AA$1) + (Assumptions!$B$9)*MAX(0,  (HLOOKUP(AA$2,Earnings!$G$2:$BC$81,('Yearly Pension'!$A46)+1, FALSE)) - AA$1), ((Assumptions!$B$8)*'Yearly Pension'!AA$1))))</f>
        <v>378.8320762708405</v>
      </c>
      <c r="AB46" s="6">
        <f>(HLOOKUP('Yearly Pension'!AB$2,'Credited Service'!$G$1:$BC$80,$A46+1,FALSE)) * (IF($B46=500, (Assumptions!$B$7)*12, IF((HLOOKUP(AB$2,Earnings!$G$2:$BC$81,('Yearly Pension'!$A46)+1, FALSE)) &gt; AB$1, (Assumptions!$B$8)*(AB$1) + (Assumptions!$B$9)*MAX(0,  (HLOOKUP(AB$2,Earnings!$G$2:$BC$81,('Yearly Pension'!$A46)+1, FALSE)) - AB$1), ((Assumptions!$B$8)*'Yearly Pension'!AB$1))))</f>
        <v>677.5282731228699</v>
      </c>
      <c r="AC46" s="6">
        <f>(HLOOKUP('Yearly Pension'!AC$2,'Credited Service'!$G$1:$BC$80,$A46+1,FALSE)) * (IF($B46=500, (Assumptions!$B$7)*12, IF((HLOOKUP(AC$2,Earnings!$G$2:$BC$81,('Yearly Pension'!$A46)+1, FALSE)) &gt; AC$1, (Assumptions!$B$8)*(AC$1) + (Assumptions!$B$9)*MAX(0,  (HLOOKUP(AC$2,Earnings!$G$2:$BC$81,('Yearly Pension'!$A46)+1, FALSE)) - AC$1), ((Assumptions!$B$8)*'Yearly Pension'!AC$1))))</f>
        <v>710.87580404778464</v>
      </c>
      <c r="AD46" s="6">
        <f>(HLOOKUP('Yearly Pension'!AD$2,'Credited Service'!$G$1:$BC$80,$A46+1,FALSE)) * (IF($B46=500, (Assumptions!$B$7)*12, IF((HLOOKUP(AD$2,Earnings!$G$2:$BC$81,('Yearly Pension'!$A46)+1, FALSE)) &gt; AD$1, (Assumptions!$B$8)*(AD$1) + (Assumptions!$B$9)*MAX(0,  (HLOOKUP(AD$2,Earnings!$G$2:$BC$81,('Yearly Pension'!$A46)+1, FALSE)) - AD$1), ((Assumptions!$B$8)*'Yearly Pension'!AD$1))))</f>
        <v>747.60523620969593</v>
      </c>
      <c r="AE46" s="6">
        <f>(HLOOKUP('Yearly Pension'!AE$2,'Credited Service'!$G$1:$BC$80,$A46+1,FALSE)) * (IF($B46=500, (Assumptions!$B$7)*12, IF((HLOOKUP(AE$2,Earnings!$G$2:$BC$81,('Yearly Pension'!$A46)+1, FALSE)) &gt; AE$1, (Assumptions!$B$8)*(AE$1) + (Assumptions!$B$9)*MAX(0,  (HLOOKUP(AE$2,Earnings!$G$2:$BC$81,('Yearly Pension'!$A46)+1, FALSE)) - AE$1), ((Assumptions!$B$8)*'Yearly Pension'!AE$1))))</f>
        <v>782.65504565808385</v>
      </c>
      <c r="AF46" s="6">
        <f>(HLOOKUP('Yearly Pension'!AF$2,'Credited Service'!$G$1:$BC$80,$A46+1,FALSE)) * (IF($B46=500, (Assumptions!$B$7)*12, IF((HLOOKUP(AF$2,Earnings!$G$2:$BC$81,('Yearly Pension'!$A46)+1, FALSE)) &gt; AF$1, (Assumptions!$B$8)*(AF$1) + (Assumptions!$B$9)*MAX(0,  (HLOOKUP(AF$2,Earnings!$G$2:$BC$81,('Yearly Pension'!$A46)+1, FALSE)) - AF$1), ((Assumptions!$B$8)*'Yearly Pension'!AF$1))))</f>
        <v>818.64604748440718</v>
      </c>
      <c r="AG46" s="6">
        <f>(HLOOKUP('Yearly Pension'!AG$2,'Credited Service'!$G$1:$BC$80,$A46+1,FALSE)) * (IF($B46=500, (Assumptions!$B$7)*12, IF((HLOOKUP(AG$2,Earnings!$G$2:$BC$81,('Yearly Pension'!$A46)+1, FALSE)) &gt; AG$1, (Assumptions!$B$8)*(AG$1) + (Assumptions!$B$9)*MAX(0,  (HLOOKUP(AG$2,Earnings!$G$2:$BC$81,('Yearly Pension'!$A46)+1, FALSE)) - AG$1), ((Assumptions!$B$8)*'Yearly Pension'!AG$1))))</f>
        <v>856.28148938378354</v>
      </c>
      <c r="AH46" s="6">
        <f>(HLOOKUP('Yearly Pension'!AH$2,'Credited Service'!$G$1:$BC$80,$A46+1,FALSE)) * (IF($B46=500, (Assumptions!$B$7)*12, IF((HLOOKUP(AH$2,Earnings!$G$2:$BC$81,('Yearly Pension'!$A46)+1, FALSE)) &gt; AH$1, (Assumptions!$B$8)*(AH$1) + (Assumptions!$B$9)*MAX(0,  (HLOOKUP(AH$2,Earnings!$G$2:$BC$81,('Yearly Pension'!$A46)+1, FALSE)) - AH$1), ((Assumptions!$B$8)*'Yearly Pension'!AH$1))))</f>
        <v>896.9071489591347</v>
      </c>
      <c r="AI46" s="6">
        <f>(HLOOKUP('Yearly Pension'!AI$2,'Credited Service'!$G$1:$BC$80,$A46+1,FALSE)) * (IF($B46=500, (Assumptions!$B$7)*12, IF((HLOOKUP(AI$2,Earnings!$G$2:$BC$81,('Yearly Pension'!$A46)+1, FALSE)) &gt; AI$1, (Assumptions!$B$8)*(AI$1) + (Assumptions!$B$9)*MAX(0,  (HLOOKUP(AI$2,Earnings!$G$2:$BC$81,('Yearly Pension'!$A46)+1, FALSE)) - AI$1), ((Assumptions!$B$8)*'Yearly Pension'!AI$1))))</f>
        <v>939.31143491750026</v>
      </c>
      <c r="AJ46" s="6">
        <f>(HLOOKUP('Yearly Pension'!AJ$2,'Credited Service'!$G$1:$BC$80,$A46+1,FALSE)) * (IF($B46=500, (Assumptions!$B$7)*12, IF((HLOOKUP(AJ$2,Earnings!$G$2:$BC$81,('Yearly Pension'!$A46)+1, FALSE)) &gt; AJ$1, (Assumptions!$B$8)*(AJ$1) + (Assumptions!$B$9)*MAX(0,  (HLOOKUP(AJ$2,Earnings!$G$2:$BC$81,('Yearly Pension'!$A46)+1, FALSE)) - AJ$1), ((Assumptions!$B$8)*'Yearly Pension'!AJ$1))))</f>
        <v>981.00549231420041</v>
      </c>
      <c r="AK46" s="6">
        <f>(HLOOKUP('Yearly Pension'!AK$2,'Credited Service'!$G$1:$BC$80,$A46+1,FALSE)) * (IF($B46=500, (Assumptions!$B$7)*12, IF((HLOOKUP(AK$2,Earnings!$G$2:$BC$81,('Yearly Pension'!$A46)+1, FALSE)) &gt; AK$1, (Assumptions!$B$8)*(AK$1) + (Assumptions!$B$9)*MAX(0,  (HLOOKUP(AK$2,Earnings!$G$2:$BC$81,('Yearly Pension'!$A46)+1, FALSE)) - AK$1), ((Assumptions!$B$8)*'Yearly Pension'!AK$1))))</f>
        <v>1020.7833120067683</v>
      </c>
      <c r="AL46" s="6">
        <f>(HLOOKUP('Yearly Pension'!AL$2,'Credited Service'!$G$1:$BC$80,$A46+1,FALSE)) * (IF($B46=500, (Assumptions!$B$7)*12, IF((HLOOKUP(AL$2,Earnings!$G$2:$BC$81,('Yearly Pension'!$A46)+1, FALSE)) &gt; AL$1, (Assumptions!$B$8)*(AL$1) + (Assumptions!$B$9)*MAX(0,  (HLOOKUP(AL$2,Earnings!$G$2:$BC$81,('Yearly Pension'!$A46)+1, FALSE)) - AL$1), ((Assumptions!$B$8)*'Yearly Pension'!AL$1))))</f>
        <v>1065.1218444870392</v>
      </c>
      <c r="AM46" s="6">
        <f>(HLOOKUP('Yearly Pension'!AM$2,'Credited Service'!$G$1:$BC$80,$A46+1,FALSE)) * (IF($B46=500, (Assumptions!$B$7)*12, IF((HLOOKUP(AM$2,Earnings!$G$2:$BC$81,('Yearly Pension'!$A46)+1, FALSE)) &gt; AM$1, (Assumptions!$B$8)*(AM$1) + (Assumptions!$B$9)*MAX(0,  (HLOOKUP(AM$2,Earnings!$G$2:$BC$81,('Yearly Pension'!$A46)+1, FALSE)) - AM$1), ((Assumptions!$B$8)*'Yearly Pension'!AM$1))))</f>
        <v>1110.2611182665207</v>
      </c>
      <c r="AN46" s="6">
        <f>(HLOOKUP('Yearly Pension'!AN$2,'Credited Service'!$G$1:$BC$80,$A46+1,FALSE)) * (IF($B46=500, (Assumptions!$B$7)*12, IF((HLOOKUP(AN$2,Earnings!$G$2:$BC$81,('Yearly Pension'!$A46)+1, FALSE)) &gt; AN$1, (Assumptions!$B$8)*(AN$1) + (Assumptions!$B$9)*MAX(0,  (HLOOKUP(AN$2,Earnings!$G$2:$BC$81,('Yearly Pension'!$A46)+1, FALSE)) - AN$1), ((Assumptions!$B$8)*'Yearly Pension'!AN$1))))</f>
        <v>1160.7643629971817</v>
      </c>
      <c r="AO46" s="6">
        <f>(HLOOKUP('Yearly Pension'!AO$2,'Credited Service'!$G$1:$BC$80,$A46+1,FALSE)) * (IF($B46=500, (Assumptions!$B$7)*12, IF((HLOOKUP(AO$2,Earnings!$G$2:$BC$81,('Yearly Pension'!$A46)+1, FALSE)) &gt; AO$1, (Assumptions!$B$8)*(AO$1) + (Assumptions!$B$9)*MAX(0,  (HLOOKUP(AO$2,Earnings!$G$2:$BC$81,('Yearly Pension'!$A46)+1, FALSE)) - AO$1), ((Assumptions!$B$8)*'Yearly Pension'!AO$1))))</f>
        <v>1212.2381375170689</v>
      </c>
      <c r="AP46" s="6">
        <f>(HLOOKUP('Yearly Pension'!AP$2,'Credited Service'!$G$1:$BC$80,$A46+1,FALSE)) * (IF($B46=500, (Assumptions!$B$7)*12, IF((HLOOKUP(AP$2,Earnings!$G$2:$BC$81,('Yearly Pension'!$A46)+1, FALSE)) &gt; AP$1, (Assumptions!$B$8)*(AP$1) + (Assumptions!$B$9)*MAX(0,  (HLOOKUP(AP$2,Earnings!$G$2:$BC$81,('Yearly Pension'!$A46)+1, FALSE)) - AP$1), ((Assumptions!$B$8)*'Yearly Pension'!AP$1))))</f>
        <v>1261.5724630177515</v>
      </c>
      <c r="AQ46" s="6">
        <f>(HLOOKUP('Yearly Pension'!AQ$2,'Credited Service'!$G$1:$BC$80,$A46+1,FALSE)) * (IF($B46=500, (Assumptions!$B$7)*12, IF((HLOOKUP(AQ$2,Earnings!$G$2:$BC$81,('Yearly Pension'!$A46)+1, FALSE)) &gt; AQ$1, (Assumptions!$B$8)*(AQ$1) + (Assumptions!$B$9)*MAX(0,  (HLOOKUP(AQ$2,Earnings!$G$2:$BC$81,('Yearly Pension'!$A46)+1, FALSE)) - AQ$1), ((Assumptions!$B$8)*'Yearly Pension'!AQ$1))))</f>
        <v>1318.4609615384616</v>
      </c>
      <c r="AR46" s="6">
        <f>(HLOOKUP('Yearly Pension'!AR$2,'Credited Service'!$G$1:$BC$80,$A46+1,FALSE)) * (IF($B46=500, (Assumptions!$B$7)*12, IF((HLOOKUP(AR$2,Earnings!$G$2:$BC$81,('Yearly Pension'!$A46)+1, FALSE)) &gt; AR$1, (Assumptions!$B$8)*(AR$1) + (Assumptions!$B$9)*MAX(0,  (HLOOKUP(AR$2,Earnings!$G$2:$BC$81,('Yearly Pension'!$A46)+1, FALSE)) - AR$1), ((Assumptions!$B$8)*'Yearly Pension'!AR$1))))</f>
        <v>1375.3209999999999</v>
      </c>
      <c r="AS46" s="6">
        <f>(HLOOKUP('Yearly Pension'!AS$2,'Credited Service'!$G$1:$BC$80,$A46+1,FALSE)) * (IF($B46=500, (Assumptions!$B$7)*12, IF((HLOOKUP(AS$2,Earnings!$G$2:$BC$81,('Yearly Pension'!$A46)+1, FALSE)) &gt; AS$1, (Assumptions!$B$8)*(AS$1) + (Assumptions!$B$9)*MAX(0,  (HLOOKUP(AS$2,Earnings!$G$2:$BC$81,('Yearly Pension'!$A46)+1, FALSE)) - AS$1), ((Assumptions!$B$8)*'Yearly Pension'!AS$1))))</f>
        <v>1419.6206300000001</v>
      </c>
      <c r="AT46" s="6">
        <f>(HLOOKUP('Yearly Pension'!AT$2,'Credited Service'!$G$1:$BC$80,$A46+1,FALSE)) * (IF($B46=500, (Assumptions!$B$7)*12, IF((HLOOKUP(AT$2,Earnings!$G$2:$BC$81,('Yearly Pension'!$A46)+1, FALSE)) &gt; AT$1, (Assumptions!$B$8)*(AT$1) + (Assumptions!$B$9)*MAX(0,  (HLOOKUP(AT$2,Earnings!$G$2:$BC$81,('Yearly Pension'!$A46)+1, FALSE)) - AT$1), ((Assumptions!$B$8)*'Yearly Pension'!AT$1))))</f>
        <v>1464.1804489000001</v>
      </c>
      <c r="AU46" s="6">
        <f>(HLOOKUP('Yearly Pension'!AU$2,'Credited Service'!$G$1:$BC$80,$A46+1,FALSE)) * (IF($B46=500, (Assumptions!$B$7)*12, IF((HLOOKUP(AU$2,Earnings!$G$2:$BC$81,('Yearly Pension'!$A46)+1, FALSE)) &gt; AU$1, (Assumptions!$B$8)*(AU$1) + (Assumptions!$B$9)*MAX(0,  (HLOOKUP(AU$2,Earnings!$G$2:$BC$81,('Yearly Pension'!$A46)+1, FALSE)) - AU$1), ((Assumptions!$B$8)*'Yearly Pension'!AU$1))))</f>
        <v>1516.0866623670001</v>
      </c>
      <c r="AV46" s="6">
        <f>(HLOOKUP('Yearly Pension'!AV$2,'Credited Service'!$G$1:$BC$80,$A46+1,FALSE)) * (IF($B46=500, (Assumptions!$B$7)*12, IF((HLOOKUP(AV$2,Earnings!$G$2:$BC$81,('Yearly Pension'!$A46)+1, FALSE)) &gt; AV$1, (Assumptions!$B$8)*(AV$1) + (Assumptions!$B$9)*MAX(0,  (HLOOKUP(AV$2,Earnings!$G$2:$BC$81,('Yearly Pension'!$A46)+1, FALSE)) - AV$1), ((Assumptions!$B$8)*'Yearly Pension'!AV$1))))</f>
        <v>1568.3468622380101</v>
      </c>
      <c r="AW46" s="6">
        <f>(HLOOKUP('Yearly Pension'!AW$2,'Credited Service'!$G$1:$BC$80,$A46+1,FALSE)) * (IF($B46=500, (Assumptions!$B$7)*12, IF((HLOOKUP(AW$2,Earnings!$G$2:$BC$81,('Yearly Pension'!$A46)+1, FALSE)) &gt; AW$1, (Assumptions!$B$8)*(AW$1) + (Assumptions!$B$9)*MAX(0,  (HLOOKUP(AW$2,Earnings!$G$2:$BC$81,('Yearly Pension'!$A46)+1, FALSE)) - AW$1), ((Assumptions!$B$8)*'Yearly Pension'!AW$1))))</f>
        <v>1616.5300681051508</v>
      </c>
      <c r="AX46" s="6">
        <f>(HLOOKUP('Yearly Pension'!AX$2,'Credited Service'!$G$1:$BC$80,$A46+1,FALSE)) * (IF($B46=500, (Assumptions!$B$7)*12, IF((HLOOKUP(AX$2,Earnings!$G$2:$BC$81,('Yearly Pension'!$A46)+1, FALSE)) &gt; AX$1, (Assumptions!$B$8)*(AX$1) + (Assumptions!$B$9)*MAX(0,  (HLOOKUP(AX$2,Earnings!$G$2:$BC$81,('Yearly Pension'!$A46)+1, FALSE)) - AX$1), ((Assumptions!$B$8)*'Yearly Pension'!AX$1))))</f>
        <v>1661.3523701483052</v>
      </c>
      <c r="AY46" s="6">
        <f>(HLOOKUP('Yearly Pension'!AY$2,'Credited Service'!$G$1:$BC$80,$A46+1,FALSE)) * (IF($B46=500, (Assumptions!$B$7)*12, IF((HLOOKUP(AY$2,Earnings!$G$2:$BC$81,('Yearly Pension'!$A46)+1, FALSE)) &gt; AY$1, (Assumptions!$B$8)*(AY$1) + (Assumptions!$B$9)*MAX(0,  (HLOOKUP(AY$2,Earnings!$G$2:$BC$81,('Yearly Pension'!$A46)+1, FALSE)) - AY$1), ((Assumptions!$B$8)*'Yearly Pension'!AY$1))))</f>
        <v>1707.3723972527544</v>
      </c>
      <c r="AZ46" s="6">
        <f>(HLOOKUP('Yearly Pension'!AZ$2,'Credited Service'!$G$1:$BC$80,$A46+1,FALSE)) * (IF($B46=500, (Assumptions!$B$7)*12, IF((HLOOKUP(AZ$2,Earnings!$G$2:$BC$81,('Yearly Pension'!$A46)+1, FALSE)) &gt; AZ$1, (Assumptions!$B$8)*(AZ$1) + (Assumptions!$B$9)*MAX(0,  (HLOOKUP(AZ$2,Earnings!$G$2:$BC$81,('Yearly Pension'!$A46)+1, FALSE)) - AZ$1), ((Assumptions!$B$8)*'Yearly Pension'!AZ$1))))</f>
        <v>1754.6202034103371</v>
      </c>
      <c r="BA46" s="6">
        <f>(HLOOKUP('Yearly Pension'!BA$2,'Credited Service'!$G$1:$BC$80,$A46+1,FALSE)) * (IF($B46=500, (Assumptions!$B$7)*12, IF((HLOOKUP(BA$2,Earnings!$G$2:$BC$81,('Yearly Pension'!$A46)+1, FALSE)) &gt; BA$1, (Assumptions!$B$8)*(BA$1) + (Assumptions!$B$9)*MAX(0,  (HLOOKUP(BA$2,Earnings!$G$2:$BC$81,('Yearly Pension'!$A46)+1, FALSE)) - BA$1), ((Assumptions!$B$8)*'Yearly Pension'!BA$1))))</f>
        <v>1803.1265091222472</v>
      </c>
      <c r="BB46" s="6">
        <f>(HLOOKUP('Yearly Pension'!BB$2,'Credited Service'!$G$1:$BC$80,$A46+1,FALSE)) * (IF($B46=500, (Assumptions!$B$7)*12, IF((HLOOKUP(BB$2,Earnings!$G$2:$BC$81,('Yearly Pension'!$A46)+1, FALSE)) &gt; BB$1, (Assumptions!$B$8)*(BB$1) + (Assumptions!$B$9)*MAX(0,  (HLOOKUP(BB$2,Earnings!$G$2:$BC$81,('Yearly Pension'!$A46)+1, FALSE)) - BB$1), ((Assumptions!$B$8)*'Yearly Pension'!BB$1))))</f>
        <v>1852.9227119898987</v>
      </c>
      <c r="BC46" s="6">
        <f>(HLOOKUP('Yearly Pension'!BC$2,'Credited Service'!$G$1:$BC$80,$A46+1,FALSE)) * (IF($B46=500, (Assumptions!$B$7)*12, IF((HLOOKUP(BC$2,Earnings!$G$2:$BC$81,('Yearly Pension'!$A46)+1, FALSE)) &gt; BC$1, (Assumptions!$B$8)*(BC$1) + (Assumptions!$B$9)*MAX(0,  (HLOOKUP(BC$2,Earnings!$G$2:$BC$81,('Yearly Pension'!$A46)+1, FALSE)) - BC$1), ((Assumptions!$B$8)*'Yearly Pension'!BC$1))))</f>
        <v>1904.0408972473388</v>
      </c>
    </row>
    <row r="47" spans="1:55" x14ac:dyDescent="0.25">
      <c r="A47" s="204">
        <v>45</v>
      </c>
      <c r="B47" s="1">
        <v>600</v>
      </c>
      <c r="C47" s="1">
        <v>703</v>
      </c>
      <c r="D47" s="3">
        <v>35278</v>
      </c>
      <c r="E47" s="3">
        <v>51867</v>
      </c>
      <c r="G47" s="6">
        <f>(HLOOKUP('Yearly Pension'!G$2,'Credited Service'!$G$1:$BC$80,$A47+1,FALSE)) * (IF($B47=500, (Assumptions!$B$7)*12, IF((HLOOKUP(G$2,Earnings!$G$2:$BC$81,('Yearly Pension'!$A47)+1, FALSE)) &gt; G$1, (Assumptions!$B$8)*(G$1) + (Assumptions!$B$9)*MAX(0,  (HLOOKUP(G$2,Earnings!$G$2:$BC$81,('Yearly Pension'!$A47)+1, FALSE)) - G$1), ((Assumptions!$B$8)*'Yearly Pension'!G$1))))</f>
        <v>0</v>
      </c>
      <c r="H47" s="6">
        <f>(HLOOKUP('Yearly Pension'!H$2,'Credited Service'!$G$1:$BC$80,$A47+1,FALSE)) * (IF($B47=500, (Assumptions!$B$7)*12, IF((HLOOKUP(H$2,Earnings!$G$2:$BC$81,('Yearly Pension'!$A47)+1, FALSE)) &gt; H$1, (Assumptions!$B$8)*(H$1) + (Assumptions!$B$9)*MAX(0,  (HLOOKUP(H$2,Earnings!$G$2:$BC$81,('Yearly Pension'!$A47)+1, FALSE)) - H$1), ((Assumptions!$B$8)*'Yearly Pension'!H$1))))</f>
        <v>0</v>
      </c>
      <c r="I47" s="6">
        <f>(HLOOKUP('Yearly Pension'!I$2,'Credited Service'!$G$1:$BC$80,$A47+1,FALSE)) * (IF($B47=500, (Assumptions!$B$7)*12, IF((HLOOKUP(I$2,Earnings!$G$2:$BC$81,('Yearly Pension'!$A47)+1, FALSE)) &gt; I$1, (Assumptions!$B$8)*(I$1) + (Assumptions!$B$9)*MAX(0,  (HLOOKUP(I$2,Earnings!$G$2:$BC$81,('Yearly Pension'!$A47)+1, FALSE)) - I$1), ((Assumptions!$B$8)*'Yearly Pension'!I$1))))</f>
        <v>0</v>
      </c>
      <c r="J47" s="6">
        <f>(HLOOKUP('Yearly Pension'!J$2,'Credited Service'!$G$1:$BC$80,$A47+1,FALSE)) * (IF($B47=500, (Assumptions!$B$7)*12, IF((HLOOKUP(J$2,Earnings!$G$2:$BC$81,('Yearly Pension'!$A47)+1, FALSE)) &gt; J$1, (Assumptions!$B$8)*(J$1) + (Assumptions!$B$9)*MAX(0,  (HLOOKUP(J$2,Earnings!$G$2:$BC$81,('Yearly Pension'!$A47)+1, FALSE)) - J$1), ((Assumptions!$B$8)*'Yearly Pension'!J$1))))</f>
        <v>0</v>
      </c>
      <c r="K47" s="6">
        <f>(HLOOKUP('Yearly Pension'!K$2,'Credited Service'!$G$1:$BC$80,$A47+1,FALSE)) * (IF($B47=500, (Assumptions!$B$7)*12, IF((HLOOKUP(K$2,Earnings!$G$2:$BC$81,('Yearly Pension'!$A47)+1, FALSE)) &gt; K$1, (Assumptions!$B$8)*(K$1) + (Assumptions!$B$9)*MAX(0,  (HLOOKUP(K$2,Earnings!$G$2:$BC$81,('Yearly Pension'!$A47)+1, FALSE)) - K$1), ((Assumptions!$B$8)*'Yearly Pension'!K$1))))</f>
        <v>0</v>
      </c>
      <c r="L47" s="6">
        <f>(HLOOKUP('Yearly Pension'!L$2,'Credited Service'!$G$1:$BC$80,$A47+1,FALSE)) * (IF($B47=500, (Assumptions!$B$7)*12, IF((HLOOKUP(L$2,Earnings!$G$2:$BC$81,('Yearly Pension'!$A47)+1, FALSE)) &gt; L$1, (Assumptions!$B$8)*(L$1) + (Assumptions!$B$9)*MAX(0,  (HLOOKUP(L$2,Earnings!$G$2:$BC$81,('Yearly Pension'!$A47)+1, FALSE)) - L$1), ((Assumptions!$B$8)*'Yearly Pension'!L$1))))</f>
        <v>0</v>
      </c>
      <c r="M47" s="6">
        <f>(HLOOKUP('Yearly Pension'!M$2,'Credited Service'!$G$1:$BC$80,$A47+1,FALSE)) * (IF($B47=500, (Assumptions!$B$7)*12, IF((HLOOKUP(M$2,Earnings!$G$2:$BC$81,('Yearly Pension'!$A47)+1, FALSE)) &gt; M$1, (Assumptions!$B$8)*(M$1) + (Assumptions!$B$9)*MAX(0,  (HLOOKUP(M$2,Earnings!$G$2:$BC$81,('Yearly Pension'!$A47)+1, FALSE)) - M$1), ((Assumptions!$B$8)*'Yearly Pension'!M$1))))</f>
        <v>0</v>
      </c>
      <c r="N47" s="6">
        <f>(HLOOKUP('Yearly Pension'!N$2,'Credited Service'!$G$1:$BC$80,$A47+1,FALSE)) * (IF($B47=500, (Assumptions!$B$7)*12, IF((HLOOKUP(N$2,Earnings!$G$2:$BC$81,('Yearly Pension'!$A47)+1, FALSE)) &gt; N$1, (Assumptions!$B$8)*(N$1) + (Assumptions!$B$9)*MAX(0,  (HLOOKUP(N$2,Earnings!$G$2:$BC$81,('Yearly Pension'!$A47)+1, FALSE)) - N$1), ((Assumptions!$B$8)*'Yearly Pension'!N$1))))</f>
        <v>0</v>
      </c>
      <c r="O47" s="6">
        <f>(HLOOKUP('Yearly Pension'!O$2,'Credited Service'!$G$1:$BC$80,$A47+1,FALSE)) * (IF($B47=500, (Assumptions!$B$7)*12, IF((HLOOKUP(O$2,Earnings!$G$2:$BC$81,('Yearly Pension'!$A47)+1, FALSE)) &gt; O$1, (Assumptions!$B$8)*(O$1) + (Assumptions!$B$9)*MAX(0,  (HLOOKUP(O$2,Earnings!$G$2:$BC$81,('Yearly Pension'!$A47)+1, FALSE)) - O$1), ((Assumptions!$B$8)*'Yearly Pension'!O$1))))</f>
        <v>0</v>
      </c>
      <c r="P47" s="6">
        <f>(HLOOKUP('Yearly Pension'!P$2,'Credited Service'!$G$1:$BC$80,$A47+1,FALSE)) * (IF($B47=500, (Assumptions!$B$7)*12, IF((HLOOKUP(P$2,Earnings!$G$2:$BC$81,('Yearly Pension'!$A47)+1, FALSE)) &gt; P$1, (Assumptions!$B$8)*(P$1) + (Assumptions!$B$9)*MAX(0,  (HLOOKUP(P$2,Earnings!$G$2:$BC$81,('Yearly Pension'!$A47)+1, FALSE)) - P$1), ((Assumptions!$B$8)*'Yearly Pension'!P$1))))</f>
        <v>0</v>
      </c>
      <c r="Q47" s="6">
        <f>(HLOOKUP('Yearly Pension'!Q$2,'Credited Service'!$G$1:$BC$80,$A47+1,FALSE)) * (IF($B47=500, (Assumptions!$B$7)*12, IF((HLOOKUP(Q$2,Earnings!$G$2:$BC$81,('Yearly Pension'!$A47)+1, FALSE)) &gt; Q$1, (Assumptions!$B$8)*(Q$1) + (Assumptions!$B$9)*MAX(0,  (HLOOKUP(Q$2,Earnings!$G$2:$BC$81,('Yearly Pension'!$A47)+1, FALSE)) - Q$1), ((Assumptions!$B$8)*'Yearly Pension'!Q$1))))</f>
        <v>0</v>
      </c>
      <c r="R47" s="6">
        <f>(HLOOKUP('Yearly Pension'!R$2,'Credited Service'!$G$1:$BC$80,$A47+1,FALSE)) * (IF($B47=500, (Assumptions!$B$7)*12, IF((HLOOKUP(R$2,Earnings!$G$2:$BC$81,('Yearly Pension'!$A47)+1, FALSE)) &gt; R$1, (Assumptions!$B$8)*(R$1) + (Assumptions!$B$9)*MAX(0,  (HLOOKUP(R$2,Earnings!$G$2:$BC$81,('Yearly Pension'!$A47)+1, FALSE)) - R$1), ((Assumptions!$B$8)*'Yearly Pension'!R$1))))</f>
        <v>0</v>
      </c>
      <c r="S47" s="6">
        <f>(HLOOKUP('Yearly Pension'!S$2,'Credited Service'!$G$1:$BC$80,$A47+1,FALSE)) * (IF($B47=500, (Assumptions!$B$7)*12, IF((HLOOKUP(S$2,Earnings!$G$2:$BC$81,('Yearly Pension'!$A47)+1, FALSE)) &gt; S$1, (Assumptions!$B$8)*(S$1) + (Assumptions!$B$9)*MAX(0,  (HLOOKUP(S$2,Earnings!$G$2:$BC$81,('Yearly Pension'!$A47)+1, FALSE)) - S$1), ((Assumptions!$B$8)*'Yearly Pension'!S$1))))</f>
        <v>0</v>
      </c>
      <c r="T47" s="6">
        <f>(HLOOKUP('Yearly Pension'!T$2,'Credited Service'!$G$1:$BC$80,$A47+1,FALSE)) * (IF($B47=500, (Assumptions!$B$7)*12, IF((HLOOKUP(T$2,Earnings!$G$2:$BC$81,('Yearly Pension'!$A47)+1, FALSE)) &gt; T$1, (Assumptions!$B$8)*(T$1) + (Assumptions!$B$9)*MAX(0,  (HLOOKUP(T$2,Earnings!$G$2:$BC$81,('Yearly Pension'!$A47)+1, FALSE)) - T$1), ((Assumptions!$B$8)*'Yearly Pension'!T$1))))</f>
        <v>0</v>
      </c>
      <c r="U47" s="6">
        <f>(HLOOKUP('Yearly Pension'!U$2,'Credited Service'!$G$1:$BC$80,$A47+1,FALSE)) * (IF($B47=500, (Assumptions!$B$7)*12, IF((HLOOKUP(U$2,Earnings!$G$2:$BC$81,('Yearly Pension'!$A47)+1, FALSE)) &gt; U$1, (Assumptions!$B$8)*(U$1) + (Assumptions!$B$9)*MAX(0,  (HLOOKUP(U$2,Earnings!$G$2:$BC$81,('Yearly Pension'!$A47)+1, FALSE)) - U$1), ((Assumptions!$B$8)*'Yearly Pension'!U$1))))</f>
        <v>0</v>
      </c>
      <c r="V47" s="6">
        <f>(HLOOKUP('Yearly Pension'!V$2,'Credited Service'!$G$1:$BC$80,$A47+1,FALSE)) * (IF($B47=500, (Assumptions!$B$7)*12, IF((HLOOKUP(V$2,Earnings!$G$2:$BC$81,('Yearly Pension'!$A47)+1, FALSE)) &gt; V$1, (Assumptions!$B$8)*(V$1) + (Assumptions!$B$9)*MAX(0,  (HLOOKUP(V$2,Earnings!$G$2:$BC$81,('Yearly Pension'!$A47)+1, FALSE)) - V$1), ((Assumptions!$B$8)*'Yearly Pension'!V$1))))</f>
        <v>0</v>
      </c>
      <c r="W47" s="6">
        <f>(HLOOKUP('Yearly Pension'!W$2,'Credited Service'!$G$1:$BC$80,$A47+1,FALSE)) * (IF($B47=500, (Assumptions!$B$7)*12, IF((HLOOKUP(W$2,Earnings!$G$2:$BC$81,('Yearly Pension'!$A47)+1, FALSE)) &gt; W$1, (Assumptions!$B$8)*(W$1) + (Assumptions!$B$9)*MAX(0,  (HLOOKUP(W$2,Earnings!$G$2:$BC$81,('Yearly Pension'!$A47)+1, FALSE)) - W$1), ((Assumptions!$B$8)*'Yearly Pension'!W$1))))</f>
        <v>0</v>
      </c>
      <c r="X47" s="6">
        <f>(HLOOKUP('Yearly Pension'!X$2,'Credited Service'!$G$1:$BC$80,$A47+1,FALSE)) * (IF($B47=500, (Assumptions!$B$7)*12, IF((HLOOKUP(X$2,Earnings!$G$2:$BC$81,('Yearly Pension'!$A47)+1, FALSE)) &gt; X$1, (Assumptions!$B$8)*(X$1) + (Assumptions!$B$9)*MAX(0,  (HLOOKUP(X$2,Earnings!$G$2:$BC$81,('Yearly Pension'!$A47)+1, FALSE)) - X$1), ((Assumptions!$B$8)*'Yearly Pension'!X$1))))</f>
        <v>0</v>
      </c>
      <c r="Y47" s="6">
        <f>(HLOOKUP('Yearly Pension'!Y$2,'Credited Service'!$G$1:$BC$80,$A47+1,FALSE)) * (IF($B47=500, (Assumptions!$B$7)*12, IF((HLOOKUP(Y$2,Earnings!$G$2:$BC$81,('Yearly Pension'!$A47)+1, FALSE)) &gt; Y$1, (Assumptions!$B$8)*(Y$1) + (Assumptions!$B$9)*MAX(0,  (HLOOKUP(Y$2,Earnings!$G$2:$BC$81,('Yearly Pension'!$A47)+1, FALSE)) - Y$1), ((Assumptions!$B$8)*'Yearly Pension'!Y$1))))</f>
        <v>0</v>
      </c>
      <c r="Z47" s="6">
        <f>(HLOOKUP('Yearly Pension'!Z$2,'Credited Service'!$G$1:$BC$80,$A47+1,FALSE)) * (IF($B47=500, (Assumptions!$B$7)*12, IF((HLOOKUP(Z$2,Earnings!$G$2:$BC$81,('Yearly Pension'!$A47)+1, FALSE)) &gt; Z$1, (Assumptions!$B$8)*(Z$1) + (Assumptions!$B$9)*MAX(0,  (HLOOKUP(Z$2,Earnings!$G$2:$BC$81,('Yearly Pension'!$A47)+1, FALSE)) - Z$1), ((Assumptions!$B$8)*'Yearly Pension'!Z$1))))</f>
        <v>260.97464911959838</v>
      </c>
      <c r="AA47" s="6">
        <f>(HLOOKUP('Yearly Pension'!AA$2,'Credited Service'!$G$1:$BC$80,$A47+1,FALSE)) * (IF($B47=500, (Assumptions!$B$7)*12, IF((HLOOKUP(AA$2,Earnings!$G$2:$BC$81,('Yearly Pension'!$A47)+1, FALSE)) &gt; AA$1, (Assumptions!$B$8)*(AA$1) + (Assumptions!$B$9)*MAX(0,  (HLOOKUP(AA$2,Earnings!$G$2:$BC$81,('Yearly Pension'!$A47)+1, FALSE)) - AA$1), ((Assumptions!$B$8)*'Yearly Pension'!AA$1))))</f>
        <v>657.89512420251765</v>
      </c>
      <c r="AB47" s="6">
        <f>(HLOOKUP('Yearly Pension'!AB$2,'Credited Service'!$G$1:$BC$80,$A47+1,FALSE)) * (IF($B47=500, (Assumptions!$B$7)*12, IF((HLOOKUP(AB$2,Earnings!$G$2:$BC$81,('Yearly Pension'!$A47)+1, FALSE)) &gt; AB$1, (Assumptions!$B$8)*(AB$1) + (Assumptions!$B$9)*MAX(0,  (HLOOKUP(AB$2,Earnings!$G$2:$BC$81,('Yearly Pension'!$A47)+1, FALSE)) - AB$1), ((Assumptions!$B$8)*'Yearly Pension'!AB$1))))</f>
        <v>686.33572917061827</v>
      </c>
      <c r="AC47" s="6">
        <f>(HLOOKUP('Yearly Pension'!AC$2,'Credited Service'!$G$1:$BC$80,$A47+1,FALSE)) * (IF($B47=500, (Assumptions!$B$7)*12, IF((HLOOKUP(AC$2,Earnings!$G$2:$BC$81,('Yearly Pension'!$A47)+1, FALSE)) &gt; AC$1, (Assumptions!$B$8)*(AC$1) + (Assumptions!$B$9)*MAX(0,  (HLOOKUP(AC$2,Earnings!$G$2:$BC$81,('Yearly Pension'!$A47)+1, FALSE)) - AC$1), ((Assumptions!$B$8)*'Yearly Pension'!AC$1))))</f>
        <v>720.03555833744304</v>
      </c>
      <c r="AD47" s="6">
        <f>(HLOOKUP('Yearly Pension'!AD$2,'Credited Service'!$G$1:$BC$80,$A47+1,FALSE)) * (IF($B47=500, (Assumptions!$B$7)*12, IF((HLOOKUP(AD$2,Earnings!$G$2:$BC$81,('Yearly Pension'!$A47)+1, FALSE)) &gt; AD$1, (Assumptions!$B$8)*(AD$1) + (Assumptions!$B$9)*MAX(0,  (HLOOKUP(AD$2,Earnings!$G$2:$BC$81,('Yearly Pension'!$A47)+1, FALSE)) - AD$1), ((Assumptions!$B$8)*'Yearly Pension'!AD$1))))</f>
        <v>757.13138067094087</v>
      </c>
      <c r="AE47" s="6">
        <f>(HLOOKUP('Yearly Pension'!AE$2,'Credited Service'!$G$1:$BC$80,$A47+1,FALSE)) * (IF($B47=500, (Assumptions!$B$7)*12, IF((HLOOKUP(AE$2,Earnings!$G$2:$BC$81,('Yearly Pension'!$A47)+1, FALSE)) &gt; AE$1, (Assumptions!$B$8)*(AE$1) + (Assumptions!$B$9)*MAX(0,  (HLOOKUP(AE$2,Earnings!$G$2:$BC$81,('Yearly Pension'!$A47)+1, FALSE)) - AE$1), ((Assumptions!$B$8)*'Yearly Pension'!AE$1))))</f>
        <v>792.56223589777858</v>
      </c>
      <c r="AF47" s="6">
        <f>(HLOOKUP('Yearly Pension'!AF$2,'Credited Service'!$G$1:$BC$80,$A47+1,FALSE)) * (IF($B47=500, (Assumptions!$B$7)*12, IF((HLOOKUP(AF$2,Earnings!$G$2:$BC$81,('Yearly Pension'!$A47)+1, FALSE)) &gt; AF$1, (Assumptions!$B$8)*(AF$1) + (Assumptions!$B$9)*MAX(0,  (HLOOKUP(AF$2,Earnings!$G$2:$BC$81,('Yearly Pension'!$A47)+1, FALSE)) - AF$1), ((Assumptions!$B$8)*'Yearly Pension'!AF$1))))</f>
        <v>828.94952533368973</v>
      </c>
      <c r="AG47" s="6">
        <f>(HLOOKUP('Yearly Pension'!AG$2,'Credited Service'!$G$1:$BC$80,$A47+1,FALSE)) * (IF($B47=500, (Assumptions!$B$7)*12, IF((HLOOKUP(AG$2,Earnings!$G$2:$BC$81,('Yearly Pension'!$A47)+1, FALSE)) &gt; AG$1, (Assumptions!$B$8)*(AG$1) + (Assumptions!$B$9)*MAX(0,  (HLOOKUP(AG$2,Earnings!$G$2:$BC$81,('Yearly Pension'!$A47)+1, FALSE)) - AG$1), ((Assumptions!$B$8)*'Yearly Pension'!AG$1))))</f>
        <v>866.99710634703752</v>
      </c>
      <c r="AH47" s="6">
        <f>(HLOOKUP('Yearly Pension'!AH$2,'Credited Service'!$G$1:$BC$80,$A47+1,FALSE)) * (IF($B47=500, (Assumptions!$B$7)*12, IF((HLOOKUP(AH$2,Earnings!$G$2:$BC$81,('Yearly Pension'!$A47)+1, FALSE)) &gt; AH$1, (Assumptions!$B$8)*(AH$1) + (Assumptions!$B$9)*MAX(0,  (HLOOKUP(AH$2,Earnings!$G$2:$BC$81,('Yearly Pension'!$A47)+1, FALSE)) - AH$1), ((Assumptions!$B$8)*'Yearly Pension'!AH$1))))</f>
        <v>908.05139060091892</v>
      </c>
      <c r="AI47" s="6">
        <f>(HLOOKUP('Yearly Pension'!AI$2,'Credited Service'!$G$1:$BC$80,$A47+1,FALSE)) * (IF($B47=500, (Assumptions!$B$7)*12, IF((HLOOKUP(AI$2,Earnings!$G$2:$BC$81,('Yearly Pension'!$A47)+1, FALSE)) &gt; AI$1, (Assumptions!$B$8)*(AI$1) + (Assumptions!$B$9)*MAX(0,  (HLOOKUP(AI$2,Earnings!$G$2:$BC$81,('Yearly Pension'!$A47)+1, FALSE)) - AI$1), ((Assumptions!$B$8)*'Yearly Pension'!AI$1))))</f>
        <v>950.90144622495563</v>
      </c>
      <c r="AJ47" s="6">
        <f>(HLOOKUP('Yearly Pension'!AJ$2,'Credited Service'!$G$1:$BC$80,$A47+1,FALSE)) * (IF($B47=500, (Assumptions!$B$7)*12, IF((HLOOKUP(AJ$2,Earnings!$G$2:$BC$81,('Yearly Pension'!$A47)+1, FALSE)) &gt; AJ$1, (Assumptions!$B$8)*(AJ$1) + (Assumptions!$B$9)*MAX(0,  (HLOOKUP(AJ$2,Earnings!$G$2:$BC$81,('Yearly Pension'!$A47)+1, FALSE)) - AJ$1), ((Assumptions!$B$8)*'Yearly Pension'!AJ$1))))</f>
        <v>993.0591040739539</v>
      </c>
      <c r="AK47" s="6">
        <f>(HLOOKUP('Yearly Pension'!AK$2,'Credited Service'!$G$1:$BC$80,$A47+1,FALSE)) * (IF($B47=500, (Assumptions!$B$7)*12, IF((HLOOKUP(AK$2,Earnings!$G$2:$BC$81,('Yearly Pension'!$A47)+1, FALSE)) &gt; AK$1, (Assumptions!$B$8)*(AK$1) + (Assumptions!$B$9)*MAX(0,  (HLOOKUP(AK$2,Earnings!$G$2:$BC$81,('Yearly Pension'!$A47)+1, FALSE)) - AK$1), ((Assumptions!$B$8)*'Yearly Pension'!AK$1))))</f>
        <v>1033.319068236912</v>
      </c>
      <c r="AL47" s="6">
        <f>(HLOOKUP('Yearly Pension'!AL$2,'Credited Service'!$G$1:$BC$80,$A47+1,FALSE)) * (IF($B47=500, (Assumptions!$B$7)*12, IF((HLOOKUP(AL$2,Earnings!$G$2:$BC$81,('Yearly Pension'!$A47)+1, FALSE)) &gt; AL$1, (Assumptions!$B$8)*(AL$1) + (Assumptions!$B$9)*MAX(0,  (HLOOKUP(AL$2,Earnings!$G$2:$BC$81,('Yearly Pension'!$A47)+1, FALSE)) - AL$1), ((Assumptions!$B$8)*'Yearly Pension'!AL$1))))</f>
        <v>1078.1590309663884</v>
      </c>
      <c r="AM47" s="6">
        <f>(HLOOKUP('Yearly Pension'!AM$2,'Credited Service'!$G$1:$BC$80,$A47+1,FALSE)) * (IF($B47=500, (Assumptions!$B$7)*12, IF((HLOOKUP(AM$2,Earnings!$G$2:$BC$81,('Yearly Pension'!$A47)+1, FALSE)) &gt; AM$1, (Assumptions!$B$8)*(AM$1) + (Assumptions!$B$9)*MAX(0,  (HLOOKUP(AM$2,Earnings!$G$2:$BC$81,('Yearly Pension'!$A47)+1, FALSE)) - AM$1), ((Assumptions!$B$8)*'Yearly Pension'!AM$1))))</f>
        <v>1123.819792205044</v>
      </c>
      <c r="AN47" s="6">
        <f>(HLOOKUP('Yearly Pension'!AN$2,'Credited Service'!$G$1:$BC$80,$A47+1,FALSE)) * (IF($B47=500, (Assumptions!$B$7)*12, IF((HLOOKUP(AN$2,Earnings!$G$2:$BC$81,('Yearly Pension'!$A47)+1, FALSE)) &gt; AN$1, (Assumptions!$B$8)*(AN$1) + (Assumptions!$B$9)*MAX(0,  (HLOOKUP(AN$2,Earnings!$G$2:$BC$81,('Yearly Pension'!$A47)+1, FALSE)) - AN$1), ((Assumptions!$B$8)*'Yearly Pension'!AN$1))))</f>
        <v>1174.865383893246</v>
      </c>
      <c r="AO47" s="6">
        <f>(HLOOKUP('Yearly Pension'!AO$2,'Credited Service'!$G$1:$BC$80,$A47+1,FALSE)) * (IF($B47=500, (Assumptions!$B$7)*12, IF((HLOOKUP(AO$2,Earnings!$G$2:$BC$81,('Yearly Pension'!$A47)+1, FALSE)) &gt; AO$1, (Assumptions!$B$8)*(AO$1) + (Assumptions!$B$9)*MAX(0,  (HLOOKUP(AO$2,Earnings!$G$2:$BC$81,('Yearly Pension'!$A47)+1, FALSE)) - AO$1), ((Assumptions!$B$8)*'Yearly Pension'!AO$1))))</f>
        <v>1226.9031992489759</v>
      </c>
      <c r="AP47" s="6">
        <f>(HLOOKUP('Yearly Pension'!AP$2,'Credited Service'!$G$1:$BC$80,$A47+1,FALSE)) * (IF($B47=500, (Assumptions!$B$7)*12, IF((HLOOKUP(AP$2,Earnings!$G$2:$BC$81,('Yearly Pension'!$A47)+1, FALSE)) &gt; AP$1, (Assumptions!$B$8)*(AP$1) + (Assumptions!$B$9)*MAX(0,  (HLOOKUP(AP$2,Earnings!$G$2:$BC$81,('Yearly Pension'!$A47)+1, FALSE)) - AP$1), ((Assumptions!$B$8)*'Yearly Pension'!AP$1))))</f>
        <v>1276.8241272189348</v>
      </c>
      <c r="AQ47" s="6">
        <f>(HLOOKUP('Yearly Pension'!AQ$2,'Credited Service'!$G$1:$BC$80,$A47+1,FALSE)) * (IF($B47=500, (Assumptions!$B$7)*12, IF((HLOOKUP(AQ$2,Earnings!$G$2:$BC$81,('Yearly Pension'!$A47)+1, FALSE)) &gt; AQ$1, (Assumptions!$B$8)*(AQ$1) + (Assumptions!$B$9)*MAX(0,  (HLOOKUP(AQ$2,Earnings!$G$2:$BC$81,('Yearly Pension'!$A47)+1, FALSE)) - AQ$1), ((Assumptions!$B$8)*'Yearly Pension'!AQ$1))))</f>
        <v>1334.3226923076923</v>
      </c>
      <c r="AR47" s="6">
        <f>(HLOOKUP('Yearly Pension'!AR$2,'Credited Service'!$G$1:$BC$80,$A47+1,FALSE)) * (IF($B47=500, (Assumptions!$B$7)*12, IF((HLOOKUP(AR$2,Earnings!$G$2:$BC$81,('Yearly Pension'!$A47)+1, FALSE)) &gt; AR$1, (Assumptions!$B$8)*(AR$1) + (Assumptions!$B$9)*MAX(0,  (HLOOKUP(AR$2,Earnings!$G$2:$BC$81,('Yearly Pension'!$A47)+1, FALSE)) - AR$1), ((Assumptions!$B$8)*'Yearly Pension'!AR$1))))</f>
        <v>1391.8172</v>
      </c>
      <c r="AS47" s="6">
        <f>(HLOOKUP('Yearly Pension'!AS$2,'Credited Service'!$G$1:$BC$80,$A47+1,FALSE)) * (IF($B47=500, (Assumptions!$B$7)*12, IF((HLOOKUP(AS$2,Earnings!$G$2:$BC$81,('Yearly Pension'!$A47)+1, FALSE)) &gt; AS$1, (Assumptions!$B$8)*(AS$1) + (Assumptions!$B$9)*MAX(0,  (HLOOKUP(AS$2,Earnings!$G$2:$BC$81,('Yearly Pension'!$A47)+1, FALSE)) - AS$1), ((Assumptions!$B$8)*'Yearly Pension'!AS$1))))</f>
        <v>1436.6117159999999</v>
      </c>
      <c r="AT47" s="6">
        <f>(HLOOKUP('Yearly Pension'!AT$2,'Credited Service'!$G$1:$BC$80,$A47+1,FALSE)) * (IF($B47=500, (Assumptions!$B$7)*12, IF((HLOOKUP(AT$2,Earnings!$G$2:$BC$81,('Yearly Pension'!$A47)+1, FALSE)) &gt; AT$1, (Assumptions!$B$8)*(AT$1) + (Assumptions!$B$9)*MAX(0,  (HLOOKUP(AT$2,Earnings!$G$2:$BC$81,('Yearly Pension'!$A47)+1, FALSE)) - AT$1), ((Assumptions!$B$8)*'Yearly Pension'!AT$1))))</f>
        <v>1481.6812674800001</v>
      </c>
      <c r="AU47" s="6">
        <f>(HLOOKUP('Yearly Pension'!AU$2,'Credited Service'!$G$1:$BC$80,$A47+1,FALSE)) * (IF($B47=500, (Assumptions!$B$7)*12, IF((HLOOKUP(AU$2,Earnings!$G$2:$BC$81,('Yearly Pension'!$A47)+1, FALSE)) &gt; AU$1, (Assumptions!$B$8)*(AU$1) + (Assumptions!$B$9)*MAX(0,  (HLOOKUP(AU$2,Earnings!$G$2:$BC$81,('Yearly Pension'!$A47)+1, FALSE)) - AU$1), ((Assumptions!$B$8)*'Yearly Pension'!AU$1))))</f>
        <v>1534.1125055044001</v>
      </c>
      <c r="AV47" s="6">
        <f>(HLOOKUP('Yearly Pension'!AV$2,'Credited Service'!$G$1:$BC$80,$A47+1,FALSE)) * (IF($B47=500, (Assumptions!$B$7)*12, IF((HLOOKUP(AV$2,Earnings!$G$2:$BC$81,('Yearly Pension'!$A47)+1, FALSE)) &gt; AV$1, (Assumptions!$B$8)*(AV$1) + (Assumptions!$B$9)*MAX(0,  (HLOOKUP(AV$2,Earnings!$G$2:$BC$81,('Yearly Pension'!$A47)+1, FALSE)) - AV$1), ((Assumptions!$B$8)*'Yearly Pension'!AV$1))))</f>
        <v>1586.9134806695322</v>
      </c>
      <c r="AW47" s="6">
        <f>(HLOOKUP('Yearly Pension'!AW$2,'Credited Service'!$G$1:$BC$80,$A47+1,FALSE)) * (IF($B47=500, (Assumptions!$B$7)*12, IF((HLOOKUP(AW$2,Earnings!$G$2:$BC$81,('Yearly Pension'!$A47)+1, FALSE)) &gt; AW$1, (Assumptions!$B$8)*(AW$1) + (Assumptions!$B$9)*MAX(0,  (HLOOKUP(AW$2,Earnings!$G$2:$BC$81,('Yearly Pension'!$A47)+1, FALSE)) - AW$1), ((Assumptions!$B$8)*'Yearly Pension'!AW$1))))</f>
        <v>1635.6536850896182</v>
      </c>
      <c r="AX47" s="6">
        <f>(HLOOKUP('Yearly Pension'!AX$2,'Credited Service'!$G$1:$BC$80,$A47+1,FALSE)) * (IF($B47=500, (Assumptions!$B$7)*12, IF((HLOOKUP(AX$2,Earnings!$G$2:$BC$81,('Yearly Pension'!$A47)+1, FALSE)) &gt; AX$1, (Assumptions!$B$8)*(AX$1) + (Assumptions!$B$9)*MAX(0,  (HLOOKUP(AX$2,Earnings!$G$2:$BC$81,('Yearly Pension'!$A47)+1, FALSE)) - AX$1), ((Assumptions!$B$8)*'Yearly Pension'!AX$1))))</f>
        <v>1681.0496956423067</v>
      </c>
      <c r="AY47" s="6">
        <f>(HLOOKUP('Yearly Pension'!AY$2,'Credited Service'!$G$1:$BC$80,$A47+1,FALSE)) * (IF($B47=500, (Assumptions!$B$7)*12, IF((HLOOKUP(AY$2,Earnings!$G$2:$BC$81,('Yearly Pension'!$A47)+1, FALSE)) &gt; AY$1, (Assumptions!$B$8)*(AY$1) + (Assumptions!$B$9)*MAX(0,  (HLOOKUP(AY$2,Earnings!$G$2:$BC$81,('Yearly Pension'!$A47)+1, FALSE)) - AY$1), ((Assumptions!$B$8)*'Yearly Pension'!AY$1))))</f>
        <v>1727.660642511576</v>
      </c>
      <c r="AZ47" s="6">
        <f>(HLOOKUP('Yearly Pension'!AZ$2,'Credited Service'!$G$1:$BC$80,$A47+1,FALSE)) * (IF($B47=500, (Assumptions!$B$7)*12, IF((HLOOKUP(AZ$2,Earnings!$G$2:$BC$81,('Yearly Pension'!$A47)+1, FALSE)) &gt; AZ$1, (Assumptions!$B$8)*(AZ$1) + (Assumptions!$B$9)*MAX(0,  (HLOOKUP(AZ$2,Earnings!$G$2:$BC$81,('Yearly Pension'!$A47)+1, FALSE)) - AZ$1), ((Assumptions!$B$8)*'Yearly Pension'!AZ$1))))</f>
        <v>1775.5170960269234</v>
      </c>
      <c r="BA47" s="6">
        <f>(HLOOKUP('Yearly Pension'!BA$2,'Credited Service'!$G$1:$BC$80,$A47+1,FALSE)) * (IF($B47=500, (Assumptions!$B$7)*12, IF((HLOOKUP(BA$2,Earnings!$G$2:$BC$81,('Yearly Pension'!$A47)+1, FALSE)) &gt; BA$1, (Assumptions!$B$8)*(BA$1) + (Assumptions!$B$9)*MAX(0,  (HLOOKUP(BA$2,Earnings!$G$2:$BC$81,('Yearly Pension'!$A47)+1, FALSE)) - BA$1), ((Assumptions!$B$8)*'Yearly Pension'!BA$1))))</f>
        <v>1824.650308517331</v>
      </c>
      <c r="BB47" s="6">
        <f>(HLOOKUP('Yearly Pension'!BB$2,'Credited Service'!$G$1:$BC$80,$A47+1,FALSE)) * (IF($B47=500, (Assumptions!$B$7)*12, IF((HLOOKUP(BB$2,Earnings!$G$2:$BC$81,('Yearly Pension'!$A47)+1, FALSE)) &gt; BB$1, (Assumptions!$B$8)*(BB$1) + (Assumptions!$B$9)*MAX(0,  (HLOOKUP(BB$2,Earnings!$G$2:$BC$81,('Yearly Pension'!$A47)+1, FALSE)) - BB$1), ((Assumptions!$B$8)*'Yearly Pension'!BB$1))))</f>
        <v>1875.092225366835</v>
      </c>
      <c r="BC47" s="6">
        <f>(HLOOKUP('Yearly Pension'!BC$2,'Credited Service'!$G$1:$BC$80,$A47+1,FALSE)) * (IF($B47=500, (Assumptions!$B$7)*12, IF((HLOOKUP(BC$2,Earnings!$G$2:$BC$81,('Yearly Pension'!$A47)+1, FALSE)) &gt; BC$1, (Assumptions!$B$8)*(BC$1) + (Assumptions!$B$9)*MAX(0,  (HLOOKUP(BC$2,Earnings!$G$2:$BC$81,('Yearly Pension'!$A47)+1, FALSE)) - BC$1), ((Assumptions!$B$8)*'Yearly Pension'!BC$1))))</f>
        <v>1926.8754960255833</v>
      </c>
    </row>
    <row r="48" spans="1:55" x14ac:dyDescent="0.25">
      <c r="A48" s="204">
        <v>46</v>
      </c>
      <c r="B48" s="1">
        <v>600</v>
      </c>
      <c r="C48" s="1">
        <v>698</v>
      </c>
      <c r="D48" s="3">
        <v>35087</v>
      </c>
      <c r="E48" s="3">
        <v>51745</v>
      </c>
      <c r="G48" s="6">
        <f>(HLOOKUP('Yearly Pension'!G$2,'Credited Service'!$G$1:$BC$80,$A48+1,FALSE)) * (IF($B48=500, (Assumptions!$B$7)*12, IF((HLOOKUP(G$2,Earnings!$G$2:$BC$81,('Yearly Pension'!$A48)+1, FALSE)) &gt; G$1, (Assumptions!$B$8)*(G$1) + (Assumptions!$B$9)*MAX(0,  (HLOOKUP(G$2,Earnings!$G$2:$BC$81,('Yearly Pension'!$A48)+1, FALSE)) - G$1), ((Assumptions!$B$8)*'Yearly Pension'!G$1))))</f>
        <v>0</v>
      </c>
      <c r="H48" s="6">
        <f>(HLOOKUP('Yearly Pension'!H$2,'Credited Service'!$G$1:$BC$80,$A48+1,FALSE)) * (IF($B48=500, (Assumptions!$B$7)*12, IF((HLOOKUP(H$2,Earnings!$G$2:$BC$81,('Yearly Pension'!$A48)+1, FALSE)) &gt; H$1, (Assumptions!$B$8)*(H$1) + (Assumptions!$B$9)*MAX(0,  (HLOOKUP(H$2,Earnings!$G$2:$BC$81,('Yearly Pension'!$A48)+1, FALSE)) - H$1), ((Assumptions!$B$8)*'Yearly Pension'!H$1))))</f>
        <v>0</v>
      </c>
      <c r="I48" s="6">
        <f>(HLOOKUP('Yearly Pension'!I$2,'Credited Service'!$G$1:$BC$80,$A48+1,FALSE)) * (IF($B48=500, (Assumptions!$B$7)*12, IF((HLOOKUP(I$2,Earnings!$G$2:$BC$81,('Yearly Pension'!$A48)+1, FALSE)) &gt; I$1, (Assumptions!$B$8)*(I$1) + (Assumptions!$B$9)*MAX(0,  (HLOOKUP(I$2,Earnings!$G$2:$BC$81,('Yearly Pension'!$A48)+1, FALSE)) - I$1), ((Assumptions!$B$8)*'Yearly Pension'!I$1))))</f>
        <v>0</v>
      </c>
      <c r="J48" s="6">
        <f>(HLOOKUP('Yearly Pension'!J$2,'Credited Service'!$G$1:$BC$80,$A48+1,FALSE)) * (IF($B48=500, (Assumptions!$B$7)*12, IF((HLOOKUP(J$2,Earnings!$G$2:$BC$81,('Yearly Pension'!$A48)+1, FALSE)) &gt; J$1, (Assumptions!$B$8)*(J$1) + (Assumptions!$B$9)*MAX(0,  (HLOOKUP(J$2,Earnings!$G$2:$BC$81,('Yearly Pension'!$A48)+1, FALSE)) - J$1), ((Assumptions!$B$8)*'Yearly Pension'!J$1))))</f>
        <v>0</v>
      </c>
      <c r="K48" s="6">
        <f>(HLOOKUP('Yearly Pension'!K$2,'Credited Service'!$G$1:$BC$80,$A48+1,FALSE)) * (IF($B48=500, (Assumptions!$B$7)*12, IF((HLOOKUP(K$2,Earnings!$G$2:$BC$81,('Yearly Pension'!$A48)+1, FALSE)) &gt; K$1, (Assumptions!$B$8)*(K$1) + (Assumptions!$B$9)*MAX(0,  (HLOOKUP(K$2,Earnings!$G$2:$BC$81,('Yearly Pension'!$A48)+1, FALSE)) - K$1), ((Assumptions!$B$8)*'Yearly Pension'!K$1))))</f>
        <v>0</v>
      </c>
      <c r="L48" s="6">
        <f>(HLOOKUP('Yearly Pension'!L$2,'Credited Service'!$G$1:$BC$80,$A48+1,FALSE)) * (IF($B48=500, (Assumptions!$B$7)*12, IF((HLOOKUP(L$2,Earnings!$G$2:$BC$81,('Yearly Pension'!$A48)+1, FALSE)) &gt; L$1, (Assumptions!$B$8)*(L$1) + (Assumptions!$B$9)*MAX(0,  (HLOOKUP(L$2,Earnings!$G$2:$BC$81,('Yearly Pension'!$A48)+1, FALSE)) - L$1), ((Assumptions!$B$8)*'Yearly Pension'!L$1))))</f>
        <v>0</v>
      </c>
      <c r="M48" s="6">
        <f>(HLOOKUP('Yearly Pension'!M$2,'Credited Service'!$G$1:$BC$80,$A48+1,FALSE)) * (IF($B48=500, (Assumptions!$B$7)*12, IF((HLOOKUP(M$2,Earnings!$G$2:$BC$81,('Yearly Pension'!$A48)+1, FALSE)) &gt; M$1, (Assumptions!$B$8)*(M$1) + (Assumptions!$B$9)*MAX(0,  (HLOOKUP(M$2,Earnings!$G$2:$BC$81,('Yearly Pension'!$A48)+1, FALSE)) - M$1), ((Assumptions!$B$8)*'Yearly Pension'!M$1))))</f>
        <v>0</v>
      </c>
      <c r="N48" s="6">
        <f>(HLOOKUP('Yearly Pension'!N$2,'Credited Service'!$G$1:$BC$80,$A48+1,FALSE)) * (IF($B48=500, (Assumptions!$B$7)*12, IF((HLOOKUP(N$2,Earnings!$G$2:$BC$81,('Yearly Pension'!$A48)+1, FALSE)) &gt; N$1, (Assumptions!$B$8)*(N$1) + (Assumptions!$B$9)*MAX(0,  (HLOOKUP(N$2,Earnings!$G$2:$BC$81,('Yearly Pension'!$A48)+1, FALSE)) - N$1), ((Assumptions!$B$8)*'Yearly Pension'!N$1))))</f>
        <v>0</v>
      </c>
      <c r="O48" s="6">
        <f>(HLOOKUP('Yearly Pension'!O$2,'Credited Service'!$G$1:$BC$80,$A48+1,FALSE)) * (IF($B48=500, (Assumptions!$B$7)*12, IF((HLOOKUP(O$2,Earnings!$G$2:$BC$81,('Yearly Pension'!$A48)+1, FALSE)) &gt; O$1, (Assumptions!$B$8)*(O$1) + (Assumptions!$B$9)*MAX(0,  (HLOOKUP(O$2,Earnings!$G$2:$BC$81,('Yearly Pension'!$A48)+1, FALSE)) - O$1), ((Assumptions!$B$8)*'Yearly Pension'!O$1))))</f>
        <v>0</v>
      </c>
      <c r="P48" s="6">
        <f>(HLOOKUP('Yearly Pension'!P$2,'Credited Service'!$G$1:$BC$80,$A48+1,FALSE)) * (IF($B48=500, (Assumptions!$B$7)*12, IF((HLOOKUP(P$2,Earnings!$G$2:$BC$81,('Yearly Pension'!$A48)+1, FALSE)) &gt; P$1, (Assumptions!$B$8)*(P$1) + (Assumptions!$B$9)*MAX(0,  (HLOOKUP(P$2,Earnings!$G$2:$BC$81,('Yearly Pension'!$A48)+1, FALSE)) - P$1), ((Assumptions!$B$8)*'Yearly Pension'!P$1))))</f>
        <v>0</v>
      </c>
      <c r="Q48" s="6">
        <f>(HLOOKUP('Yearly Pension'!Q$2,'Credited Service'!$G$1:$BC$80,$A48+1,FALSE)) * (IF($B48=500, (Assumptions!$B$7)*12, IF((HLOOKUP(Q$2,Earnings!$G$2:$BC$81,('Yearly Pension'!$A48)+1, FALSE)) &gt; Q$1, (Assumptions!$B$8)*(Q$1) + (Assumptions!$B$9)*MAX(0,  (HLOOKUP(Q$2,Earnings!$G$2:$BC$81,('Yearly Pension'!$A48)+1, FALSE)) - Q$1), ((Assumptions!$B$8)*'Yearly Pension'!Q$1))))</f>
        <v>0</v>
      </c>
      <c r="R48" s="6">
        <f>(HLOOKUP('Yearly Pension'!R$2,'Credited Service'!$G$1:$BC$80,$A48+1,FALSE)) * (IF($B48=500, (Assumptions!$B$7)*12, IF((HLOOKUP(R$2,Earnings!$G$2:$BC$81,('Yearly Pension'!$A48)+1, FALSE)) &gt; R$1, (Assumptions!$B$8)*(R$1) + (Assumptions!$B$9)*MAX(0,  (HLOOKUP(R$2,Earnings!$G$2:$BC$81,('Yearly Pension'!$A48)+1, FALSE)) - R$1), ((Assumptions!$B$8)*'Yearly Pension'!R$1))))</f>
        <v>0</v>
      </c>
      <c r="S48" s="6">
        <f>(HLOOKUP('Yearly Pension'!S$2,'Credited Service'!$G$1:$BC$80,$A48+1,FALSE)) * (IF($B48=500, (Assumptions!$B$7)*12, IF((HLOOKUP(S$2,Earnings!$G$2:$BC$81,('Yearly Pension'!$A48)+1, FALSE)) &gt; S$1, (Assumptions!$B$8)*(S$1) + (Assumptions!$B$9)*MAX(0,  (HLOOKUP(S$2,Earnings!$G$2:$BC$81,('Yearly Pension'!$A48)+1, FALSE)) - S$1), ((Assumptions!$B$8)*'Yearly Pension'!S$1))))</f>
        <v>0</v>
      </c>
      <c r="T48" s="6">
        <f>(HLOOKUP('Yearly Pension'!T$2,'Credited Service'!$G$1:$BC$80,$A48+1,FALSE)) * (IF($B48=500, (Assumptions!$B$7)*12, IF((HLOOKUP(T$2,Earnings!$G$2:$BC$81,('Yearly Pension'!$A48)+1, FALSE)) &gt; T$1, (Assumptions!$B$8)*(T$1) + (Assumptions!$B$9)*MAX(0,  (HLOOKUP(T$2,Earnings!$G$2:$BC$81,('Yearly Pension'!$A48)+1, FALSE)) - T$1), ((Assumptions!$B$8)*'Yearly Pension'!T$1))))</f>
        <v>0</v>
      </c>
      <c r="U48" s="6">
        <f>(HLOOKUP('Yearly Pension'!U$2,'Credited Service'!$G$1:$BC$80,$A48+1,FALSE)) * (IF($B48=500, (Assumptions!$B$7)*12, IF((HLOOKUP(U$2,Earnings!$G$2:$BC$81,('Yearly Pension'!$A48)+1, FALSE)) &gt; U$1, (Assumptions!$B$8)*(U$1) + (Assumptions!$B$9)*MAX(0,  (HLOOKUP(U$2,Earnings!$G$2:$BC$81,('Yearly Pension'!$A48)+1, FALSE)) - U$1), ((Assumptions!$B$8)*'Yearly Pension'!U$1))))</f>
        <v>0</v>
      </c>
      <c r="V48" s="6">
        <f>(HLOOKUP('Yearly Pension'!V$2,'Credited Service'!$G$1:$BC$80,$A48+1,FALSE)) * (IF($B48=500, (Assumptions!$B$7)*12, IF((HLOOKUP(V$2,Earnings!$G$2:$BC$81,('Yearly Pension'!$A48)+1, FALSE)) &gt; V$1, (Assumptions!$B$8)*(V$1) + (Assumptions!$B$9)*MAX(0,  (HLOOKUP(V$2,Earnings!$G$2:$BC$81,('Yearly Pension'!$A48)+1, FALSE)) - V$1), ((Assumptions!$B$8)*'Yearly Pension'!V$1))))</f>
        <v>0</v>
      </c>
      <c r="W48" s="6">
        <f>(HLOOKUP('Yearly Pension'!W$2,'Credited Service'!$G$1:$BC$80,$A48+1,FALSE)) * (IF($B48=500, (Assumptions!$B$7)*12, IF((HLOOKUP(W$2,Earnings!$G$2:$BC$81,('Yearly Pension'!$A48)+1, FALSE)) &gt; W$1, (Assumptions!$B$8)*(W$1) + (Assumptions!$B$9)*MAX(0,  (HLOOKUP(W$2,Earnings!$G$2:$BC$81,('Yearly Pension'!$A48)+1, FALSE)) - W$1), ((Assumptions!$B$8)*'Yearly Pension'!W$1))))</f>
        <v>0</v>
      </c>
      <c r="X48" s="6">
        <f>(HLOOKUP('Yearly Pension'!X$2,'Credited Service'!$G$1:$BC$80,$A48+1,FALSE)) * (IF($B48=500, (Assumptions!$B$7)*12, IF((HLOOKUP(X$2,Earnings!$G$2:$BC$81,('Yearly Pension'!$A48)+1, FALSE)) &gt; X$1, (Assumptions!$B$8)*(X$1) + (Assumptions!$B$9)*MAX(0,  (HLOOKUP(X$2,Earnings!$G$2:$BC$81,('Yearly Pension'!$A48)+1, FALSE)) - X$1), ((Assumptions!$B$8)*'Yearly Pension'!X$1))))</f>
        <v>0</v>
      </c>
      <c r="Y48" s="6">
        <f>(HLOOKUP('Yearly Pension'!Y$2,'Credited Service'!$G$1:$BC$80,$A48+1,FALSE)) * (IF($B48=500, (Assumptions!$B$7)*12, IF((HLOOKUP(Y$2,Earnings!$G$2:$BC$81,('Yearly Pension'!$A48)+1, FALSE)) &gt; Y$1, (Assumptions!$B$8)*(Y$1) + (Assumptions!$B$9)*MAX(0,  (HLOOKUP(Y$2,Earnings!$G$2:$BC$81,('Yearly Pension'!$A48)+1, FALSE)) - Y$1), ((Assumptions!$B$8)*'Yearly Pension'!Y$1))))</f>
        <v>0</v>
      </c>
      <c r="Z48" s="6">
        <f>(HLOOKUP('Yearly Pension'!Z$2,'Credited Service'!$G$1:$BC$80,$A48+1,FALSE)) * (IF($B48=500, (Assumptions!$B$7)*12, IF((HLOOKUP(Z$2,Earnings!$G$2:$BC$81,('Yearly Pension'!$A48)+1, FALSE)) &gt; Z$1, (Assumptions!$B$8)*(Z$1) + (Assumptions!$B$9)*MAX(0,  (HLOOKUP(Z$2,Earnings!$G$2:$BC$81,('Yearly Pension'!$A48)+1, FALSE)) - Z$1), ((Assumptions!$B$8)*'Yearly Pension'!Z$1))))</f>
        <v>581.60863392212445</v>
      </c>
      <c r="AA48" s="6">
        <f>(HLOOKUP('Yearly Pension'!AA$2,'Credited Service'!$G$1:$BC$80,$A48+1,FALSE)) * (IF($B48=500, (Assumptions!$B$7)*12, IF((HLOOKUP(AA$2,Earnings!$G$2:$BC$81,('Yearly Pension'!$A48)+1, FALSE)) &gt; AA$1, (Assumptions!$B$8)*(AA$1) + (Assumptions!$B$9)*MAX(0,  (HLOOKUP(AA$2,Earnings!$G$2:$BC$81,('Yearly Pension'!$A48)+1, FALSE)) - AA$1), ((Assumptions!$B$8)*'Yearly Pension'!AA$1))))</f>
        <v>666.36383194073755</v>
      </c>
      <c r="AB48" s="6">
        <f>(HLOOKUP('Yearly Pension'!AB$2,'Credited Service'!$G$1:$BC$80,$A48+1,FALSE)) * (IF($B48=500, (Assumptions!$B$7)*12, IF((HLOOKUP(AB$2,Earnings!$G$2:$BC$81,('Yearly Pension'!$A48)+1, FALSE)) &gt; AB$1, (Assumptions!$B$8)*(AB$1) + (Assumptions!$B$9)*MAX(0,  (HLOOKUP(AB$2,Earnings!$G$2:$BC$81,('Yearly Pension'!$A48)+1, FALSE)) - AB$1), ((Assumptions!$B$8)*'Yearly Pension'!AB$1))))</f>
        <v>695.14318521836708</v>
      </c>
      <c r="AC48" s="6">
        <f>(HLOOKUP('Yearly Pension'!AC$2,'Credited Service'!$G$1:$BC$80,$A48+1,FALSE)) * (IF($B48=500, (Assumptions!$B$7)*12, IF((HLOOKUP(AC$2,Earnings!$G$2:$BC$81,('Yearly Pension'!$A48)+1, FALSE)) &gt; AC$1, (Assumptions!$B$8)*(AC$1) + (Assumptions!$B$9)*MAX(0,  (HLOOKUP(AC$2,Earnings!$G$2:$BC$81,('Yearly Pension'!$A48)+1, FALSE)) - AC$1), ((Assumptions!$B$8)*'Yearly Pension'!AC$1))))</f>
        <v>729.19531262710177</v>
      </c>
      <c r="AD48" s="6">
        <f>(HLOOKUP('Yearly Pension'!AD$2,'Credited Service'!$G$1:$BC$80,$A48+1,FALSE)) * (IF($B48=500, (Assumptions!$B$7)*12, IF((HLOOKUP(AD$2,Earnings!$G$2:$BC$81,('Yearly Pension'!$A48)+1, FALSE)) &gt; AD$1, (Assumptions!$B$8)*(AD$1) + (Assumptions!$B$9)*MAX(0,  (HLOOKUP(AD$2,Earnings!$G$2:$BC$81,('Yearly Pension'!$A48)+1, FALSE)) - AD$1), ((Assumptions!$B$8)*'Yearly Pension'!AD$1))))</f>
        <v>766.65752513218592</v>
      </c>
      <c r="AE48" s="6">
        <f>(HLOOKUP('Yearly Pension'!AE$2,'Credited Service'!$G$1:$BC$80,$A48+1,FALSE)) * (IF($B48=500, (Assumptions!$B$7)*12, IF((HLOOKUP(AE$2,Earnings!$G$2:$BC$81,('Yearly Pension'!$A48)+1, FALSE)) &gt; AE$1, (Assumptions!$B$8)*(AE$1) + (Assumptions!$B$9)*MAX(0,  (HLOOKUP(AE$2,Earnings!$G$2:$BC$81,('Yearly Pension'!$A48)+1, FALSE)) - AE$1), ((Assumptions!$B$8)*'Yearly Pension'!AE$1))))</f>
        <v>802.46942613747342</v>
      </c>
      <c r="AF48" s="6">
        <f>(HLOOKUP('Yearly Pension'!AF$2,'Credited Service'!$G$1:$BC$80,$A48+1,FALSE)) * (IF($B48=500, (Assumptions!$B$7)*12, IF((HLOOKUP(AF$2,Earnings!$G$2:$BC$81,('Yearly Pension'!$A48)+1, FALSE)) &gt; AF$1, (Assumptions!$B$8)*(AF$1) + (Assumptions!$B$9)*MAX(0,  (HLOOKUP(AF$2,Earnings!$G$2:$BC$81,('Yearly Pension'!$A48)+1, FALSE)) - AF$1), ((Assumptions!$B$8)*'Yearly Pension'!AF$1))))</f>
        <v>839.25300318297241</v>
      </c>
      <c r="AG48" s="6">
        <f>(HLOOKUP('Yearly Pension'!AG$2,'Credited Service'!$G$1:$BC$80,$A48+1,FALSE)) * (IF($B48=500, (Assumptions!$B$7)*12, IF((HLOOKUP(AG$2,Earnings!$G$2:$BC$81,('Yearly Pension'!$A48)+1, FALSE)) &gt; AG$1, (Assumptions!$B$8)*(AG$1) + (Assumptions!$B$9)*MAX(0,  (HLOOKUP(AG$2,Earnings!$G$2:$BC$81,('Yearly Pension'!$A48)+1, FALSE)) - AG$1), ((Assumptions!$B$8)*'Yearly Pension'!AG$1))))</f>
        <v>877.71272331029127</v>
      </c>
      <c r="AH48" s="6">
        <f>(HLOOKUP('Yearly Pension'!AH$2,'Credited Service'!$G$1:$BC$80,$A48+1,FALSE)) * (IF($B48=500, (Assumptions!$B$7)*12, IF((HLOOKUP(AH$2,Earnings!$G$2:$BC$81,('Yearly Pension'!$A48)+1, FALSE)) &gt; AH$1, (Assumptions!$B$8)*(AH$1) + (Assumptions!$B$9)*MAX(0,  (HLOOKUP(AH$2,Earnings!$G$2:$BC$81,('Yearly Pension'!$A48)+1, FALSE)) - AH$1), ((Assumptions!$B$8)*'Yearly Pension'!AH$1))))</f>
        <v>919.19563224270291</v>
      </c>
      <c r="AI48" s="6">
        <f>(HLOOKUP('Yearly Pension'!AI$2,'Credited Service'!$G$1:$BC$80,$A48+1,FALSE)) * (IF($B48=500, (Assumptions!$B$7)*12, IF((HLOOKUP(AI$2,Earnings!$G$2:$BC$81,('Yearly Pension'!$A48)+1, FALSE)) &gt; AI$1, (Assumptions!$B$8)*(AI$1) + (Assumptions!$B$9)*MAX(0,  (HLOOKUP(AI$2,Earnings!$G$2:$BC$81,('Yearly Pension'!$A48)+1, FALSE)) - AI$1), ((Assumptions!$B$8)*'Yearly Pension'!AI$1))))</f>
        <v>962.491457532411</v>
      </c>
      <c r="AJ48" s="6">
        <f>(HLOOKUP('Yearly Pension'!AJ$2,'Credited Service'!$G$1:$BC$80,$A48+1,FALSE)) * (IF($B48=500, (Assumptions!$B$7)*12, IF((HLOOKUP(AJ$2,Earnings!$G$2:$BC$81,('Yearly Pension'!$A48)+1, FALSE)) &gt; AJ$1, (Assumptions!$B$8)*(AJ$1) + (Assumptions!$B$9)*MAX(0,  (HLOOKUP(AJ$2,Earnings!$G$2:$BC$81,('Yearly Pension'!$A48)+1, FALSE)) - AJ$1), ((Assumptions!$B$8)*'Yearly Pension'!AJ$1))))</f>
        <v>1005.1127158337076</v>
      </c>
      <c r="AK48" s="6">
        <f>(HLOOKUP('Yearly Pension'!AK$2,'Credited Service'!$G$1:$BC$80,$A48+1,FALSE)) * (IF($B48=500, (Assumptions!$B$7)*12, IF((HLOOKUP(AK$2,Earnings!$G$2:$BC$81,('Yearly Pension'!$A48)+1, FALSE)) &gt; AK$1, (Assumptions!$B$8)*(AK$1) + (Assumptions!$B$9)*MAX(0,  (HLOOKUP(AK$2,Earnings!$G$2:$BC$81,('Yearly Pension'!$A48)+1, FALSE)) - AK$1), ((Assumptions!$B$8)*'Yearly Pension'!AK$1))))</f>
        <v>1045.854824467056</v>
      </c>
      <c r="AL48" s="6">
        <f>(HLOOKUP('Yearly Pension'!AL$2,'Credited Service'!$G$1:$BC$80,$A48+1,FALSE)) * (IF($B48=500, (Assumptions!$B$7)*12, IF((HLOOKUP(AL$2,Earnings!$G$2:$BC$81,('Yearly Pension'!$A48)+1, FALSE)) &gt; AL$1, (Assumptions!$B$8)*(AL$1) + (Assumptions!$B$9)*MAX(0,  (HLOOKUP(AL$2,Earnings!$G$2:$BC$81,('Yearly Pension'!$A48)+1, FALSE)) - AL$1), ((Assumptions!$B$8)*'Yearly Pension'!AL$1))))</f>
        <v>1091.1962174457385</v>
      </c>
      <c r="AM48" s="6">
        <f>(HLOOKUP('Yearly Pension'!AM$2,'Credited Service'!$G$1:$BC$80,$A48+1,FALSE)) * (IF($B48=500, (Assumptions!$B$7)*12, IF((HLOOKUP(AM$2,Earnings!$G$2:$BC$81,('Yearly Pension'!$A48)+1, FALSE)) &gt; AM$1, (Assumptions!$B$8)*(AM$1) + (Assumptions!$B$9)*MAX(0,  (HLOOKUP(AM$2,Earnings!$G$2:$BC$81,('Yearly Pension'!$A48)+1, FALSE)) - AM$1), ((Assumptions!$B$8)*'Yearly Pension'!AM$1))))</f>
        <v>1137.3784661435679</v>
      </c>
      <c r="AN48" s="6">
        <f>(HLOOKUP('Yearly Pension'!AN$2,'Credited Service'!$G$1:$BC$80,$A48+1,FALSE)) * (IF($B48=500, (Assumptions!$B$7)*12, IF((HLOOKUP(AN$2,Earnings!$G$2:$BC$81,('Yearly Pension'!$A48)+1, FALSE)) &gt; AN$1, (Assumptions!$B$8)*(AN$1) + (Assumptions!$B$9)*MAX(0,  (HLOOKUP(AN$2,Earnings!$G$2:$BC$81,('Yearly Pension'!$A48)+1, FALSE)) - AN$1), ((Assumptions!$B$8)*'Yearly Pension'!AN$1))))</f>
        <v>1188.9664047893107</v>
      </c>
      <c r="AO48" s="6">
        <f>(HLOOKUP('Yearly Pension'!AO$2,'Credited Service'!$G$1:$BC$80,$A48+1,FALSE)) * (IF($B48=500, (Assumptions!$B$7)*12, IF((HLOOKUP(AO$2,Earnings!$G$2:$BC$81,('Yearly Pension'!$A48)+1, FALSE)) &gt; AO$1, (Assumptions!$B$8)*(AO$1) + (Assumptions!$B$9)*MAX(0,  (HLOOKUP(AO$2,Earnings!$G$2:$BC$81,('Yearly Pension'!$A48)+1, FALSE)) - AO$1), ((Assumptions!$B$8)*'Yearly Pension'!AO$1))))</f>
        <v>1241.5682609808832</v>
      </c>
      <c r="AP48" s="6">
        <f>(HLOOKUP('Yearly Pension'!AP$2,'Credited Service'!$G$1:$BC$80,$A48+1,FALSE)) * (IF($B48=500, (Assumptions!$B$7)*12, IF((HLOOKUP(AP$2,Earnings!$G$2:$BC$81,('Yearly Pension'!$A48)+1, FALSE)) &gt; AP$1, (Assumptions!$B$8)*(AP$1) + (Assumptions!$B$9)*MAX(0,  (HLOOKUP(AP$2,Earnings!$G$2:$BC$81,('Yearly Pension'!$A48)+1, FALSE)) - AP$1), ((Assumptions!$B$8)*'Yearly Pension'!AP$1))))</f>
        <v>1292.0757914201185</v>
      </c>
      <c r="AQ48" s="6">
        <f>(HLOOKUP('Yearly Pension'!AQ$2,'Credited Service'!$G$1:$BC$80,$A48+1,FALSE)) * (IF($B48=500, (Assumptions!$B$7)*12, IF((HLOOKUP(AQ$2,Earnings!$G$2:$BC$81,('Yearly Pension'!$A48)+1, FALSE)) &gt; AQ$1, (Assumptions!$B$8)*(AQ$1) + (Assumptions!$B$9)*MAX(0,  (HLOOKUP(AQ$2,Earnings!$G$2:$BC$81,('Yearly Pension'!$A48)+1, FALSE)) - AQ$1), ((Assumptions!$B$8)*'Yearly Pension'!AQ$1))))</f>
        <v>1350.1844230769229</v>
      </c>
      <c r="AR48" s="6">
        <f>(HLOOKUP('Yearly Pension'!AR$2,'Credited Service'!$G$1:$BC$80,$A48+1,FALSE)) * (IF($B48=500, (Assumptions!$B$7)*12, IF((HLOOKUP(AR$2,Earnings!$G$2:$BC$81,('Yearly Pension'!$A48)+1, FALSE)) &gt; AR$1, (Assumptions!$B$8)*(AR$1) + (Assumptions!$B$9)*MAX(0,  (HLOOKUP(AR$2,Earnings!$G$2:$BC$81,('Yearly Pension'!$A48)+1, FALSE)) - AR$1), ((Assumptions!$B$8)*'Yearly Pension'!AR$1))))</f>
        <v>1408.3134</v>
      </c>
      <c r="AS48" s="6">
        <f>(HLOOKUP('Yearly Pension'!AS$2,'Credited Service'!$G$1:$BC$80,$A48+1,FALSE)) * (IF($B48=500, (Assumptions!$B$7)*12, IF((HLOOKUP(AS$2,Earnings!$G$2:$BC$81,('Yearly Pension'!$A48)+1, FALSE)) &gt; AS$1, (Assumptions!$B$8)*(AS$1) + (Assumptions!$B$9)*MAX(0,  (HLOOKUP(AS$2,Earnings!$G$2:$BC$81,('Yearly Pension'!$A48)+1, FALSE)) - AS$1), ((Assumptions!$B$8)*'Yearly Pension'!AS$1))))</f>
        <v>1453.6028019999999</v>
      </c>
      <c r="AT48" s="6">
        <f>(HLOOKUP('Yearly Pension'!AT$2,'Credited Service'!$G$1:$BC$80,$A48+1,FALSE)) * (IF($B48=500, (Assumptions!$B$7)*12, IF((HLOOKUP(AT$2,Earnings!$G$2:$BC$81,('Yearly Pension'!$A48)+1, FALSE)) &gt; AT$1, (Assumptions!$B$8)*(AT$1) + (Assumptions!$B$9)*MAX(0,  (HLOOKUP(AT$2,Earnings!$G$2:$BC$81,('Yearly Pension'!$A48)+1, FALSE)) - AT$1), ((Assumptions!$B$8)*'Yearly Pension'!AT$1))))</f>
        <v>1499.1820860600001</v>
      </c>
      <c r="AU48" s="6">
        <f>(HLOOKUP('Yearly Pension'!AU$2,'Credited Service'!$G$1:$BC$80,$A48+1,FALSE)) * (IF($B48=500, (Assumptions!$B$7)*12, IF((HLOOKUP(AU$2,Earnings!$G$2:$BC$81,('Yearly Pension'!$A48)+1, FALSE)) &gt; AU$1, (Assumptions!$B$8)*(AU$1) + (Assumptions!$B$9)*MAX(0,  (HLOOKUP(AU$2,Earnings!$G$2:$BC$81,('Yearly Pension'!$A48)+1, FALSE)) - AU$1), ((Assumptions!$B$8)*'Yearly Pension'!AU$1))))</f>
        <v>1552.1383486417999</v>
      </c>
      <c r="AV48" s="6">
        <f>(HLOOKUP('Yearly Pension'!AV$2,'Credited Service'!$G$1:$BC$80,$A48+1,FALSE)) * (IF($B48=500, (Assumptions!$B$7)*12, IF((HLOOKUP(AV$2,Earnings!$G$2:$BC$81,('Yearly Pension'!$A48)+1, FALSE)) &gt; AV$1, (Assumptions!$B$8)*(AV$1) + (Assumptions!$B$9)*MAX(0,  (HLOOKUP(AV$2,Earnings!$G$2:$BC$81,('Yearly Pension'!$A48)+1, FALSE)) - AV$1), ((Assumptions!$B$8)*'Yearly Pension'!AV$1))))</f>
        <v>1605.4800991010541</v>
      </c>
      <c r="AW48" s="6">
        <f>(HLOOKUP('Yearly Pension'!AW$2,'Credited Service'!$G$1:$BC$80,$A48+1,FALSE)) * (IF($B48=500, (Assumptions!$B$7)*12, IF((HLOOKUP(AW$2,Earnings!$G$2:$BC$81,('Yearly Pension'!$A48)+1, FALSE)) &gt; AW$1, (Assumptions!$B$8)*(AW$1) + (Assumptions!$B$9)*MAX(0,  (HLOOKUP(AW$2,Earnings!$G$2:$BC$81,('Yearly Pension'!$A48)+1, FALSE)) - AW$1), ((Assumptions!$B$8)*'Yearly Pension'!AW$1))))</f>
        <v>1654.7773020740856</v>
      </c>
      <c r="AX48" s="6">
        <f>(HLOOKUP('Yearly Pension'!AX$2,'Credited Service'!$G$1:$BC$80,$A48+1,FALSE)) * (IF($B48=500, (Assumptions!$B$7)*12, IF((HLOOKUP(AX$2,Earnings!$G$2:$BC$81,('Yearly Pension'!$A48)+1, FALSE)) &gt; AX$1, (Assumptions!$B$8)*(AX$1) + (Assumptions!$B$9)*MAX(0,  (HLOOKUP(AX$2,Earnings!$G$2:$BC$81,('Yearly Pension'!$A48)+1, FALSE)) - AX$1), ((Assumptions!$B$8)*'Yearly Pension'!AX$1))))</f>
        <v>1700.7470211363084</v>
      </c>
      <c r="AY48" s="6">
        <f>(HLOOKUP('Yearly Pension'!AY$2,'Credited Service'!$G$1:$BC$80,$A48+1,FALSE)) * (IF($B48=500, (Assumptions!$B$7)*12, IF((HLOOKUP(AY$2,Earnings!$G$2:$BC$81,('Yearly Pension'!$A48)+1, FALSE)) &gt; AY$1, (Assumptions!$B$8)*(AY$1) + (Assumptions!$B$9)*MAX(0,  (HLOOKUP(AY$2,Earnings!$G$2:$BC$81,('Yearly Pension'!$A48)+1, FALSE)) - AY$1), ((Assumptions!$B$8)*'Yearly Pension'!AY$1))))</f>
        <v>1747.9488877703977</v>
      </c>
      <c r="AZ48" s="6">
        <f>(HLOOKUP('Yearly Pension'!AZ$2,'Credited Service'!$G$1:$BC$80,$A48+1,FALSE)) * (IF($B48=500, (Assumptions!$B$7)*12, IF((HLOOKUP(AZ$2,Earnings!$G$2:$BC$81,('Yearly Pension'!$A48)+1, FALSE)) &gt; AZ$1, (Assumptions!$B$8)*(AZ$1) + (Assumptions!$B$9)*MAX(0,  (HLOOKUP(AZ$2,Earnings!$G$2:$BC$81,('Yearly Pension'!$A48)+1, FALSE)) - AZ$1), ((Assumptions!$B$8)*'Yearly Pension'!AZ$1))))</f>
        <v>1796.4139886435096</v>
      </c>
      <c r="BA48" s="6">
        <f>(HLOOKUP('Yearly Pension'!BA$2,'Credited Service'!$G$1:$BC$80,$A48+1,FALSE)) * (IF($B48=500, (Assumptions!$B$7)*12, IF((HLOOKUP(BA$2,Earnings!$G$2:$BC$81,('Yearly Pension'!$A48)+1, FALSE)) &gt; BA$1, (Assumptions!$B$8)*(BA$1) + (Assumptions!$B$9)*MAX(0,  (HLOOKUP(BA$2,Earnings!$G$2:$BC$81,('Yearly Pension'!$A48)+1, FALSE)) - BA$1), ((Assumptions!$B$8)*'Yearly Pension'!BA$1))))</f>
        <v>1846.1741079124149</v>
      </c>
      <c r="BB48" s="6">
        <f>(HLOOKUP('Yearly Pension'!BB$2,'Credited Service'!$G$1:$BC$80,$A48+1,FALSE)) * (IF($B48=500, (Assumptions!$B$7)*12, IF((HLOOKUP(BB$2,Earnings!$G$2:$BC$81,('Yearly Pension'!$A48)+1, FALSE)) &gt; BB$1, (Assumptions!$B$8)*(BB$1) + (Assumptions!$B$9)*MAX(0,  (HLOOKUP(BB$2,Earnings!$G$2:$BC$81,('Yearly Pension'!$A48)+1, FALSE)) - BB$1), ((Assumptions!$B$8)*'Yearly Pension'!BB$1))))</f>
        <v>1897.2617387437713</v>
      </c>
      <c r="BC48" s="6">
        <f>(HLOOKUP('Yearly Pension'!BC$2,'Credited Service'!$G$1:$BC$80,$A48+1,FALSE)) * (IF($B48=500, (Assumptions!$B$7)*12, IF((HLOOKUP(BC$2,Earnings!$G$2:$BC$81,('Yearly Pension'!$A48)+1, FALSE)) &gt; BC$1, (Assumptions!$B$8)*(BC$1) + (Assumptions!$B$9)*MAX(0,  (HLOOKUP(BC$2,Earnings!$G$2:$BC$81,('Yearly Pension'!$A48)+1, FALSE)) - BC$1), ((Assumptions!$B$8)*'Yearly Pension'!BC$1))))</f>
        <v>1949.7100948038278</v>
      </c>
    </row>
    <row r="49" spans="1:55" x14ac:dyDescent="0.25">
      <c r="A49" s="204">
        <v>47</v>
      </c>
      <c r="B49" s="1">
        <v>600</v>
      </c>
      <c r="C49" s="1">
        <v>697</v>
      </c>
      <c r="D49" s="3">
        <v>35735</v>
      </c>
      <c r="E49" s="3">
        <v>46054</v>
      </c>
      <c r="G49" s="6">
        <f>(HLOOKUP('Yearly Pension'!G$2,'Credited Service'!$G$1:$BC$80,$A49+1,FALSE)) * (IF($B49=500, (Assumptions!$B$7)*12, IF((HLOOKUP(G$2,Earnings!$G$2:$BC$81,('Yearly Pension'!$A49)+1, FALSE)) &gt; G$1, (Assumptions!$B$8)*(G$1) + (Assumptions!$B$9)*MAX(0,  (HLOOKUP(G$2,Earnings!$G$2:$BC$81,('Yearly Pension'!$A49)+1, FALSE)) - G$1), ((Assumptions!$B$8)*'Yearly Pension'!G$1))))</f>
        <v>0</v>
      </c>
      <c r="H49" s="6">
        <f>(HLOOKUP('Yearly Pension'!H$2,'Credited Service'!$G$1:$BC$80,$A49+1,FALSE)) * (IF($B49=500, (Assumptions!$B$7)*12, IF((HLOOKUP(H$2,Earnings!$G$2:$BC$81,('Yearly Pension'!$A49)+1, FALSE)) &gt; H$1, (Assumptions!$B$8)*(H$1) + (Assumptions!$B$9)*MAX(0,  (HLOOKUP(H$2,Earnings!$G$2:$BC$81,('Yearly Pension'!$A49)+1, FALSE)) - H$1), ((Assumptions!$B$8)*'Yearly Pension'!H$1))))</f>
        <v>0</v>
      </c>
      <c r="I49" s="6">
        <f>(HLOOKUP('Yearly Pension'!I$2,'Credited Service'!$G$1:$BC$80,$A49+1,FALSE)) * (IF($B49=500, (Assumptions!$B$7)*12, IF((HLOOKUP(I$2,Earnings!$G$2:$BC$81,('Yearly Pension'!$A49)+1, FALSE)) &gt; I$1, (Assumptions!$B$8)*(I$1) + (Assumptions!$B$9)*MAX(0,  (HLOOKUP(I$2,Earnings!$G$2:$BC$81,('Yearly Pension'!$A49)+1, FALSE)) - I$1), ((Assumptions!$B$8)*'Yearly Pension'!I$1))))</f>
        <v>0</v>
      </c>
      <c r="J49" s="6">
        <f>(HLOOKUP('Yearly Pension'!J$2,'Credited Service'!$G$1:$BC$80,$A49+1,FALSE)) * (IF($B49=500, (Assumptions!$B$7)*12, IF((HLOOKUP(J$2,Earnings!$G$2:$BC$81,('Yearly Pension'!$A49)+1, FALSE)) &gt; J$1, (Assumptions!$B$8)*(J$1) + (Assumptions!$B$9)*MAX(0,  (HLOOKUP(J$2,Earnings!$G$2:$BC$81,('Yearly Pension'!$A49)+1, FALSE)) - J$1), ((Assumptions!$B$8)*'Yearly Pension'!J$1))))</f>
        <v>0</v>
      </c>
      <c r="K49" s="6">
        <f>(HLOOKUP('Yearly Pension'!K$2,'Credited Service'!$G$1:$BC$80,$A49+1,FALSE)) * (IF($B49=500, (Assumptions!$B$7)*12, IF((HLOOKUP(K$2,Earnings!$G$2:$BC$81,('Yearly Pension'!$A49)+1, FALSE)) &gt; K$1, (Assumptions!$B$8)*(K$1) + (Assumptions!$B$9)*MAX(0,  (HLOOKUP(K$2,Earnings!$G$2:$BC$81,('Yearly Pension'!$A49)+1, FALSE)) - K$1), ((Assumptions!$B$8)*'Yearly Pension'!K$1))))</f>
        <v>0</v>
      </c>
      <c r="L49" s="6">
        <f>(HLOOKUP('Yearly Pension'!L$2,'Credited Service'!$G$1:$BC$80,$A49+1,FALSE)) * (IF($B49=500, (Assumptions!$B$7)*12, IF((HLOOKUP(L$2,Earnings!$G$2:$BC$81,('Yearly Pension'!$A49)+1, FALSE)) &gt; L$1, (Assumptions!$B$8)*(L$1) + (Assumptions!$B$9)*MAX(0,  (HLOOKUP(L$2,Earnings!$G$2:$BC$81,('Yearly Pension'!$A49)+1, FALSE)) - L$1), ((Assumptions!$B$8)*'Yearly Pension'!L$1))))</f>
        <v>0</v>
      </c>
      <c r="M49" s="6">
        <f>(HLOOKUP('Yearly Pension'!M$2,'Credited Service'!$G$1:$BC$80,$A49+1,FALSE)) * (IF($B49=500, (Assumptions!$B$7)*12, IF((HLOOKUP(M$2,Earnings!$G$2:$BC$81,('Yearly Pension'!$A49)+1, FALSE)) &gt; M$1, (Assumptions!$B$8)*(M$1) + (Assumptions!$B$9)*MAX(0,  (HLOOKUP(M$2,Earnings!$G$2:$BC$81,('Yearly Pension'!$A49)+1, FALSE)) - M$1), ((Assumptions!$B$8)*'Yearly Pension'!M$1))))</f>
        <v>0</v>
      </c>
      <c r="N49" s="6">
        <f>(HLOOKUP('Yearly Pension'!N$2,'Credited Service'!$G$1:$BC$80,$A49+1,FALSE)) * (IF($B49=500, (Assumptions!$B$7)*12, IF((HLOOKUP(N$2,Earnings!$G$2:$BC$81,('Yearly Pension'!$A49)+1, FALSE)) &gt; N$1, (Assumptions!$B$8)*(N$1) + (Assumptions!$B$9)*MAX(0,  (HLOOKUP(N$2,Earnings!$G$2:$BC$81,('Yearly Pension'!$A49)+1, FALSE)) - N$1), ((Assumptions!$B$8)*'Yearly Pension'!N$1))))</f>
        <v>0</v>
      </c>
      <c r="O49" s="6">
        <f>(HLOOKUP('Yearly Pension'!O$2,'Credited Service'!$G$1:$BC$80,$A49+1,FALSE)) * (IF($B49=500, (Assumptions!$B$7)*12, IF((HLOOKUP(O$2,Earnings!$G$2:$BC$81,('Yearly Pension'!$A49)+1, FALSE)) &gt; O$1, (Assumptions!$B$8)*(O$1) + (Assumptions!$B$9)*MAX(0,  (HLOOKUP(O$2,Earnings!$G$2:$BC$81,('Yearly Pension'!$A49)+1, FALSE)) - O$1), ((Assumptions!$B$8)*'Yearly Pension'!O$1))))</f>
        <v>0</v>
      </c>
      <c r="P49" s="6">
        <f>(HLOOKUP('Yearly Pension'!P$2,'Credited Service'!$G$1:$BC$80,$A49+1,FALSE)) * (IF($B49=500, (Assumptions!$B$7)*12, IF((HLOOKUP(P$2,Earnings!$G$2:$BC$81,('Yearly Pension'!$A49)+1, FALSE)) &gt; P$1, (Assumptions!$B$8)*(P$1) + (Assumptions!$B$9)*MAX(0,  (HLOOKUP(P$2,Earnings!$G$2:$BC$81,('Yearly Pension'!$A49)+1, FALSE)) - P$1), ((Assumptions!$B$8)*'Yearly Pension'!P$1))))</f>
        <v>0</v>
      </c>
      <c r="Q49" s="6">
        <f>(HLOOKUP('Yearly Pension'!Q$2,'Credited Service'!$G$1:$BC$80,$A49+1,FALSE)) * (IF($B49=500, (Assumptions!$B$7)*12, IF((HLOOKUP(Q$2,Earnings!$G$2:$BC$81,('Yearly Pension'!$A49)+1, FALSE)) &gt; Q$1, (Assumptions!$B$8)*(Q$1) + (Assumptions!$B$9)*MAX(0,  (HLOOKUP(Q$2,Earnings!$G$2:$BC$81,('Yearly Pension'!$A49)+1, FALSE)) - Q$1), ((Assumptions!$B$8)*'Yearly Pension'!Q$1))))</f>
        <v>0</v>
      </c>
      <c r="R49" s="6">
        <f>(HLOOKUP('Yearly Pension'!R$2,'Credited Service'!$G$1:$BC$80,$A49+1,FALSE)) * (IF($B49=500, (Assumptions!$B$7)*12, IF((HLOOKUP(R$2,Earnings!$G$2:$BC$81,('Yearly Pension'!$A49)+1, FALSE)) &gt; R$1, (Assumptions!$B$8)*(R$1) + (Assumptions!$B$9)*MAX(0,  (HLOOKUP(R$2,Earnings!$G$2:$BC$81,('Yearly Pension'!$A49)+1, FALSE)) - R$1), ((Assumptions!$B$8)*'Yearly Pension'!R$1))))</f>
        <v>0</v>
      </c>
      <c r="S49" s="6">
        <f>(HLOOKUP('Yearly Pension'!S$2,'Credited Service'!$G$1:$BC$80,$A49+1,FALSE)) * (IF($B49=500, (Assumptions!$B$7)*12, IF((HLOOKUP(S$2,Earnings!$G$2:$BC$81,('Yearly Pension'!$A49)+1, FALSE)) &gt; S$1, (Assumptions!$B$8)*(S$1) + (Assumptions!$B$9)*MAX(0,  (HLOOKUP(S$2,Earnings!$G$2:$BC$81,('Yearly Pension'!$A49)+1, FALSE)) - S$1), ((Assumptions!$B$8)*'Yearly Pension'!S$1))))</f>
        <v>0</v>
      </c>
      <c r="T49" s="6">
        <f>(HLOOKUP('Yearly Pension'!T$2,'Credited Service'!$G$1:$BC$80,$A49+1,FALSE)) * (IF($B49=500, (Assumptions!$B$7)*12, IF((HLOOKUP(T$2,Earnings!$G$2:$BC$81,('Yearly Pension'!$A49)+1, FALSE)) &gt; T$1, (Assumptions!$B$8)*(T$1) + (Assumptions!$B$9)*MAX(0,  (HLOOKUP(T$2,Earnings!$G$2:$BC$81,('Yearly Pension'!$A49)+1, FALSE)) - T$1), ((Assumptions!$B$8)*'Yearly Pension'!T$1))))</f>
        <v>0</v>
      </c>
      <c r="U49" s="6">
        <f>(HLOOKUP('Yearly Pension'!U$2,'Credited Service'!$G$1:$BC$80,$A49+1,FALSE)) * (IF($B49=500, (Assumptions!$B$7)*12, IF((HLOOKUP(U$2,Earnings!$G$2:$BC$81,('Yearly Pension'!$A49)+1, FALSE)) &gt; U$1, (Assumptions!$B$8)*(U$1) + (Assumptions!$B$9)*MAX(0,  (HLOOKUP(U$2,Earnings!$G$2:$BC$81,('Yearly Pension'!$A49)+1, FALSE)) - U$1), ((Assumptions!$B$8)*'Yearly Pension'!U$1))))</f>
        <v>0</v>
      </c>
      <c r="V49" s="6">
        <f>(HLOOKUP('Yearly Pension'!V$2,'Credited Service'!$G$1:$BC$80,$A49+1,FALSE)) * (IF($B49=500, (Assumptions!$B$7)*12, IF((HLOOKUP(V$2,Earnings!$G$2:$BC$81,('Yearly Pension'!$A49)+1, FALSE)) &gt; V$1, (Assumptions!$B$8)*(V$1) + (Assumptions!$B$9)*MAX(0,  (HLOOKUP(V$2,Earnings!$G$2:$BC$81,('Yearly Pension'!$A49)+1, FALSE)) - V$1), ((Assumptions!$B$8)*'Yearly Pension'!V$1))))</f>
        <v>0</v>
      </c>
      <c r="W49" s="6">
        <f>(HLOOKUP('Yearly Pension'!W$2,'Credited Service'!$G$1:$BC$80,$A49+1,FALSE)) * (IF($B49=500, (Assumptions!$B$7)*12, IF((HLOOKUP(W$2,Earnings!$G$2:$BC$81,('Yearly Pension'!$A49)+1, FALSE)) &gt; W$1, (Assumptions!$B$8)*(W$1) + (Assumptions!$B$9)*MAX(0,  (HLOOKUP(W$2,Earnings!$G$2:$BC$81,('Yearly Pension'!$A49)+1, FALSE)) - W$1), ((Assumptions!$B$8)*'Yearly Pension'!W$1))))</f>
        <v>0</v>
      </c>
      <c r="X49" s="6">
        <f>(HLOOKUP('Yearly Pension'!X$2,'Credited Service'!$G$1:$BC$80,$A49+1,FALSE)) * (IF($B49=500, (Assumptions!$B$7)*12, IF((HLOOKUP(X$2,Earnings!$G$2:$BC$81,('Yearly Pension'!$A49)+1, FALSE)) &gt; X$1, (Assumptions!$B$8)*(X$1) + (Assumptions!$B$9)*MAX(0,  (HLOOKUP(X$2,Earnings!$G$2:$BC$81,('Yearly Pension'!$A49)+1, FALSE)) - X$1), ((Assumptions!$B$8)*'Yearly Pension'!X$1))))</f>
        <v>0</v>
      </c>
      <c r="Y49" s="6">
        <f>(HLOOKUP('Yearly Pension'!Y$2,'Credited Service'!$G$1:$BC$80,$A49+1,FALSE)) * (IF($B49=500, (Assumptions!$B$7)*12, IF((HLOOKUP(Y$2,Earnings!$G$2:$BC$81,('Yearly Pension'!$A49)+1, FALSE)) &gt; Y$1, (Assumptions!$B$8)*(Y$1) + (Assumptions!$B$9)*MAX(0,  (HLOOKUP(Y$2,Earnings!$G$2:$BC$81,('Yearly Pension'!$A49)+1, FALSE)) - Y$1), ((Assumptions!$B$8)*'Yearly Pension'!Y$1))))</f>
        <v>0</v>
      </c>
      <c r="Z49" s="6">
        <f>(HLOOKUP('Yearly Pension'!Z$2,'Credited Service'!$G$1:$BC$80,$A49+1,FALSE)) * (IF($B49=500, (Assumptions!$B$7)*12, IF((HLOOKUP(Z$2,Earnings!$G$2:$BC$81,('Yearly Pension'!$A49)+1, FALSE)) &gt; Z$1, (Assumptions!$B$8)*(Z$1) + (Assumptions!$B$9)*MAX(0,  (HLOOKUP(Z$2,Earnings!$G$2:$BC$81,('Yearly Pension'!$A49)+1, FALSE)) - Z$1), ((Assumptions!$B$8)*'Yearly Pension'!Z$1))))</f>
        <v>0</v>
      </c>
      <c r="AA49" s="6">
        <f>(HLOOKUP('Yearly Pension'!AA$2,'Credited Service'!$G$1:$BC$80,$A49+1,FALSE)) * (IF($B49=500, (Assumptions!$B$7)*12, IF((HLOOKUP(AA$2,Earnings!$G$2:$BC$81,('Yearly Pension'!$A49)+1, FALSE)) &gt; AA$1, (Assumptions!$B$8)*(AA$1) + (Assumptions!$B$9)*MAX(0,  (HLOOKUP(AA$2,Earnings!$G$2:$BC$81,('Yearly Pension'!$A49)+1, FALSE)) - AA$1), ((Assumptions!$B$8)*'Yearly Pension'!AA$1))))</f>
        <v>112.47210705893443</v>
      </c>
      <c r="AB49" s="6">
        <f>(HLOOKUP('Yearly Pension'!AB$2,'Credited Service'!$G$1:$BC$80,$A49+1,FALSE)) * (IF($B49=500, (Assumptions!$B$7)*12, IF((HLOOKUP(AB$2,Earnings!$G$2:$BC$81,('Yearly Pension'!$A49)+1, FALSE)) &gt; AB$1, (Assumptions!$B$8)*(AB$1) + (Assumptions!$B$9)*MAX(0,  (HLOOKUP(AB$2,Earnings!$G$2:$BC$81,('Yearly Pension'!$A49)+1, FALSE)) - AB$1), ((Assumptions!$B$8)*'Yearly Pension'!AB$1))))</f>
        <v>703.95074804775095</v>
      </c>
      <c r="AC49" s="6">
        <f>(HLOOKUP('Yearly Pension'!AC$2,'Credited Service'!$G$1:$BC$80,$A49+1,FALSE)) * (IF($B49=500, (Assumptions!$B$7)*12, IF((HLOOKUP(AC$2,Earnings!$G$2:$BC$81,('Yearly Pension'!$A49)+1, FALSE)) &gt; AC$1, (Assumptions!$B$8)*(AC$1) + (Assumptions!$B$9)*MAX(0,  (HLOOKUP(AC$2,Earnings!$G$2:$BC$81,('Yearly Pension'!$A49)+1, FALSE)) - AC$1), ((Assumptions!$B$8)*'Yearly Pension'!AC$1))))</f>
        <v>738.35517796966099</v>
      </c>
      <c r="AD49" s="6">
        <f>(HLOOKUP('Yearly Pension'!AD$2,'Credited Service'!$G$1:$BC$80,$A49+1,FALSE)) * (IF($B49=500, (Assumptions!$B$7)*12, IF((HLOOKUP(AD$2,Earnings!$G$2:$BC$81,('Yearly Pension'!$A49)+1, FALSE)) &gt; AD$1, (Assumptions!$B$8)*(AD$1) + (Assumptions!$B$9)*MAX(0,  (HLOOKUP(AD$2,Earnings!$G$2:$BC$81,('Yearly Pension'!$A49)+1, FALSE)) - AD$1), ((Assumptions!$B$8)*'Yearly Pension'!AD$1))))</f>
        <v>776.18378508844739</v>
      </c>
      <c r="AE49" s="6">
        <f>(HLOOKUP('Yearly Pension'!AE$2,'Credited Service'!$G$1:$BC$80,$A49+1,FALSE)) * (IF($B49=500, (Assumptions!$B$7)*12, IF((HLOOKUP(AE$2,Earnings!$G$2:$BC$81,('Yearly Pension'!$A49)+1, FALSE)) &gt; AE$1, (Assumptions!$B$8)*(AE$1) + (Assumptions!$B$9)*MAX(0,  (HLOOKUP(AE$2,Earnings!$G$2:$BC$81,('Yearly Pension'!$A49)+1, FALSE)) - AE$1), ((Assumptions!$B$8)*'Yearly Pension'!AE$1))))</f>
        <v>812.37673649198541</v>
      </c>
      <c r="AF49" s="6">
        <f>(HLOOKUP('Yearly Pension'!AF$2,'Credited Service'!$G$1:$BC$80,$A49+1,FALSE)) * (IF($B49=500, (Assumptions!$B$7)*12, IF((HLOOKUP(AF$2,Earnings!$G$2:$BC$81,('Yearly Pension'!$A49)+1, FALSE)) &gt; AF$1, (Assumptions!$B$8)*(AF$1) + (Assumptions!$B$9)*MAX(0,  (HLOOKUP(AF$2,Earnings!$G$2:$BC$81,('Yearly Pension'!$A49)+1, FALSE)) - AF$1), ((Assumptions!$B$8)*'Yearly Pension'!AF$1))))</f>
        <v>849.55660595166478</v>
      </c>
      <c r="AG49" s="6">
        <f>(HLOOKUP('Yearly Pension'!AG$2,'Credited Service'!$G$1:$BC$80,$A49+1,FALSE)) * (IF($B49=500, (Assumptions!$B$7)*12, IF((HLOOKUP(AG$2,Earnings!$G$2:$BC$81,('Yearly Pension'!$A49)+1, FALSE)) &gt; AG$1, (Assumptions!$B$8)*(AG$1) + (Assumptions!$B$9)*MAX(0,  (HLOOKUP(AG$2,Earnings!$G$2:$BC$81,('Yearly Pension'!$A49)+1, FALSE)) - AG$1), ((Assumptions!$B$8)*'Yearly Pension'!AG$1))))</f>
        <v>888.42847018973146</v>
      </c>
      <c r="AH49" s="6">
        <f>(HLOOKUP('Yearly Pension'!AH$2,'Credited Service'!$G$1:$BC$80,$A49+1,FALSE)) * (IF($B49=500, (Assumptions!$B$7)*12, IF((HLOOKUP(AH$2,Earnings!$G$2:$BC$81,('Yearly Pension'!$A49)+1, FALSE)) &gt; AH$1, (Assumptions!$B$8)*(AH$1) + (Assumptions!$B$9)*MAX(0,  (HLOOKUP(AH$2,Earnings!$G$2:$BC$81,('Yearly Pension'!$A49)+1, FALSE)) - AH$1), ((Assumptions!$B$8)*'Yearly Pension'!AH$1))))</f>
        <v>930.34000899732064</v>
      </c>
      <c r="AI49" s="6">
        <f>(HLOOKUP('Yearly Pension'!AI$2,'Credited Service'!$G$1:$BC$80,$A49+1,FALSE)) * (IF($B49=500, (Assumptions!$B$7)*12, IF((HLOOKUP(AI$2,Earnings!$G$2:$BC$81,('Yearly Pension'!$A49)+1, FALSE)) &gt; AI$1, (Assumptions!$B$8)*(AI$1) + (Assumptions!$B$9)*MAX(0,  (HLOOKUP(AI$2,Earnings!$G$2:$BC$81,('Yearly Pension'!$A49)+1, FALSE)) - AI$1), ((Assumptions!$B$8)*'Yearly Pension'!AI$1))))</f>
        <v>974.08160935721355</v>
      </c>
      <c r="AJ49" s="6">
        <f>(HLOOKUP('Yearly Pension'!AJ$2,'Credited Service'!$G$1:$BC$80,$A49+1,FALSE)) * (IF($B49=500, (Assumptions!$B$7)*12, IF((HLOOKUP(AJ$2,Earnings!$G$2:$BC$81,('Yearly Pension'!$A49)+1, FALSE)) &gt; AJ$1, (Assumptions!$B$8)*(AJ$1) + (Assumptions!$B$9)*MAX(0,  (HLOOKUP(AJ$2,Earnings!$G$2:$BC$81,('Yearly Pension'!$A49)+1, FALSE)) - AJ$1), ((Assumptions!$B$8)*'Yearly Pension'!AJ$1))))</f>
        <v>1017.1664737315022</v>
      </c>
      <c r="AK49" s="6">
        <f>(HLOOKUP('Yearly Pension'!AK$2,'Credited Service'!$G$1:$BC$80,$A49+1,FALSE)) * (IF($B49=500, (Assumptions!$B$7)*12, IF((HLOOKUP(AK$2,Earnings!$G$2:$BC$81,('Yearly Pension'!$A49)+1, FALSE)) &gt; AK$1, (Assumptions!$B$8)*(AK$1) + (Assumptions!$B$9)*MAX(0,  (HLOOKUP(AK$2,Earnings!$G$2:$BC$81,('Yearly Pension'!$A49)+1, FALSE)) - AK$1), ((Assumptions!$B$8)*'Yearly Pension'!AK$1))))</f>
        <v>1058.3907326807623</v>
      </c>
      <c r="AL49" s="6">
        <f>(HLOOKUP('Yearly Pension'!AL$2,'Credited Service'!$G$1:$BC$80,$A49+1,FALSE)) * (IF($B49=500, (Assumptions!$B$7)*12, IF((HLOOKUP(AL$2,Earnings!$G$2:$BC$81,('Yearly Pension'!$A49)+1, FALSE)) &gt; AL$1, (Assumptions!$B$8)*(AL$1) + (Assumptions!$B$9)*MAX(0,  (HLOOKUP(AL$2,Earnings!$G$2:$BC$81,('Yearly Pension'!$A49)+1, FALSE)) - AL$1), ((Assumptions!$B$8)*'Yearly Pension'!AL$1))))</f>
        <v>1104.2335619879927</v>
      </c>
      <c r="AM49" s="6">
        <f>(HLOOKUP('Yearly Pension'!AM$2,'Credited Service'!$G$1:$BC$80,$A49+1,FALSE)) * (IF($B49=500, (Assumptions!$B$7)*12, IF((HLOOKUP(AM$2,Earnings!$G$2:$BC$81,('Yearly Pension'!$A49)+1, FALSE)) &gt; AM$1, (Assumptions!$B$8)*(AM$1) + (Assumptions!$B$9)*MAX(0,  (HLOOKUP(AM$2,Earnings!$G$2:$BC$81,('Yearly Pension'!$A49)+1, FALSE)) - AM$1), ((Assumptions!$B$8)*'Yearly Pension'!AM$1))))</f>
        <v>1150.9373044675126</v>
      </c>
      <c r="AN49" s="6">
        <f>(HLOOKUP('Yearly Pension'!AN$2,'Credited Service'!$G$1:$BC$80,$A49+1,FALSE)) * (IF($B49=500, (Assumptions!$B$7)*12, IF((HLOOKUP(AN$2,Earnings!$G$2:$BC$81,('Yearly Pension'!$A49)+1, FALSE)) &gt; AN$1, (Assumptions!$B$8)*(AN$1) + (Assumptions!$B$9)*MAX(0,  (HLOOKUP(AN$2,Earnings!$G$2:$BC$81,('Yearly Pension'!$A49)+1, FALSE)) - AN$1), ((Assumptions!$B$8)*'Yearly Pension'!AN$1))))</f>
        <v>1203.0675966462131</v>
      </c>
      <c r="AO49" s="6">
        <f>(HLOOKUP('Yearly Pension'!AO$2,'Credited Service'!$G$1:$BC$80,$A49+1,FALSE)) * (IF($B49=500, (Assumptions!$B$7)*12, IF((HLOOKUP(AO$2,Earnings!$G$2:$BC$81,('Yearly Pension'!$A49)+1, FALSE)) &gt; AO$1, (Assumptions!$B$8)*(AO$1) + (Assumptions!$B$9)*MAX(0,  (HLOOKUP(AO$2,Earnings!$G$2:$BC$81,('Yearly Pension'!$A49)+1, FALSE)) - AO$1), ((Assumptions!$B$8)*'Yearly Pension'!AO$1))))</f>
        <v>1256.2335005120619</v>
      </c>
      <c r="AP49" s="6">
        <f>(HLOOKUP('Yearly Pension'!AP$2,'Credited Service'!$G$1:$BC$80,$A49+1,FALSE)) * (IF($B49=500, (Assumptions!$B$7)*12, IF((HLOOKUP(AP$2,Earnings!$G$2:$BC$81,('Yearly Pension'!$A49)+1, FALSE)) &gt; AP$1, (Assumptions!$B$8)*(AP$1) + (Assumptions!$B$9)*MAX(0,  (HLOOKUP(AP$2,Earnings!$G$2:$BC$81,('Yearly Pension'!$A49)+1, FALSE)) - AP$1), ((Assumptions!$B$8)*'Yearly Pension'!AP$1))))</f>
        <v>1307.3276405325446</v>
      </c>
      <c r="AQ49" s="6">
        <f>(HLOOKUP('Yearly Pension'!AQ$2,'Credited Service'!$G$1:$BC$80,$A49+1,FALSE)) * (IF($B49=500, (Assumptions!$B$7)*12, IF((HLOOKUP(AQ$2,Earnings!$G$2:$BC$81,('Yearly Pension'!$A49)+1, FALSE)) &gt; AQ$1, (Assumptions!$B$8)*(AQ$1) + (Assumptions!$B$9)*MAX(0,  (HLOOKUP(AQ$2,Earnings!$G$2:$BC$81,('Yearly Pension'!$A49)+1, FALSE)) - AQ$1), ((Assumptions!$B$8)*'Yearly Pension'!AQ$1))))</f>
        <v>1366.0463461538461</v>
      </c>
      <c r="AR49" s="6">
        <f>(HLOOKUP('Yearly Pension'!AR$2,'Credited Service'!$G$1:$BC$80,$A49+1,FALSE)) * (IF($B49=500, (Assumptions!$B$7)*12, IF((HLOOKUP(AR$2,Earnings!$G$2:$BC$81,('Yearly Pension'!$A49)+1, FALSE)) &gt; AR$1, (Assumptions!$B$8)*(AR$1) + (Assumptions!$B$9)*MAX(0,  (HLOOKUP(AR$2,Earnings!$G$2:$BC$81,('Yearly Pension'!$A49)+1, FALSE)) - AR$1), ((Assumptions!$B$8)*'Yearly Pension'!AR$1))))</f>
        <v>1424.8098</v>
      </c>
      <c r="AS49" s="6">
        <f>(HLOOKUP('Yearly Pension'!AS$2,'Credited Service'!$G$1:$BC$80,$A49+1,FALSE)) * (IF($B49=500, (Assumptions!$B$7)*12, IF((HLOOKUP(AS$2,Earnings!$G$2:$BC$81,('Yearly Pension'!$A49)+1, FALSE)) &gt; AS$1, (Assumptions!$B$8)*(AS$1) + (Assumptions!$B$9)*MAX(0,  (HLOOKUP(AS$2,Earnings!$G$2:$BC$81,('Yearly Pension'!$A49)+1, FALSE)) - AS$1), ((Assumptions!$B$8)*'Yearly Pension'!AS$1))))</f>
        <v>1470.594094</v>
      </c>
      <c r="AT49" s="6">
        <f>(HLOOKUP('Yearly Pension'!AT$2,'Credited Service'!$G$1:$BC$80,$A49+1,FALSE)) * (IF($B49=500, (Assumptions!$B$7)*12, IF((HLOOKUP(AT$2,Earnings!$G$2:$BC$81,('Yearly Pension'!$A49)+1, FALSE)) &gt; AT$1, (Assumptions!$B$8)*(AT$1) + (Assumptions!$B$9)*MAX(0,  (HLOOKUP(AT$2,Earnings!$G$2:$BC$81,('Yearly Pension'!$A49)+1, FALSE)) - AT$1), ((Assumptions!$B$8)*'Yearly Pension'!AT$1))))</f>
        <v>1516.6831168200001</v>
      </c>
      <c r="AU49" s="6">
        <f>(HLOOKUP('Yearly Pension'!AU$2,'Credited Service'!$G$1:$BC$80,$A49+1,FALSE)) * (IF($B49=500, (Assumptions!$B$7)*12, IF((HLOOKUP(AU$2,Earnings!$G$2:$BC$81,('Yearly Pension'!$A49)+1, FALSE)) &gt; AU$1, (Assumptions!$B$8)*(AU$1) + (Assumptions!$B$9)*MAX(0,  (HLOOKUP(AU$2,Earnings!$G$2:$BC$81,('Yearly Pension'!$A49)+1, FALSE)) - AU$1), ((Assumptions!$B$8)*'Yearly Pension'!AU$1))))</f>
        <v>1570.1644103246001</v>
      </c>
      <c r="AV49" s="6">
        <f>(HLOOKUP('Yearly Pension'!AV$2,'Credited Service'!$G$1:$BC$80,$A49+1,FALSE)) * (IF($B49=500, (Assumptions!$B$7)*12, IF((HLOOKUP(AV$2,Earnings!$G$2:$BC$81,('Yearly Pension'!$A49)+1, FALSE)) &gt; AV$1, (Assumptions!$B$8)*(AV$1) + (Assumptions!$B$9)*MAX(0,  (HLOOKUP(AV$2,Earnings!$G$2:$BC$81,('Yearly Pension'!$A49)+1, FALSE)) - AV$1), ((Assumptions!$B$8)*'Yearly Pension'!AV$1))))</f>
        <v>1624.0469426343384</v>
      </c>
      <c r="AW49" s="6">
        <f>(HLOOKUP('Yearly Pension'!AW$2,'Credited Service'!$G$1:$BC$80,$A49+1,FALSE)) * (IF($B49=500, (Assumptions!$B$7)*12, IF((HLOOKUP(AW$2,Earnings!$G$2:$BC$81,('Yearly Pension'!$A49)+1, FALSE)) &gt; AW$1, (Assumptions!$B$8)*(AW$1) + (Assumptions!$B$9)*MAX(0,  (HLOOKUP(AW$2,Earnings!$G$2:$BC$81,('Yearly Pension'!$A49)+1, FALSE)) - AW$1), ((Assumptions!$B$8)*'Yearly Pension'!AW$1))))</f>
        <v>1673.9011509133686</v>
      </c>
      <c r="AX49" s="6">
        <f>(HLOOKUP('Yearly Pension'!AX$2,'Credited Service'!$G$1:$BC$80,$A49+1,FALSE)) * (IF($B49=500, (Assumptions!$B$7)*12, IF((HLOOKUP(AX$2,Earnings!$G$2:$BC$81,('Yearly Pension'!$A49)+1, FALSE)) &gt; AX$1, (Assumptions!$B$8)*(AX$1) + (Assumptions!$B$9)*MAX(0,  (HLOOKUP(AX$2,Earnings!$G$2:$BC$81,('Yearly Pension'!$A49)+1, FALSE)) - AX$1), ((Assumptions!$B$8)*'Yearly Pension'!AX$1))))</f>
        <v>1720.4445854407697</v>
      </c>
      <c r="AY49" s="6">
        <f>(HLOOKUP('Yearly Pension'!AY$2,'Credited Service'!$G$1:$BC$80,$A49+1,FALSE)) * (IF($B49=500, (Assumptions!$B$7)*12, IF((HLOOKUP(AY$2,Earnings!$G$2:$BC$81,('Yearly Pension'!$A49)+1, FALSE)) &gt; AY$1, (Assumptions!$B$8)*(AY$1) + (Assumptions!$B$9)*MAX(0,  (HLOOKUP(AY$2,Earnings!$G$2:$BC$81,('Yearly Pension'!$A49)+1, FALSE)) - AY$1), ((Assumptions!$B$8)*'Yearly Pension'!AY$1))))</f>
        <v>1768.2373790039928</v>
      </c>
      <c r="AZ49" s="6">
        <f>(HLOOKUP('Yearly Pension'!AZ$2,'Credited Service'!$G$1:$BC$80,$A49+1,FALSE)) * (IF($B49=500, (Assumptions!$B$7)*12, IF((HLOOKUP(AZ$2,Earnings!$G$2:$BC$81,('Yearly Pension'!$A49)+1, FALSE)) &gt; AZ$1, (Assumptions!$B$8)*(AZ$1) + (Assumptions!$B$9)*MAX(0,  (HLOOKUP(AZ$2,Earnings!$G$2:$BC$81,('Yearly Pension'!$A49)+1, FALSE)) - AZ$1), ((Assumptions!$B$8)*'Yearly Pension'!AZ$1))))</f>
        <v>1817.3111346141127</v>
      </c>
      <c r="BA49" s="6">
        <f>(HLOOKUP('Yearly Pension'!BA$2,'Credited Service'!$G$1:$BC$80,$A49+1,FALSE)) * (IF($B49=500, (Assumptions!$B$7)*12, IF((HLOOKUP(BA$2,Earnings!$G$2:$BC$81,('Yearly Pension'!$A49)+1, FALSE)) &gt; BA$1, (Assumptions!$B$8)*(BA$1) + (Assumptions!$B$9)*MAX(0,  (HLOOKUP(BA$2,Earnings!$G$2:$BC$81,('Yearly Pension'!$A49)+1, FALSE)) - BA$1), ((Assumptions!$B$8)*'Yearly Pension'!BA$1))))</f>
        <v>1867.6981682621363</v>
      </c>
      <c r="BB49" s="6">
        <f>(HLOOKUP('Yearly Pension'!BB$2,'Credited Service'!$G$1:$BC$80,$A49+1,FALSE)) * (IF($B49=500, (Assumptions!$B$7)*12, IF((HLOOKUP(BB$2,Earnings!$G$2:$BC$81,('Yearly Pension'!$A49)+1, FALSE)) &gt; BB$1, (Assumptions!$B$8)*(BB$1) + (Assumptions!$B$9)*MAX(0,  (HLOOKUP(BB$2,Earnings!$G$2:$BC$81,('Yearly Pension'!$A49)+1, FALSE)) - BB$1), ((Assumptions!$B$8)*'Yearly Pension'!BB$1))))</f>
        <v>1919.4315209039844</v>
      </c>
      <c r="BC49" s="6">
        <f>(HLOOKUP('Yearly Pension'!BC$2,'Credited Service'!$G$1:$BC$80,$A49+1,FALSE)) * (IF($B49=500, (Assumptions!$B$7)*12, IF((HLOOKUP(BC$2,Earnings!$G$2:$BC$81,('Yearly Pension'!$A49)+1, FALSE)) &gt; BC$1, (Assumptions!$B$8)*(BC$1) + (Assumptions!$B$9)*MAX(0,  (HLOOKUP(BC$2,Earnings!$G$2:$BC$81,('Yearly Pension'!$A49)+1, FALSE)) - BC$1), ((Assumptions!$B$8)*'Yearly Pension'!BC$1))))</f>
        <v>1972.5449704288471</v>
      </c>
    </row>
    <row r="50" spans="1:55" x14ac:dyDescent="0.25">
      <c r="A50" s="204">
        <v>48</v>
      </c>
      <c r="B50" s="1">
        <v>600</v>
      </c>
      <c r="C50" s="1">
        <v>696</v>
      </c>
      <c r="D50" s="3">
        <v>35317</v>
      </c>
      <c r="E50" s="3">
        <v>48274</v>
      </c>
      <c r="G50" s="6">
        <f>(HLOOKUP('Yearly Pension'!G$2,'Credited Service'!$G$1:$BC$80,$A50+1,FALSE)) * (IF($B50=500, (Assumptions!$B$7)*12, IF((HLOOKUP(G$2,Earnings!$G$2:$BC$81,('Yearly Pension'!$A50)+1, FALSE)) &gt; G$1, (Assumptions!$B$8)*(G$1) + (Assumptions!$B$9)*MAX(0,  (HLOOKUP(G$2,Earnings!$G$2:$BC$81,('Yearly Pension'!$A50)+1, FALSE)) - G$1), ((Assumptions!$B$8)*'Yearly Pension'!G$1))))</f>
        <v>0</v>
      </c>
      <c r="H50" s="6">
        <f>(HLOOKUP('Yearly Pension'!H$2,'Credited Service'!$G$1:$BC$80,$A50+1,FALSE)) * (IF($B50=500, (Assumptions!$B$7)*12, IF((HLOOKUP(H$2,Earnings!$G$2:$BC$81,('Yearly Pension'!$A50)+1, FALSE)) &gt; H$1, (Assumptions!$B$8)*(H$1) + (Assumptions!$B$9)*MAX(0,  (HLOOKUP(H$2,Earnings!$G$2:$BC$81,('Yearly Pension'!$A50)+1, FALSE)) - H$1), ((Assumptions!$B$8)*'Yearly Pension'!H$1))))</f>
        <v>0</v>
      </c>
      <c r="I50" s="6">
        <f>(HLOOKUP('Yearly Pension'!I$2,'Credited Service'!$G$1:$BC$80,$A50+1,FALSE)) * (IF($B50=500, (Assumptions!$B$7)*12, IF((HLOOKUP(I$2,Earnings!$G$2:$BC$81,('Yearly Pension'!$A50)+1, FALSE)) &gt; I$1, (Assumptions!$B$8)*(I$1) + (Assumptions!$B$9)*MAX(0,  (HLOOKUP(I$2,Earnings!$G$2:$BC$81,('Yearly Pension'!$A50)+1, FALSE)) - I$1), ((Assumptions!$B$8)*'Yearly Pension'!I$1))))</f>
        <v>0</v>
      </c>
      <c r="J50" s="6">
        <f>(HLOOKUP('Yearly Pension'!J$2,'Credited Service'!$G$1:$BC$80,$A50+1,FALSE)) * (IF($B50=500, (Assumptions!$B$7)*12, IF((HLOOKUP(J$2,Earnings!$G$2:$BC$81,('Yearly Pension'!$A50)+1, FALSE)) &gt; J$1, (Assumptions!$B$8)*(J$1) + (Assumptions!$B$9)*MAX(0,  (HLOOKUP(J$2,Earnings!$G$2:$BC$81,('Yearly Pension'!$A50)+1, FALSE)) - J$1), ((Assumptions!$B$8)*'Yearly Pension'!J$1))))</f>
        <v>0</v>
      </c>
      <c r="K50" s="6">
        <f>(HLOOKUP('Yearly Pension'!K$2,'Credited Service'!$G$1:$BC$80,$A50+1,FALSE)) * (IF($B50=500, (Assumptions!$B$7)*12, IF((HLOOKUP(K$2,Earnings!$G$2:$BC$81,('Yearly Pension'!$A50)+1, FALSE)) &gt; K$1, (Assumptions!$B$8)*(K$1) + (Assumptions!$B$9)*MAX(0,  (HLOOKUP(K$2,Earnings!$G$2:$BC$81,('Yearly Pension'!$A50)+1, FALSE)) - K$1), ((Assumptions!$B$8)*'Yearly Pension'!K$1))))</f>
        <v>0</v>
      </c>
      <c r="L50" s="6">
        <f>(HLOOKUP('Yearly Pension'!L$2,'Credited Service'!$G$1:$BC$80,$A50+1,FALSE)) * (IF($B50=500, (Assumptions!$B$7)*12, IF((HLOOKUP(L$2,Earnings!$G$2:$BC$81,('Yearly Pension'!$A50)+1, FALSE)) &gt; L$1, (Assumptions!$B$8)*(L$1) + (Assumptions!$B$9)*MAX(0,  (HLOOKUP(L$2,Earnings!$G$2:$BC$81,('Yearly Pension'!$A50)+1, FALSE)) - L$1), ((Assumptions!$B$8)*'Yearly Pension'!L$1))))</f>
        <v>0</v>
      </c>
      <c r="M50" s="6">
        <f>(HLOOKUP('Yearly Pension'!M$2,'Credited Service'!$G$1:$BC$80,$A50+1,FALSE)) * (IF($B50=500, (Assumptions!$B$7)*12, IF((HLOOKUP(M$2,Earnings!$G$2:$BC$81,('Yearly Pension'!$A50)+1, FALSE)) &gt; M$1, (Assumptions!$B$8)*(M$1) + (Assumptions!$B$9)*MAX(0,  (HLOOKUP(M$2,Earnings!$G$2:$BC$81,('Yearly Pension'!$A50)+1, FALSE)) - M$1), ((Assumptions!$B$8)*'Yearly Pension'!M$1))))</f>
        <v>0</v>
      </c>
      <c r="N50" s="6">
        <f>(HLOOKUP('Yearly Pension'!N$2,'Credited Service'!$G$1:$BC$80,$A50+1,FALSE)) * (IF($B50=500, (Assumptions!$B$7)*12, IF((HLOOKUP(N$2,Earnings!$G$2:$BC$81,('Yearly Pension'!$A50)+1, FALSE)) &gt; N$1, (Assumptions!$B$8)*(N$1) + (Assumptions!$B$9)*MAX(0,  (HLOOKUP(N$2,Earnings!$G$2:$BC$81,('Yearly Pension'!$A50)+1, FALSE)) - N$1), ((Assumptions!$B$8)*'Yearly Pension'!N$1))))</f>
        <v>0</v>
      </c>
      <c r="O50" s="6">
        <f>(HLOOKUP('Yearly Pension'!O$2,'Credited Service'!$G$1:$BC$80,$A50+1,FALSE)) * (IF($B50=500, (Assumptions!$B$7)*12, IF((HLOOKUP(O$2,Earnings!$G$2:$BC$81,('Yearly Pension'!$A50)+1, FALSE)) &gt; O$1, (Assumptions!$B$8)*(O$1) + (Assumptions!$B$9)*MAX(0,  (HLOOKUP(O$2,Earnings!$G$2:$BC$81,('Yearly Pension'!$A50)+1, FALSE)) - O$1), ((Assumptions!$B$8)*'Yearly Pension'!O$1))))</f>
        <v>0</v>
      </c>
      <c r="P50" s="6">
        <f>(HLOOKUP('Yearly Pension'!P$2,'Credited Service'!$G$1:$BC$80,$A50+1,FALSE)) * (IF($B50=500, (Assumptions!$B$7)*12, IF((HLOOKUP(P$2,Earnings!$G$2:$BC$81,('Yearly Pension'!$A50)+1, FALSE)) &gt; P$1, (Assumptions!$B$8)*(P$1) + (Assumptions!$B$9)*MAX(0,  (HLOOKUP(P$2,Earnings!$G$2:$BC$81,('Yearly Pension'!$A50)+1, FALSE)) - P$1), ((Assumptions!$B$8)*'Yearly Pension'!P$1))))</f>
        <v>0</v>
      </c>
      <c r="Q50" s="6">
        <f>(HLOOKUP('Yearly Pension'!Q$2,'Credited Service'!$G$1:$BC$80,$A50+1,FALSE)) * (IF($B50=500, (Assumptions!$B$7)*12, IF((HLOOKUP(Q$2,Earnings!$G$2:$BC$81,('Yearly Pension'!$A50)+1, FALSE)) &gt; Q$1, (Assumptions!$B$8)*(Q$1) + (Assumptions!$B$9)*MAX(0,  (HLOOKUP(Q$2,Earnings!$G$2:$BC$81,('Yearly Pension'!$A50)+1, FALSE)) - Q$1), ((Assumptions!$B$8)*'Yearly Pension'!Q$1))))</f>
        <v>0</v>
      </c>
      <c r="R50" s="6">
        <f>(HLOOKUP('Yearly Pension'!R$2,'Credited Service'!$G$1:$BC$80,$A50+1,FALSE)) * (IF($B50=500, (Assumptions!$B$7)*12, IF((HLOOKUP(R$2,Earnings!$G$2:$BC$81,('Yearly Pension'!$A50)+1, FALSE)) &gt; R$1, (Assumptions!$B$8)*(R$1) + (Assumptions!$B$9)*MAX(0,  (HLOOKUP(R$2,Earnings!$G$2:$BC$81,('Yearly Pension'!$A50)+1, FALSE)) - R$1), ((Assumptions!$B$8)*'Yearly Pension'!R$1))))</f>
        <v>0</v>
      </c>
      <c r="S50" s="6">
        <f>(HLOOKUP('Yearly Pension'!S$2,'Credited Service'!$G$1:$BC$80,$A50+1,FALSE)) * (IF($B50=500, (Assumptions!$B$7)*12, IF((HLOOKUP(S$2,Earnings!$G$2:$BC$81,('Yearly Pension'!$A50)+1, FALSE)) &gt; S$1, (Assumptions!$B$8)*(S$1) + (Assumptions!$B$9)*MAX(0,  (HLOOKUP(S$2,Earnings!$G$2:$BC$81,('Yearly Pension'!$A50)+1, FALSE)) - S$1), ((Assumptions!$B$8)*'Yearly Pension'!S$1))))</f>
        <v>0</v>
      </c>
      <c r="T50" s="6">
        <f>(HLOOKUP('Yearly Pension'!T$2,'Credited Service'!$G$1:$BC$80,$A50+1,FALSE)) * (IF($B50=500, (Assumptions!$B$7)*12, IF((HLOOKUP(T$2,Earnings!$G$2:$BC$81,('Yearly Pension'!$A50)+1, FALSE)) &gt; T$1, (Assumptions!$B$8)*(T$1) + (Assumptions!$B$9)*MAX(0,  (HLOOKUP(T$2,Earnings!$G$2:$BC$81,('Yearly Pension'!$A50)+1, FALSE)) - T$1), ((Assumptions!$B$8)*'Yearly Pension'!T$1))))</f>
        <v>0</v>
      </c>
      <c r="U50" s="6">
        <f>(HLOOKUP('Yearly Pension'!U$2,'Credited Service'!$G$1:$BC$80,$A50+1,FALSE)) * (IF($B50=500, (Assumptions!$B$7)*12, IF((HLOOKUP(U$2,Earnings!$G$2:$BC$81,('Yearly Pension'!$A50)+1, FALSE)) &gt; U$1, (Assumptions!$B$8)*(U$1) + (Assumptions!$B$9)*MAX(0,  (HLOOKUP(U$2,Earnings!$G$2:$BC$81,('Yearly Pension'!$A50)+1, FALSE)) - U$1), ((Assumptions!$B$8)*'Yearly Pension'!U$1))))</f>
        <v>0</v>
      </c>
      <c r="V50" s="6">
        <f>(HLOOKUP('Yearly Pension'!V$2,'Credited Service'!$G$1:$BC$80,$A50+1,FALSE)) * (IF($B50=500, (Assumptions!$B$7)*12, IF((HLOOKUP(V$2,Earnings!$G$2:$BC$81,('Yearly Pension'!$A50)+1, FALSE)) &gt; V$1, (Assumptions!$B$8)*(V$1) + (Assumptions!$B$9)*MAX(0,  (HLOOKUP(V$2,Earnings!$G$2:$BC$81,('Yearly Pension'!$A50)+1, FALSE)) - V$1), ((Assumptions!$B$8)*'Yearly Pension'!V$1))))</f>
        <v>0</v>
      </c>
      <c r="W50" s="6">
        <f>(HLOOKUP('Yearly Pension'!W$2,'Credited Service'!$G$1:$BC$80,$A50+1,FALSE)) * (IF($B50=500, (Assumptions!$B$7)*12, IF((HLOOKUP(W$2,Earnings!$G$2:$BC$81,('Yearly Pension'!$A50)+1, FALSE)) &gt; W$1, (Assumptions!$B$8)*(W$1) + (Assumptions!$B$9)*MAX(0,  (HLOOKUP(W$2,Earnings!$G$2:$BC$81,('Yearly Pension'!$A50)+1, FALSE)) - W$1), ((Assumptions!$B$8)*'Yearly Pension'!W$1))))</f>
        <v>0</v>
      </c>
      <c r="X50" s="6">
        <f>(HLOOKUP('Yearly Pension'!X$2,'Credited Service'!$G$1:$BC$80,$A50+1,FALSE)) * (IF($B50=500, (Assumptions!$B$7)*12, IF((HLOOKUP(X$2,Earnings!$G$2:$BC$81,('Yearly Pension'!$A50)+1, FALSE)) &gt; X$1, (Assumptions!$B$8)*(X$1) + (Assumptions!$B$9)*MAX(0,  (HLOOKUP(X$2,Earnings!$G$2:$BC$81,('Yearly Pension'!$A50)+1, FALSE)) - X$1), ((Assumptions!$B$8)*'Yearly Pension'!X$1))))</f>
        <v>0</v>
      </c>
      <c r="Y50" s="6">
        <f>(HLOOKUP('Yearly Pension'!Y$2,'Credited Service'!$G$1:$BC$80,$A50+1,FALSE)) * (IF($B50=500, (Assumptions!$B$7)*12, IF((HLOOKUP(Y$2,Earnings!$G$2:$BC$81,('Yearly Pension'!$A50)+1, FALSE)) &gt; Y$1, (Assumptions!$B$8)*(Y$1) + (Assumptions!$B$9)*MAX(0,  (HLOOKUP(Y$2,Earnings!$G$2:$BC$81,('Yearly Pension'!$A50)+1, FALSE)) - Y$1), ((Assumptions!$B$8)*'Yearly Pension'!Y$1))))</f>
        <v>0</v>
      </c>
      <c r="Z50" s="6">
        <f>(HLOOKUP('Yearly Pension'!Z$2,'Credited Service'!$G$1:$BC$80,$A50+1,FALSE)) * (IF($B50=500, (Assumptions!$B$7)*12, IF((HLOOKUP(Z$2,Earnings!$G$2:$BC$81,('Yearly Pension'!$A50)+1, FALSE)) &gt; Z$1, (Assumptions!$B$8)*(Z$1) + (Assumptions!$B$9)*MAX(0,  (HLOOKUP(Z$2,Earnings!$G$2:$BC$81,('Yearly Pension'!$A50)+1, FALSE)) - Z$1), ((Assumptions!$B$8)*'Yearly Pension'!Z$1))))</f>
        <v>162.69205531053518</v>
      </c>
      <c r="AA50" s="6">
        <f>(HLOOKUP('Yearly Pension'!AA$2,'Credited Service'!$G$1:$BC$80,$A50+1,FALSE)) * (IF($B50=500, (Assumptions!$B$7)*12, IF((HLOOKUP(AA$2,Earnings!$G$2:$BC$81,('Yearly Pension'!$A50)+1, FALSE)) &gt; AA$1, (Assumptions!$B$8)*(AA$1) + (Assumptions!$B$9)*MAX(0,  (HLOOKUP(AA$2,Earnings!$G$2:$BC$81,('Yearly Pension'!$A50)+1, FALSE)) - AA$1), ((Assumptions!$B$8)*'Yearly Pension'!AA$1))))</f>
        <v>683.30135009182629</v>
      </c>
      <c r="AB50" s="6">
        <f>(HLOOKUP('Yearly Pension'!AB$2,'Credited Service'!$G$1:$BC$80,$A50+1,FALSE)) * (IF($B50=500, (Assumptions!$B$7)*12, IF((HLOOKUP(AB$2,Earnings!$G$2:$BC$81,('Yearly Pension'!$A50)+1, FALSE)) &gt; AB$1, (Assumptions!$B$8)*(AB$1) + (Assumptions!$B$9)*MAX(0,  (HLOOKUP(AB$2,Earnings!$G$2:$BC$81,('Yearly Pension'!$A50)+1, FALSE)) - AB$1), ((Assumptions!$B$8)*'Yearly Pension'!AB$1))))</f>
        <v>712.75820409549942</v>
      </c>
      <c r="AC50" s="6">
        <f>(HLOOKUP('Yearly Pension'!AC$2,'Credited Service'!$G$1:$BC$80,$A50+1,FALSE)) * (IF($B50=500, (Assumptions!$B$7)*12, IF((HLOOKUP(AC$2,Earnings!$G$2:$BC$81,('Yearly Pension'!$A50)+1, FALSE)) &gt; AC$1, (Assumptions!$B$8)*(AC$1) + (Assumptions!$B$9)*MAX(0,  (HLOOKUP(AC$2,Earnings!$G$2:$BC$81,('Yearly Pension'!$A50)+1, FALSE)) - AC$1), ((Assumptions!$B$8)*'Yearly Pension'!AC$1))))</f>
        <v>747.51493225931949</v>
      </c>
      <c r="AD50" s="6">
        <f>(HLOOKUP('Yearly Pension'!AD$2,'Credited Service'!$G$1:$BC$80,$A50+1,FALSE)) * (IF($B50=500, (Assumptions!$B$7)*12, IF((HLOOKUP(AD$2,Earnings!$G$2:$BC$81,('Yearly Pension'!$A50)+1, FALSE)) &gt; AD$1, (Assumptions!$B$8)*(AD$1) + (Assumptions!$B$9)*MAX(0,  (HLOOKUP(AD$2,Earnings!$G$2:$BC$81,('Yearly Pension'!$A50)+1, FALSE)) - AD$1), ((Assumptions!$B$8)*'Yearly Pension'!AD$1))))</f>
        <v>785.70992954969233</v>
      </c>
      <c r="AE50" s="6">
        <f>(HLOOKUP('Yearly Pension'!AE$2,'Credited Service'!$G$1:$BC$80,$A50+1,FALSE)) * (IF($B50=500, (Assumptions!$B$7)*12, IF((HLOOKUP(AE$2,Earnings!$G$2:$BC$81,('Yearly Pension'!$A50)+1, FALSE)) &gt; AE$1, (Assumptions!$B$8)*(AE$1) + (Assumptions!$B$9)*MAX(0,  (HLOOKUP(AE$2,Earnings!$G$2:$BC$81,('Yearly Pension'!$A50)+1, FALSE)) - AE$1), ((Assumptions!$B$8)*'Yearly Pension'!AE$1))))</f>
        <v>822.28392673168014</v>
      </c>
      <c r="AF50" s="6">
        <f>(HLOOKUP('Yearly Pension'!AF$2,'Credited Service'!$G$1:$BC$80,$A50+1,FALSE)) * (IF($B50=500, (Assumptions!$B$7)*12, IF((HLOOKUP(AF$2,Earnings!$G$2:$BC$81,('Yearly Pension'!$A50)+1, FALSE)) &gt; AF$1, (Assumptions!$B$8)*(AF$1) + (Assumptions!$B$9)*MAX(0,  (HLOOKUP(AF$2,Earnings!$G$2:$BC$81,('Yearly Pension'!$A50)+1, FALSE)) - AF$1), ((Assumptions!$B$8)*'Yearly Pension'!AF$1))))</f>
        <v>859.86008380094734</v>
      </c>
      <c r="AG50" s="6">
        <f>(HLOOKUP('Yearly Pension'!AG$2,'Credited Service'!$G$1:$BC$80,$A50+1,FALSE)) * (IF($B50=500, (Assumptions!$B$7)*12, IF((HLOOKUP(AG$2,Earnings!$G$2:$BC$81,('Yearly Pension'!$A50)+1, FALSE)) &gt; AG$1, (Assumptions!$B$8)*(AG$1) + (Assumptions!$B$9)*MAX(0,  (HLOOKUP(AG$2,Earnings!$G$2:$BC$81,('Yearly Pension'!$A50)+1, FALSE)) - AG$1), ((Assumptions!$B$8)*'Yearly Pension'!AG$1))))</f>
        <v>899.14408715298532</v>
      </c>
      <c r="AH50" s="6">
        <f>(HLOOKUP('Yearly Pension'!AH$2,'Credited Service'!$G$1:$BC$80,$A50+1,FALSE)) * (IF($B50=500, (Assumptions!$B$7)*12, IF((HLOOKUP(AH$2,Earnings!$G$2:$BC$81,('Yearly Pension'!$A50)+1, FALSE)) &gt; AH$1, (Assumptions!$B$8)*(AH$1) + (Assumptions!$B$9)*MAX(0,  (HLOOKUP(AH$2,Earnings!$G$2:$BC$81,('Yearly Pension'!$A50)+1, FALSE)) - AH$1), ((Assumptions!$B$8)*'Yearly Pension'!AH$1))))</f>
        <v>941.48425063910463</v>
      </c>
      <c r="AI50" s="6">
        <f>(HLOOKUP('Yearly Pension'!AI$2,'Credited Service'!$G$1:$BC$80,$A50+1,FALSE)) * (IF($B50=500, (Assumptions!$B$7)*12, IF((HLOOKUP(AI$2,Earnings!$G$2:$BC$81,('Yearly Pension'!$A50)+1, FALSE)) &gt; AI$1, (Assumptions!$B$8)*(AI$1) + (Assumptions!$B$9)*MAX(0,  (HLOOKUP(AI$2,Earnings!$G$2:$BC$81,('Yearly Pension'!$A50)+1, FALSE)) - AI$1), ((Assumptions!$B$8)*'Yearly Pension'!AI$1))))</f>
        <v>985.67162066466904</v>
      </c>
      <c r="AJ50" s="6">
        <f>(HLOOKUP('Yearly Pension'!AJ$2,'Credited Service'!$G$1:$BC$80,$A50+1,FALSE)) * (IF($B50=500, (Assumptions!$B$7)*12, IF((HLOOKUP(AJ$2,Earnings!$G$2:$BC$81,('Yearly Pension'!$A50)+1, FALSE)) &gt; AJ$1, (Assumptions!$B$8)*(AJ$1) + (Assumptions!$B$9)*MAX(0,  (HLOOKUP(AJ$2,Earnings!$G$2:$BC$81,('Yearly Pension'!$A50)+1, FALSE)) - AJ$1), ((Assumptions!$B$8)*'Yearly Pension'!AJ$1))))</f>
        <v>1029.2200854912558</v>
      </c>
      <c r="AK50" s="6">
        <f>(HLOOKUP('Yearly Pension'!AK$2,'Credited Service'!$G$1:$BC$80,$A50+1,FALSE)) * (IF($B50=500, (Assumptions!$B$7)*12, IF((HLOOKUP(AK$2,Earnings!$G$2:$BC$81,('Yearly Pension'!$A50)+1, FALSE)) &gt; AK$1, (Assumptions!$B$8)*(AK$1) + (Assumptions!$B$9)*MAX(0,  (HLOOKUP(AK$2,Earnings!$G$2:$BC$81,('Yearly Pension'!$A50)+1, FALSE)) - AK$1), ((Assumptions!$B$8)*'Yearly Pension'!AK$1))))</f>
        <v>1070.9264889109061</v>
      </c>
      <c r="AL50" s="6">
        <f>(HLOOKUP('Yearly Pension'!AL$2,'Credited Service'!$G$1:$BC$80,$A50+1,FALSE)) * (IF($B50=500, (Assumptions!$B$7)*12, IF((HLOOKUP(AL$2,Earnings!$G$2:$BC$81,('Yearly Pension'!$A50)+1, FALSE)) &gt; AL$1, (Assumptions!$B$8)*(AL$1) + (Assumptions!$B$9)*MAX(0,  (HLOOKUP(AL$2,Earnings!$G$2:$BC$81,('Yearly Pension'!$A50)+1, FALSE)) - AL$1), ((Assumptions!$B$8)*'Yearly Pension'!AL$1))))</f>
        <v>1117.2707484673424</v>
      </c>
      <c r="AM50" s="6">
        <f>(HLOOKUP('Yearly Pension'!AM$2,'Credited Service'!$G$1:$BC$80,$A50+1,FALSE)) * (IF($B50=500, (Assumptions!$B$7)*12, IF((HLOOKUP(AM$2,Earnings!$G$2:$BC$81,('Yearly Pension'!$A50)+1, FALSE)) &gt; AM$1, (Assumptions!$B$8)*(AM$1) + (Assumptions!$B$9)*MAX(0,  (HLOOKUP(AM$2,Earnings!$G$2:$BC$81,('Yearly Pension'!$A50)+1, FALSE)) - AM$1), ((Assumptions!$B$8)*'Yearly Pension'!AM$1))))</f>
        <v>1164.4959784060361</v>
      </c>
      <c r="AN50" s="6">
        <f>(HLOOKUP('Yearly Pension'!AN$2,'Credited Service'!$G$1:$BC$80,$A50+1,FALSE)) * (IF($B50=500, (Assumptions!$B$7)*12, IF((HLOOKUP(AN$2,Earnings!$G$2:$BC$81,('Yearly Pension'!$A50)+1, FALSE)) &gt; AN$1, (Assumptions!$B$8)*(AN$1) + (Assumptions!$B$9)*MAX(0,  (HLOOKUP(AN$2,Earnings!$G$2:$BC$81,('Yearly Pension'!$A50)+1, FALSE)) - AN$1), ((Assumptions!$B$8)*'Yearly Pension'!AN$1))))</f>
        <v>1217.1686175422778</v>
      </c>
      <c r="AO50" s="6">
        <f>(HLOOKUP('Yearly Pension'!AO$2,'Credited Service'!$G$1:$BC$80,$A50+1,FALSE)) * (IF($B50=500, (Assumptions!$B$7)*12, IF((HLOOKUP(AO$2,Earnings!$G$2:$BC$81,('Yearly Pension'!$A50)+1, FALSE)) &gt; AO$1, (Assumptions!$B$8)*(AO$1) + (Assumptions!$B$9)*MAX(0,  (HLOOKUP(AO$2,Earnings!$G$2:$BC$81,('Yearly Pension'!$A50)+1, FALSE)) - AO$1), ((Assumptions!$B$8)*'Yearly Pension'!AO$1))))</f>
        <v>1270.8985622439691</v>
      </c>
      <c r="AP50" s="6">
        <f>(HLOOKUP('Yearly Pension'!AP$2,'Credited Service'!$G$1:$BC$80,$A50+1,FALSE)) * (IF($B50=500, (Assumptions!$B$7)*12, IF((HLOOKUP(AP$2,Earnings!$G$2:$BC$81,('Yearly Pension'!$A50)+1, FALSE)) &gt; AP$1, (Assumptions!$B$8)*(AP$1) + (Assumptions!$B$9)*MAX(0,  (HLOOKUP(AP$2,Earnings!$G$2:$BC$81,('Yearly Pension'!$A50)+1, FALSE)) - AP$1), ((Assumptions!$B$8)*'Yearly Pension'!AP$1))))</f>
        <v>1322.5793047337279</v>
      </c>
      <c r="AQ50" s="6">
        <f>(HLOOKUP('Yearly Pension'!AQ$2,'Credited Service'!$G$1:$BC$80,$A50+1,FALSE)) * (IF($B50=500, (Assumptions!$B$7)*12, IF((HLOOKUP(AQ$2,Earnings!$G$2:$BC$81,('Yearly Pension'!$A50)+1, FALSE)) &gt; AQ$1, (Assumptions!$B$8)*(AQ$1) + (Assumptions!$B$9)*MAX(0,  (HLOOKUP(AQ$2,Earnings!$G$2:$BC$81,('Yearly Pension'!$A50)+1, FALSE)) - AQ$1), ((Assumptions!$B$8)*'Yearly Pension'!AQ$1))))</f>
        <v>1381.9080769230768</v>
      </c>
      <c r="AR50" s="6">
        <f>(HLOOKUP('Yearly Pension'!AR$2,'Credited Service'!$G$1:$BC$80,$A50+1,FALSE)) * (IF($B50=500, (Assumptions!$B$7)*12, IF((HLOOKUP(AR$2,Earnings!$G$2:$BC$81,('Yearly Pension'!$A50)+1, FALSE)) &gt; AR$1, (Assumptions!$B$8)*(AR$1) + (Assumptions!$B$9)*MAX(0,  (HLOOKUP(AR$2,Earnings!$G$2:$BC$81,('Yearly Pension'!$A50)+1, FALSE)) - AR$1), ((Assumptions!$B$8)*'Yearly Pension'!AR$1))))</f>
        <v>1441.306</v>
      </c>
      <c r="AS50" s="6">
        <f>(HLOOKUP('Yearly Pension'!AS$2,'Credited Service'!$G$1:$BC$80,$A50+1,FALSE)) * (IF($B50=500, (Assumptions!$B$7)*12, IF((HLOOKUP(AS$2,Earnings!$G$2:$BC$81,('Yearly Pension'!$A50)+1, FALSE)) &gt; AS$1, (Assumptions!$B$8)*(AS$1) + (Assumptions!$B$9)*MAX(0,  (HLOOKUP(AS$2,Earnings!$G$2:$BC$81,('Yearly Pension'!$A50)+1, FALSE)) - AS$1), ((Assumptions!$B$8)*'Yearly Pension'!AS$1))))</f>
        <v>1487.58518</v>
      </c>
      <c r="AT50" s="6">
        <f>(HLOOKUP('Yearly Pension'!AT$2,'Credited Service'!$G$1:$BC$80,$A50+1,FALSE)) * (IF($B50=500, (Assumptions!$B$7)*12, IF((HLOOKUP(AT$2,Earnings!$G$2:$BC$81,('Yearly Pension'!$A50)+1, FALSE)) &gt; AT$1, (Assumptions!$B$8)*(AT$1) + (Assumptions!$B$9)*MAX(0,  (HLOOKUP(AT$2,Earnings!$G$2:$BC$81,('Yearly Pension'!$A50)+1, FALSE)) - AT$1), ((Assumptions!$B$8)*'Yearly Pension'!AT$1))))</f>
        <v>1534.1839354000003</v>
      </c>
      <c r="AU50" s="6">
        <f>(HLOOKUP('Yearly Pension'!AU$2,'Credited Service'!$G$1:$BC$80,$A50+1,FALSE)) * (IF($B50=500, (Assumptions!$B$7)*12, IF((HLOOKUP(AU$2,Earnings!$G$2:$BC$81,('Yearly Pension'!$A50)+1, FALSE)) &gt; AU$1, (Assumptions!$B$8)*(AU$1) + (Assumptions!$B$9)*MAX(0,  (HLOOKUP(AU$2,Earnings!$G$2:$BC$81,('Yearly Pension'!$A50)+1, FALSE)) - AU$1), ((Assumptions!$B$8)*'Yearly Pension'!AU$1))))</f>
        <v>1588.1902534620001</v>
      </c>
      <c r="AV50" s="6">
        <f>(HLOOKUP('Yearly Pension'!AV$2,'Credited Service'!$G$1:$BC$80,$A50+1,FALSE)) * (IF($B50=500, (Assumptions!$B$7)*12, IF((HLOOKUP(AV$2,Earnings!$G$2:$BC$81,('Yearly Pension'!$A50)+1, FALSE)) &gt; AV$1, (Assumptions!$B$8)*(AV$1) + (Assumptions!$B$9)*MAX(0,  (HLOOKUP(AV$2,Earnings!$G$2:$BC$81,('Yearly Pension'!$A50)+1, FALSE)) - AV$1), ((Assumptions!$B$8)*'Yearly Pension'!AV$1))))</f>
        <v>1642.6135610658603</v>
      </c>
      <c r="AW50" s="6">
        <f>(HLOOKUP('Yearly Pension'!AW$2,'Credited Service'!$G$1:$BC$80,$A50+1,FALSE)) * (IF($B50=500, (Assumptions!$B$7)*12, IF((HLOOKUP(AW$2,Earnings!$G$2:$BC$81,('Yearly Pension'!$A50)+1, FALSE)) &gt; AW$1, (Assumptions!$B$8)*(AW$1) + (Assumptions!$B$9)*MAX(0,  (HLOOKUP(AW$2,Earnings!$G$2:$BC$81,('Yearly Pension'!$A50)+1, FALSE)) - AW$1), ((Assumptions!$B$8)*'Yearly Pension'!AW$1))))</f>
        <v>1693.024767897836</v>
      </c>
      <c r="AX50" s="6">
        <f>(HLOOKUP('Yearly Pension'!AX$2,'Credited Service'!$G$1:$BC$80,$A50+1,FALSE)) * (IF($B50=500, (Assumptions!$B$7)*12, IF((HLOOKUP(AX$2,Earnings!$G$2:$BC$81,('Yearly Pension'!$A50)+1, FALSE)) &gt; AX$1, (Assumptions!$B$8)*(AX$1) + (Assumptions!$B$9)*MAX(0,  (HLOOKUP(AX$2,Earnings!$G$2:$BC$81,('Yearly Pension'!$A50)+1, FALSE)) - AX$1), ((Assumptions!$B$8)*'Yearly Pension'!AX$1))))</f>
        <v>1740.141910934771</v>
      </c>
      <c r="AY50" s="6">
        <f>(HLOOKUP('Yearly Pension'!AY$2,'Credited Service'!$G$1:$BC$80,$A50+1,FALSE)) * (IF($B50=500, (Assumptions!$B$7)*12, IF((HLOOKUP(AY$2,Earnings!$G$2:$BC$81,('Yearly Pension'!$A50)+1, FALSE)) &gt; AY$1, (Assumptions!$B$8)*(AY$1) + (Assumptions!$B$9)*MAX(0,  (HLOOKUP(AY$2,Earnings!$G$2:$BC$81,('Yearly Pension'!$A50)+1, FALSE)) - AY$1), ((Assumptions!$B$8)*'Yearly Pension'!AY$1))))</f>
        <v>1788.5256242628143</v>
      </c>
      <c r="AZ50" s="6">
        <f>(HLOOKUP('Yearly Pension'!AZ$2,'Credited Service'!$G$1:$BC$80,$A50+1,FALSE)) * (IF($B50=500, (Assumptions!$B$7)*12, IF((HLOOKUP(AZ$2,Earnings!$G$2:$BC$81,('Yearly Pension'!$A50)+1, FALSE)) &gt; AZ$1, (Assumptions!$B$8)*(AZ$1) + (Assumptions!$B$9)*MAX(0,  (HLOOKUP(AZ$2,Earnings!$G$2:$BC$81,('Yearly Pension'!$A50)+1, FALSE)) - AZ$1), ((Assumptions!$B$8)*'Yearly Pension'!AZ$1))))</f>
        <v>1838.2080272306989</v>
      </c>
      <c r="BA50" s="6">
        <f>(HLOOKUP('Yearly Pension'!BA$2,'Credited Service'!$G$1:$BC$80,$A50+1,FALSE)) * (IF($B50=500, (Assumptions!$B$7)*12, IF((HLOOKUP(BA$2,Earnings!$G$2:$BC$81,('Yearly Pension'!$A50)+1, FALSE)) &gt; BA$1, (Assumptions!$B$8)*(BA$1) + (Assumptions!$B$9)*MAX(0,  (HLOOKUP(BA$2,Earnings!$G$2:$BC$81,('Yearly Pension'!$A50)+1, FALSE)) - BA$1), ((Assumptions!$B$8)*'Yearly Pension'!BA$1))))</f>
        <v>1889.2219676572197</v>
      </c>
      <c r="BB50" s="6">
        <f>(HLOOKUP('Yearly Pension'!BB$2,'Credited Service'!$G$1:$BC$80,$A50+1,FALSE)) * (IF($B50=500, (Assumptions!$B$7)*12, IF((HLOOKUP(BB$2,Earnings!$G$2:$BC$81,('Yearly Pension'!$A50)+1, FALSE)) &gt; BB$1, (Assumptions!$B$8)*(BB$1) + (Assumptions!$B$9)*MAX(0,  (HLOOKUP(BB$2,Earnings!$G$2:$BC$81,('Yearly Pension'!$A50)+1, FALSE)) - BB$1), ((Assumptions!$B$8)*'Yearly Pension'!BB$1))))</f>
        <v>1941.6010342809204</v>
      </c>
      <c r="BC50" s="6">
        <f>(HLOOKUP('Yearly Pension'!BC$2,'Credited Service'!$G$1:$BC$80,$A50+1,FALSE)) * (IF($B50=500, (Assumptions!$B$7)*12, IF((HLOOKUP(BC$2,Earnings!$G$2:$BC$81,('Yearly Pension'!$A50)+1, FALSE)) &gt; BC$1, (Assumptions!$B$8)*(BC$1) + (Assumptions!$B$9)*MAX(0,  (HLOOKUP(BC$2,Earnings!$G$2:$BC$81,('Yearly Pension'!$A50)+1, FALSE)) - BC$1), ((Assumptions!$B$8)*'Yearly Pension'!BC$1))))</f>
        <v>1995.3795692070912</v>
      </c>
    </row>
    <row r="51" spans="1:55" x14ac:dyDescent="0.25">
      <c r="A51" s="204">
        <v>49</v>
      </c>
      <c r="B51" s="1">
        <v>600</v>
      </c>
      <c r="C51" s="1">
        <v>694</v>
      </c>
      <c r="D51" s="3">
        <v>34877</v>
      </c>
      <c r="E51" s="3">
        <v>49675</v>
      </c>
      <c r="G51" s="6">
        <f>(HLOOKUP('Yearly Pension'!G$2,'Credited Service'!$G$1:$BC$80,$A51+1,FALSE)) * (IF($B51=500, (Assumptions!$B$7)*12, IF((HLOOKUP(G$2,Earnings!$G$2:$BC$81,('Yearly Pension'!$A51)+1, FALSE)) &gt; G$1, (Assumptions!$B$8)*(G$1) + (Assumptions!$B$9)*MAX(0,  (HLOOKUP(G$2,Earnings!$G$2:$BC$81,('Yearly Pension'!$A51)+1, FALSE)) - G$1), ((Assumptions!$B$8)*'Yearly Pension'!G$1))))</f>
        <v>0</v>
      </c>
      <c r="H51" s="6">
        <f>(HLOOKUP('Yearly Pension'!H$2,'Credited Service'!$G$1:$BC$80,$A51+1,FALSE)) * (IF($B51=500, (Assumptions!$B$7)*12, IF((HLOOKUP(H$2,Earnings!$G$2:$BC$81,('Yearly Pension'!$A51)+1, FALSE)) &gt; H$1, (Assumptions!$B$8)*(H$1) + (Assumptions!$B$9)*MAX(0,  (HLOOKUP(H$2,Earnings!$G$2:$BC$81,('Yearly Pension'!$A51)+1, FALSE)) - H$1), ((Assumptions!$B$8)*'Yearly Pension'!H$1))))</f>
        <v>0</v>
      </c>
      <c r="I51" s="6">
        <f>(HLOOKUP('Yearly Pension'!I$2,'Credited Service'!$G$1:$BC$80,$A51+1,FALSE)) * (IF($B51=500, (Assumptions!$B$7)*12, IF((HLOOKUP(I$2,Earnings!$G$2:$BC$81,('Yearly Pension'!$A51)+1, FALSE)) &gt; I$1, (Assumptions!$B$8)*(I$1) + (Assumptions!$B$9)*MAX(0,  (HLOOKUP(I$2,Earnings!$G$2:$BC$81,('Yearly Pension'!$A51)+1, FALSE)) - I$1), ((Assumptions!$B$8)*'Yearly Pension'!I$1))))</f>
        <v>0</v>
      </c>
      <c r="J51" s="6">
        <f>(HLOOKUP('Yearly Pension'!J$2,'Credited Service'!$G$1:$BC$80,$A51+1,FALSE)) * (IF($B51=500, (Assumptions!$B$7)*12, IF((HLOOKUP(J$2,Earnings!$G$2:$BC$81,('Yearly Pension'!$A51)+1, FALSE)) &gt; J$1, (Assumptions!$B$8)*(J$1) + (Assumptions!$B$9)*MAX(0,  (HLOOKUP(J$2,Earnings!$G$2:$BC$81,('Yearly Pension'!$A51)+1, FALSE)) - J$1), ((Assumptions!$B$8)*'Yearly Pension'!J$1))))</f>
        <v>0</v>
      </c>
      <c r="K51" s="6">
        <f>(HLOOKUP('Yearly Pension'!K$2,'Credited Service'!$G$1:$BC$80,$A51+1,FALSE)) * (IF($B51=500, (Assumptions!$B$7)*12, IF((HLOOKUP(K$2,Earnings!$G$2:$BC$81,('Yearly Pension'!$A51)+1, FALSE)) &gt; K$1, (Assumptions!$B$8)*(K$1) + (Assumptions!$B$9)*MAX(0,  (HLOOKUP(K$2,Earnings!$G$2:$BC$81,('Yearly Pension'!$A51)+1, FALSE)) - K$1), ((Assumptions!$B$8)*'Yearly Pension'!K$1))))</f>
        <v>0</v>
      </c>
      <c r="L51" s="6">
        <f>(HLOOKUP('Yearly Pension'!L$2,'Credited Service'!$G$1:$BC$80,$A51+1,FALSE)) * (IF($B51=500, (Assumptions!$B$7)*12, IF((HLOOKUP(L$2,Earnings!$G$2:$BC$81,('Yearly Pension'!$A51)+1, FALSE)) &gt; L$1, (Assumptions!$B$8)*(L$1) + (Assumptions!$B$9)*MAX(0,  (HLOOKUP(L$2,Earnings!$G$2:$BC$81,('Yearly Pension'!$A51)+1, FALSE)) - L$1), ((Assumptions!$B$8)*'Yearly Pension'!L$1))))</f>
        <v>0</v>
      </c>
      <c r="M51" s="6">
        <f>(HLOOKUP('Yearly Pension'!M$2,'Credited Service'!$G$1:$BC$80,$A51+1,FALSE)) * (IF($B51=500, (Assumptions!$B$7)*12, IF((HLOOKUP(M$2,Earnings!$G$2:$BC$81,('Yearly Pension'!$A51)+1, FALSE)) &gt; M$1, (Assumptions!$B$8)*(M$1) + (Assumptions!$B$9)*MAX(0,  (HLOOKUP(M$2,Earnings!$G$2:$BC$81,('Yearly Pension'!$A51)+1, FALSE)) - M$1), ((Assumptions!$B$8)*'Yearly Pension'!M$1))))</f>
        <v>0</v>
      </c>
      <c r="N51" s="6">
        <f>(HLOOKUP('Yearly Pension'!N$2,'Credited Service'!$G$1:$BC$80,$A51+1,FALSE)) * (IF($B51=500, (Assumptions!$B$7)*12, IF((HLOOKUP(N$2,Earnings!$G$2:$BC$81,('Yearly Pension'!$A51)+1, FALSE)) &gt; N$1, (Assumptions!$B$8)*(N$1) + (Assumptions!$B$9)*MAX(0,  (HLOOKUP(N$2,Earnings!$G$2:$BC$81,('Yearly Pension'!$A51)+1, FALSE)) - N$1), ((Assumptions!$B$8)*'Yearly Pension'!N$1))))</f>
        <v>0</v>
      </c>
      <c r="O51" s="6">
        <f>(HLOOKUP('Yearly Pension'!O$2,'Credited Service'!$G$1:$BC$80,$A51+1,FALSE)) * (IF($B51=500, (Assumptions!$B$7)*12, IF((HLOOKUP(O$2,Earnings!$G$2:$BC$81,('Yearly Pension'!$A51)+1, FALSE)) &gt; O$1, (Assumptions!$B$8)*(O$1) + (Assumptions!$B$9)*MAX(0,  (HLOOKUP(O$2,Earnings!$G$2:$BC$81,('Yearly Pension'!$A51)+1, FALSE)) - O$1), ((Assumptions!$B$8)*'Yearly Pension'!O$1))))</f>
        <v>0</v>
      </c>
      <c r="P51" s="6">
        <f>(HLOOKUP('Yearly Pension'!P$2,'Credited Service'!$G$1:$BC$80,$A51+1,FALSE)) * (IF($B51=500, (Assumptions!$B$7)*12, IF((HLOOKUP(P$2,Earnings!$G$2:$BC$81,('Yearly Pension'!$A51)+1, FALSE)) &gt; P$1, (Assumptions!$B$8)*(P$1) + (Assumptions!$B$9)*MAX(0,  (HLOOKUP(P$2,Earnings!$G$2:$BC$81,('Yearly Pension'!$A51)+1, FALSE)) - P$1), ((Assumptions!$B$8)*'Yearly Pension'!P$1))))</f>
        <v>0</v>
      </c>
      <c r="Q51" s="6">
        <f>(HLOOKUP('Yearly Pension'!Q$2,'Credited Service'!$G$1:$BC$80,$A51+1,FALSE)) * (IF($B51=500, (Assumptions!$B$7)*12, IF((HLOOKUP(Q$2,Earnings!$G$2:$BC$81,('Yearly Pension'!$A51)+1, FALSE)) &gt; Q$1, (Assumptions!$B$8)*(Q$1) + (Assumptions!$B$9)*MAX(0,  (HLOOKUP(Q$2,Earnings!$G$2:$BC$81,('Yearly Pension'!$A51)+1, FALSE)) - Q$1), ((Assumptions!$B$8)*'Yearly Pension'!Q$1))))</f>
        <v>0</v>
      </c>
      <c r="R51" s="6">
        <f>(HLOOKUP('Yearly Pension'!R$2,'Credited Service'!$G$1:$BC$80,$A51+1,FALSE)) * (IF($B51=500, (Assumptions!$B$7)*12, IF((HLOOKUP(R$2,Earnings!$G$2:$BC$81,('Yearly Pension'!$A51)+1, FALSE)) &gt; R$1, (Assumptions!$B$8)*(R$1) + (Assumptions!$B$9)*MAX(0,  (HLOOKUP(R$2,Earnings!$G$2:$BC$81,('Yearly Pension'!$A51)+1, FALSE)) - R$1), ((Assumptions!$B$8)*'Yearly Pension'!R$1))))</f>
        <v>0</v>
      </c>
      <c r="S51" s="6">
        <f>(HLOOKUP('Yearly Pension'!S$2,'Credited Service'!$G$1:$BC$80,$A51+1,FALSE)) * (IF($B51=500, (Assumptions!$B$7)*12, IF((HLOOKUP(S$2,Earnings!$G$2:$BC$81,('Yearly Pension'!$A51)+1, FALSE)) &gt; S$1, (Assumptions!$B$8)*(S$1) + (Assumptions!$B$9)*MAX(0,  (HLOOKUP(S$2,Earnings!$G$2:$BC$81,('Yearly Pension'!$A51)+1, FALSE)) - S$1), ((Assumptions!$B$8)*'Yearly Pension'!S$1))))</f>
        <v>0</v>
      </c>
      <c r="T51" s="6">
        <f>(HLOOKUP('Yearly Pension'!T$2,'Credited Service'!$G$1:$BC$80,$A51+1,FALSE)) * (IF($B51=500, (Assumptions!$B$7)*12, IF((HLOOKUP(T$2,Earnings!$G$2:$BC$81,('Yearly Pension'!$A51)+1, FALSE)) &gt; T$1, (Assumptions!$B$8)*(T$1) + (Assumptions!$B$9)*MAX(0,  (HLOOKUP(T$2,Earnings!$G$2:$BC$81,('Yearly Pension'!$A51)+1, FALSE)) - T$1), ((Assumptions!$B$8)*'Yearly Pension'!T$1))))</f>
        <v>0</v>
      </c>
      <c r="U51" s="6">
        <f>(HLOOKUP('Yearly Pension'!U$2,'Credited Service'!$G$1:$BC$80,$A51+1,FALSE)) * (IF($B51=500, (Assumptions!$B$7)*12, IF((HLOOKUP(U$2,Earnings!$G$2:$BC$81,('Yearly Pension'!$A51)+1, FALSE)) &gt; U$1, (Assumptions!$B$8)*(U$1) + (Assumptions!$B$9)*MAX(0,  (HLOOKUP(U$2,Earnings!$G$2:$BC$81,('Yearly Pension'!$A51)+1, FALSE)) - U$1), ((Assumptions!$B$8)*'Yearly Pension'!U$1))))</f>
        <v>0</v>
      </c>
      <c r="V51" s="6">
        <f>(HLOOKUP('Yearly Pension'!V$2,'Credited Service'!$G$1:$BC$80,$A51+1,FALSE)) * (IF($B51=500, (Assumptions!$B$7)*12, IF((HLOOKUP(V$2,Earnings!$G$2:$BC$81,('Yearly Pension'!$A51)+1, FALSE)) &gt; V$1, (Assumptions!$B$8)*(V$1) + (Assumptions!$B$9)*MAX(0,  (HLOOKUP(V$2,Earnings!$G$2:$BC$81,('Yearly Pension'!$A51)+1, FALSE)) - V$1), ((Assumptions!$B$8)*'Yearly Pension'!V$1))))</f>
        <v>0</v>
      </c>
      <c r="W51" s="6">
        <f>(HLOOKUP('Yearly Pension'!W$2,'Credited Service'!$G$1:$BC$80,$A51+1,FALSE)) * (IF($B51=500, (Assumptions!$B$7)*12, IF((HLOOKUP(W$2,Earnings!$G$2:$BC$81,('Yearly Pension'!$A51)+1, FALSE)) &gt; W$1, (Assumptions!$B$8)*(W$1) + (Assumptions!$B$9)*MAX(0,  (HLOOKUP(W$2,Earnings!$G$2:$BC$81,('Yearly Pension'!$A51)+1, FALSE)) - W$1), ((Assumptions!$B$8)*'Yearly Pension'!W$1))))</f>
        <v>0</v>
      </c>
      <c r="X51" s="6">
        <f>(HLOOKUP('Yearly Pension'!X$2,'Credited Service'!$G$1:$BC$80,$A51+1,FALSE)) * (IF($B51=500, (Assumptions!$B$7)*12, IF((HLOOKUP(X$2,Earnings!$G$2:$BC$81,('Yearly Pension'!$A51)+1, FALSE)) &gt; X$1, (Assumptions!$B$8)*(X$1) + (Assumptions!$B$9)*MAX(0,  (HLOOKUP(X$2,Earnings!$G$2:$BC$81,('Yearly Pension'!$A51)+1, FALSE)) - X$1), ((Assumptions!$B$8)*'Yearly Pension'!X$1))))</f>
        <v>0</v>
      </c>
      <c r="Y51" s="6">
        <f>(HLOOKUP('Yearly Pension'!Y$2,'Credited Service'!$G$1:$BC$80,$A51+1,FALSE)) * (IF($B51=500, (Assumptions!$B$7)*12, IF((HLOOKUP(Y$2,Earnings!$G$2:$BC$81,('Yearly Pension'!$A51)+1, FALSE)) &gt; Y$1, (Assumptions!$B$8)*(Y$1) + (Assumptions!$B$9)*MAX(0,  (HLOOKUP(Y$2,Earnings!$G$2:$BC$81,('Yearly Pension'!$A51)+1, FALSE)) - Y$1), ((Assumptions!$B$8)*'Yearly Pension'!Y$1))))</f>
        <v>314.0273122365229</v>
      </c>
      <c r="Z51" s="6">
        <f>(HLOOKUP('Yearly Pension'!Z$2,'Credited Service'!$G$1:$BC$80,$A51+1,FALSE)) * (IF($B51=500, (Assumptions!$B$7)*12, IF((HLOOKUP(Z$2,Earnings!$G$2:$BC$81,('Yearly Pension'!$A51)+1, FALSE)) &gt; Z$1, (Assumptions!$B$8)*(Z$1) + (Assumptions!$B$9)*MAX(0,  (HLOOKUP(Z$2,Earnings!$G$2:$BC$81,('Yearly Pension'!$A51)+1, FALSE)) - Z$1), ((Assumptions!$B$8)*'Yearly Pension'!Z$1))))</f>
        <v>658.91120945196769</v>
      </c>
      <c r="AA51" s="6">
        <f>(HLOOKUP('Yearly Pension'!AA$2,'Credited Service'!$G$1:$BC$80,$A51+1,FALSE)) * (IF($B51=500, (Assumptions!$B$7)*12, IF((HLOOKUP(AA$2,Earnings!$G$2:$BC$81,('Yearly Pension'!$A51)+1, FALSE)) &gt; AA$1, (Assumptions!$B$8)*(AA$1) + (Assumptions!$B$9)*MAX(0,  (HLOOKUP(AA$2,Earnings!$G$2:$BC$81,('Yearly Pension'!$A51)+1, FALSE)) - AA$1), ((Assumptions!$B$8)*'Yearly Pension'!AA$1))))</f>
        <v>691.77005783004643</v>
      </c>
      <c r="AB51" s="6">
        <f>(HLOOKUP('Yearly Pension'!AB$2,'Credited Service'!$G$1:$BC$80,$A51+1,FALSE)) * (IF($B51=500, (Assumptions!$B$7)*12, IF((HLOOKUP(AB$2,Earnings!$G$2:$BC$81,('Yearly Pension'!$A51)+1, FALSE)) &gt; AB$1, (Assumptions!$B$8)*(AB$1) + (Assumptions!$B$9)*MAX(0,  (HLOOKUP(AB$2,Earnings!$G$2:$BC$81,('Yearly Pension'!$A51)+1, FALSE)) - AB$1), ((Assumptions!$B$8)*'Yearly Pension'!AB$1))))</f>
        <v>721.56566014324824</v>
      </c>
      <c r="AC51" s="6">
        <f>(HLOOKUP('Yearly Pension'!AC$2,'Credited Service'!$G$1:$BC$80,$A51+1,FALSE)) * (IF($B51=500, (Assumptions!$B$7)*12, IF((HLOOKUP(AC$2,Earnings!$G$2:$BC$81,('Yearly Pension'!$A51)+1, FALSE)) &gt; AC$1, (Assumptions!$B$8)*(AC$1) + (Assumptions!$B$9)*MAX(0,  (HLOOKUP(AC$2,Earnings!$G$2:$BC$81,('Yearly Pension'!$A51)+1, FALSE)) - AC$1), ((Assumptions!$B$8)*'Yearly Pension'!AC$1))))</f>
        <v>756.67468654897823</v>
      </c>
      <c r="AD51" s="6">
        <f>(HLOOKUP('Yearly Pension'!AD$2,'Credited Service'!$G$1:$BC$80,$A51+1,FALSE)) * (IF($B51=500, (Assumptions!$B$7)*12, IF((HLOOKUP(AD$2,Earnings!$G$2:$BC$81,('Yearly Pension'!$A51)+1, FALSE)) &gt; AD$1, (Assumptions!$B$8)*(AD$1) + (Assumptions!$B$9)*MAX(0,  (HLOOKUP(AD$2,Earnings!$G$2:$BC$81,('Yearly Pension'!$A51)+1, FALSE)) - AD$1), ((Assumptions!$B$8)*'Yearly Pension'!AD$1))))</f>
        <v>795.23607401093739</v>
      </c>
      <c r="AE51" s="6">
        <f>(HLOOKUP('Yearly Pension'!AE$2,'Credited Service'!$G$1:$BC$80,$A51+1,FALSE)) * (IF($B51=500, (Assumptions!$B$7)*12, IF((HLOOKUP(AE$2,Earnings!$G$2:$BC$81,('Yearly Pension'!$A51)+1, FALSE)) &gt; AE$1, (Assumptions!$B$8)*(AE$1) + (Assumptions!$B$9)*MAX(0,  (HLOOKUP(AE$2,Earnings!$G$2:$BC$81,('Yearly Pension'!$A51)+1, FALSE)) - AE$1), ((Assumptions!$B$8)*'Yearly Pension'!AE$1))))</f>
        <v>832.1911169713751</v>
      </c>
      <c r="AF51" s="6">
        <f>(HLOOKUP('Yearly Pension'!AF$2,'Credited Service'!$G$1:$BC$80,$A51+1,FALSE)) * (IF($B51=500, (Assumptions!$B$7)*12, IF((HLOOKUP(AF$2,Earnings!$G$2:$BC$81,('Yearly Pension'!$A51)+1, FALSE)) &gt; AF$1, (Assumptions!$B$8)*(AF$1) + (Assumptions!$B$9)*MAX(0,  (HLOOKUP(AF$2,Earnings!$G$2:$BC$81,('Yearly Pension'!$A51)+1, FALSE)) - AF$1), ((Assumptions!$B$8)*'Yearly Pension'!AF$1))))</f>
        <v>870.16356165023012</v>
      </c>
      <c r="AG51" s="6">
        <f>(HLOOKUP('Yearly Pension'!AG$2,'Credited Service'!$G$1:$BC$80,$A51+1,FALSE)) * (IF($B51=500, (Assumptions!$B$7)*12, IF((HLOOKUP(AG$2,Earnings!$G$2:$BC$81,('Yearly Pension'!$A51)+1, FALSE)) &gt; AG$1, (Assumptions!$B$8)*(AG$1) + (Assumptions!$B$9)*MAX(0,  (HLOOKUP(AG$2,Earnings!$G$2:$BC$81,('Yearly Pension'!$A51)+1, FALSE)) - AG$1), ((Assumptions!$B$8)*'Yearly Pension'!AG$1))))</f>
        <v>909.8597041162393</v>
      </c>
      <c r="AH51" s="6">
        <f>(HLOOKUP('Yearly Pension'!AH$2,'Credited Service'!$G$1:$BC$80,$A51+1,FALSE)) * (IF($B51=500, (Assumptions!$B$7)*12, IF((HLOOKUP(AH$2,Earnings!$G$2:$BC$81,('Yearly Pension'!$A51)+1, FALSE)) &gt; AH$1, (Assumptions!$B$8)*(AH$1) + (Assumptions!$B$9)*MAX(0,  (HLOOKUP(AH$2,Earnings!$G$2:$BC$81,('Yearly Pension'!$A51)+1, FALSE)) - AH$1), ((Assumptions!$B$8)*'Yearly Pension'!AH$1))))</f>
        <v>952.62849228088885</v>
      </c>
      <c r="AI51" s="6">
        <f>(HLOOKUP('Yearly Pension'!AI$2,'Credited Service'!$G$1:$BC$80,$A51+1,FALSE)) * (IF($B51=500, (Assumptions!$B$7)*12, IF((HLOOKUP(AI$2,Earnings!$G$2:$BC$81,('Yearly Pension'!$A51)+1, FALSE)) &gt; AI$1, (Assumptions!$B$8)*(AI$1) + (Assumptions!$B$9)*MAX(0,  (HLOOKUP(AI$2,Earnings!$G$2:$BC$81,('Yearly Pension'!$A51)+1, FALSE)) - AI$1), ((Assumptions!$B$8)*'Yearly Pension'!AI$1))))</f>
        <v>997.26163197212441</v>
      </c>
      <c r="AJ51" s="6">
        <f>(HLOOKUP('Yearly Pension'!AJ$2,'Credited Service'!$G$1:$BC$80,$A51+1,FALSE)) * (IF($B51=500, (Assumptions!$B$7)*12, IF((HLOOKUP(AJ$2,Earnings!$G$2:$BC$81,('Yearly Pension'!$A51)+1, FALSE)) &gt; AJ$1, (Assumptions!$B$8)*(AJ$1) + (Assumptions!$B$9)*MAX(0,  (HLOOKUP(AJ$2,Earnings!$G$2:$BC$81,('Yearly Pension'!$A51)+1, FALSE)) - AJ$1), ((Assumptions!$B$8)*'Yearly Pension'!AJ$1))))</f>
        <v>1041.2736972510093</v>
      </c>
      <c r="AK51" s="6">
        <f>(HLOOKUP('Yearly Pension'!AK$2,'Credited Service'!$G$1:$BC$80,$A51+1,FALSE)) * (IF($B51=500, (Assumptions!$B$7)*12, IF((HLOOKUP(AK$2,Earnings!$G$2:$BC$81,('Yearly Pension'!$A51)+1, FALSE)) &gt; AK$1, (Assumptions!$B$8)*(AK$1) + (Assumptions!$B$9)*MAX(0,  (HLOOKUP(AK$2,Earnings!$G$2:$BC$81,('Yearly Pension'!$A51)+1, FALSE)) - AK$1), ((Assumptions!$B$8)*'Yearly Pension'!AK$1))))</f>
        <v>1083.4622451410496</v>
      </c>
      <c r="AL51" s="6">
        <f>(HLOOKUP('Yearly Pension'!AL$2,'Credited Service'!$G$1:$BC$80,$A51+1,FALSE)) * (IF($B51=500, (Assumptions!$B$7)*12, IF((HLOOKUP(AL$2,Earnings!$G$2:$BC$81,('Yearly Pension'!$A51)+1, FALSE)) &gt; AL$1, (Assumptions!$B$8)*(AL$1) + (Assumptions!$B$9)*MAX(0,  (HLOOKUP(AL$2,Earnings!$G$2:$BC$81,('Yearly Pension'!$A51)+1, FALSE)) - AL$1), ((Assumptions!$B$8)*'Yearly Pension'!AL$1))))</f>
        <v>1130.3079349466921</v>
      </c>
      <c r="AM51" s="6">
        <f>(HLOOKUP('Yearly Pension'!AM$2,'Credited Service'!$G$1:$BC$80,$A51+1,FALSE)) * (IF($B51=500, (Assumptions!$B$7)*12, IF((HLOOKUP(AM$2,Earnings!$G$2:$BC$81,('Yearly Pension'!$A51)+1, FALSE)) &gt; AM$1, (Assumptions!$B$8)*(AM$1) + (Assumptions!$B$9)*MAX(0,  (HLOOKUP(AM$2,Earnings!$G$2:$BC$81,('Yearly Pension'!$A51)+1, FALSE)) - AM$1), ((Assumptions!$B$8)*'Yearly Pension'!AM$1))))</f>
        <v>1178.0546523445596</v>
      </c>
      <c r="AN51" s="6">
        <f>(HLOOKUP('Yearly Pension'!AN$2,'Credited Service'!$G$1:$BC$80,$A51+1,FALSE)) * (IF($B51=500, (Assumptions!$B$7)*12, IF((HLOOKUP(AN$2,Earnings!$G$2:$BC$81,('Yearly Pension'!$A51)+1, FALSE)) &gt; AN$1, (Assumptions!$B$8)*(AN$1) + (Assumptions!$B$9)*MAX(0,  (HLOOKUP(AN$2,Earnings!$G$2:$BC$81,('Yearly Pension'!$A51)+1, FALSE)) - AN$1), ((Assumptions!$B$8)*'Yearly Pension'!AN$1))))</f>
        <v>1231.2696384383421</v>
      </c>
      <c r="AO51" s="6">
        <f>(HLOOKUP('Yearly Pension'!AO$2,'Credited Service'!$G$1:$BC$80,$A51+1,FALSE)) * (IF($B51=500, (Assumptions!$B$7)*12, IF((HLOOKUP(AO$2,Earnings!$G$2:$BC$81,('Yearly Pension'!$A51)+1, FALSE)) &gt; AO$1, (Assumptions!$B$8)*(AO$1) + (Assumptions!$B$9)*MAX(0,  (HLOOKUP(AO$2,Earnings!$G$2:$BC$81,('Yearly Pension'!$A51)+1, FALSE)) - AO$1), ((Assumptions!$B$8)*'Yearly Pension'!AO$1))))</f>
        <v>1285.563623975876</v>
      </c>
      <c r="AP51" s="6">
        <f>(HLOOKUP('Yearly Pension'!AP$2,'Credited Service'!$G$1:$BC$80,$A51+1,FALSE)) * (IF($B51=500, (Assumptions!$B$7)*12, IF((HLOOKUP(AP$2,Earnings!$G$2:$BC$81,('Yearly Pension'!$A51)+1, FALSE)) &gt; AP$1, (Assumptions!$B$8)*(AP$1) + (Assumptions!$B$9)*MAX(0,  (HLOOKUP(AP$2,Earnings!$G$2:$BC$81,('Yearly Pension'!$A51)+1, FALSE)) - AP$1), ((Assumptions!$B$8)*'Yearly Pension'!AP$1))))</f>
        <v>1337.8309689349112</v>
      </c>
      <c r="AQ51" s="6">
        <f>(HLOOKUP('Yearly Pension'!AQ$2,'Credited Service'!$G$1:$BC$80,$A51+1,FALSE)) * (IF($B51=500, (Assumptions!$B$7)*12, IF((HLOOKUP(AQ$2,Earnings!$G$2:$BC$81,('Yearly Pension'!$A51)+1, FALSE)) &gt; AQ$1, (Assumptions!$B$8)*(AQ$1) + (Assumptions!$B$9)*MAX(0,  (HLOOKUP(AQ$2,Earnings!$G$2:$BC$81,('Yearly Pension'!$A51)+1, FALSE)) - AQ$1), ((Assumptions!$B$8)*'Yearly Pension'!AQ$1))))</f>
        <v>1397.7698076923075</v>
      </c>
      <c r="AR51" s="6">
        <f>(HLOOKUP('Yearly Pension'!AR$2,'Credited Service'!$G$1:$BC$80,$A51+1,FALSE)) * (IF($B51=500, (Assumptions!$B$7)*12, IF((HLOOKUP(AR$2,Earnings!$G$2:$BC$81,('Yearly Pension'!$A51)+1, FALSE)) &gt; AR$1, (Assumptions!$B$8)*(AR$1) + (Assumptions!$B$9)*MAX(0,  (HLOOKUP(AR$2,Earnings!$G$2:$BC$81,('Yearly Pension'!$A51)+1, FALSE)) - AR$1), ((Assumptions!$B$8)*'Yearly Pension'!AR$1))))</f>
        <v>1457.8022000000001</v>
      </c>
      <c r="AS51" s="6">
        <f>(HLOOKUP('Yearly Pension'!AS$2,'Credited Service'!$G$1:$BC$80,$A51+1,FALSE)) * (IF($B51=500, (Assumptions!$B$7)*12, IF((HLOOKUP(AS$2,Earnings!$G$2:$BC$81,('Yearly Pension'!$A51)+1, FALSE)) &gt; AS$1, (Assumptions!$B$8)*(AS$1) + (Assumptions!$B$9)*MAX(0,  (HLOOKUP(AS$2,Earnings!$G$2:$BC$81,('Yearly Pension'!$A51)+1, FALSE)) - AS$1), ((Assumptions!$B$8)*'Yearly Pension'!AS$1))))</f>
        <v>1504.576266</v>
      </c>
      <c r="AT51" s="6">
        <f>(HLOOKUP('Yearly Pension'!AT$2,'Credited Service'!$G$1:$BC$80,$A51+1,FALSE)) * (IF($B51=500, (Assumptions!$B$7)*12, IF((HLOOKUP(AT$2,Earnings!$G$2:$BC$81,('Yearly Pension'!$A51)+1, FALSE)) &gt; AT$1, (Assumptions!$B$8)*(AT$1) + (Assumptions!$B$9)*MAX(0,  (HLOOKUP(AT$2,Earnings!$G$2:$BC$81,('Yearly Pension'!$A51)+1, FALSE)) - AT$1), ((Assumptions!$B$8)*'Yearly Pension'!AT$1))))</f>
        <v>1551.6847539800001</v>
      </c>
      <c r="AU51" s="6">
        <f>(HLOOKUP('Yearly Pension'!AU$2,'Credited Service'!$G$1:$BC$80,$A51+1,FALSE)) * (IF($B51=500, (Assumptions!$B$7)*12, IF((HLOOKUP(AU$2,Earnings!$G$2:$BC$81,('Yearly Pension'!$A51)+1, FALSE)) &gt; AU$1, (Assumptions!$B$8)*(AU$1) + (Assumptions!$B$9)*MAX(0,  (HLOOKUP(AU$2,Earnings!$G$2:$BC$81,('Yearly Pension'!$A51)+1, FALSE)) - AU$1), ((Assumptions!$B$8)*'Yearly Pension'!AU$1))))</f>
        <v>1606.2160965993999</v>
      </c>
      <c r="AV51" s="6">
        <f>(HLOOKUP('Yearly Pension'!AV$2,'Credited Service'!$G$1:$BC$80,$A51+1,FALSE)) * (IF($B51=500, (Assumptions!$B$7)*12, IF((HLOOKUP(AV$2,Earnings!$G$2:$BC$81,('Yearly Pension'!$A51)+1, FALSE)) &gt; AV$1, (Assumptions!$B$8)*(AV$1) + (Assumptions!$B$9)*MAX(0,  (HLOOKUP(AV$2,Earnings!$G$2:$BC$81,('Yearly Pension'!$A51)+1, FALSE)) - AV$1), ((Assumptions!$B$8)*'Yearly Pension'!AV$1))))</f>
        <v>1661.1801794973821</v>
      </c>
      <c r="AW51" s="6">
        <f>(HLOOKUP('Yearly Pension'!AW$2,'Credited Service'!$G$1:$BC$80,$A51+1,FALSE)) * (IF($B51=500, (Assumptions!$B$7)*12, IF((HLOOKUP(AW$2,Earnings!$G$2:$BC$81,('Yearly Pension'!$A51)+1, FALSE)) &gt; AW$1, (Assumptions!$B$8)*(AW$1) + (Assumptions!$B$9)*MAX(0,  (HLOOKUP(AW$2,Earnings!$G$2:$BC$81,('Yearly Pension'!$A51)+1, FALSE)) - AW$1), ((Assumptions!$B$8)*'Yearly Pension'!AW$1))))</f>
        <v>1712.1483848823036</v>
      </c>
      <c r="AX51" s="6">
        <f>(HLOOKUP('Yearly Pension'!AX$2,'Credited Service'!$G$1:$BC$80,$A51+1,FALSE)) * (IF($B51=500, (Assumptions!$B$7)*12, IF((HLOOKUP(AX$2,Earnings!$G$2:$BC$81,('Yearly Pension'!$A51)+1, FALSE)) &gt; AX$1, (Assumptions!$B$8)*(AX$1) + (Assumptions!$B$9)*MAX(0,  (HLOOKUP(AX$2,Earnings!$G$2:$BC$81,('Yearly Pension'!$A51)+1, FALSE)) - AX$1), ((Assumptions!$B$8)*'Yearly Pension'!AX$1))))</f>
        <v>1759.8392364287729</v>
      </c>
      <c r="AY51" s="6">
        <f>(HLOOKUP('Yearly Pension'!AY$2,'Credited Service'!$G$1:$BC$80,$A51+1,FALSE)) * (IF($B51=500, (Assumptions!$B$7)*12, IF((HLOOKUP(AY$2,Earnings!$G$2:$BC$81,('Yearly Pension'!$A51)+1, FALSE)) &gt; AY$1, (Assumptions!$B$8)*(AY$1) + (Assumptions!$B$9)*MAX(0,  (HLOOKUP(AY$2,Earnings!$G$2:$BC$81,('Yearly Pension'!$A51)+1, FALSE)) - AY$1), ((Assumptions!$B$8)*'Yearly Pension'!AY$1))))</f>
        <v>1808.813869521636</v>
      </c>
      <c r="AZ51" s="6">
        <f>(HLOOKUP('Yearly Pension'!AZ$2,'Credited Service'!$G$1:$BC$80,$A51+1,FALSE)) * (IF($B51=500, (Assumptions!$B$7)*12, IF((HLOOKUP(AZ$2,Earnings!$G$2:$BC$81,('Yearly Pension'!$A51)+1, FALSE)) &gt; AZ$1, (Assumptions!$B$8)*(AZ$1) + (Assumptions!$B$9)*MAX(0,  (HLOOKUP(AZ$2,Earnings!$G$2:$BC$81,('Yearly Pension'!$A51)+1, FALSE)) - AZ$1), ((Assumptions!$B$8)*'Yearly Pension'!AZ$1))))</f>
        <v>1859.1049198472851</v>
      </c>
      <c r="BA51" s="6">
        <f>(HLOOKUP('Yearly Pension'!BA$2,'Credited Service'!$G$1:$BC$80,$A51+1,FALSE)) * (IF($B51=500, (Assumptions!$B$7)*12, IF((HLOOKUP(BA$2,Earnings!$G$2:$BC$81,('Yearly Pension'!$A51)+1, FALSE)) &gt; BA$1, (Assumptions!$B$8)*(BA$1) + (Assumptions!$B$9)*MAX(0,  (HLOOKUP(BA$2,Earnings!$G$2:$BC$81,('Yearly Pension'!$A51)+1, FALSE)) - BA$1), ((Assumptions!$B$8)*'Yearly Pension'!BA$1))))</f>
        <v>1910.7457670523036</v>
      </c>
      <c r="BB51" s="6">
        <f>(HLOOKUP('Yearly Pension'!BB$2,'Credited Service'!$G$1:$BC$80,$A51+1,FALSE)) * (IF($B51=500, (Assumptions!$B$7)*12, IF((HLOOKUP(BB$2,Earnings!$G$2:$BC$81,('Yearly Pension'!$A51)+1, FALSE)) &gt; BB$1, (Assumptions!$B$8)*(BB$1) + (Assumptions!$B$9)*MAX(0,  (HLOOKUP(BB$2,Earnings!$G$2:$BC$81,('Yearly Pension'!$A51)+1, FALSE)) - BB$1), ((Assumptions!$B$8)*'Yearly Pension'!BB$1))))</f>
        <v>1963.7705476578567</v>
      </c>
      <c r="BC51" s="6">
        <f>(HLOOKUP('Yearly Pension'!BC$2,'Credited Service'!$G$1:$BC$80,$A51+1,FALSE)) * (IF($B51=500, (Assumptions!$B$7)*12, IF((HLOOKUP(BC$2,Earnings!$G$2:$BC$81,('Yearly Pension'!$A51)+1, FALSE)) &gt; BC$1, (Assumptions!$B$8)*(BC$1) + (Assumptions!$B$9)*MAX(0,  (HLOOKUP(BC$2,Earnings!$G$2:$BC$81,('Yearly Pension'!$A51)+1, FALSE)) - BC$1), ((Assumptions!$B$8)*'Yearly Pension'!BC$1))))</f>
        <v>2018.214167985336</v>
      </c>
    </row>
    <row r="52" spans="1:55" x14ac:dyDescent="0.25">
      <c r="A52" s="204">
        <v>50</v>
      </c>
      <c r="B52" s="1">
        <v>600</v>
      </c>
      <c r="C52" s="1">
        <v>687</v>
      </c>
      <c r="D52" s="3">
        <v>34680</v>
      </c>
      <c r="E52" s="3">
        <v>48580</v>
      </c>
      <c r="G52" s="6">
        <f>(HLOOKUP('Yearly Pension'!G$2,'Credited Service'!$G$1:$BC$80,$A52+1,FALSE)) * (IF($B52=500, (Assumptions!$B$7)*12, IF((HLOOKUP(G$2,Earnings!$G$2:$BC$81,('Yearly Pension'!$A52)+1, FALSE)) &gt; G$1, (Assumptions!$B$8)*(G$1) + (Assumptions!$B$9)*MAX(0,  (HLOOKUP(G$2,Earnings!$G$2:$BC$81,('Yearly Pension'!$A52)+1, FALSE)) - G$1), ((Assumptions!$B$8)*'Yearly Pension'!G$1))))</f>
        <v>0</v>
      </c>
      <c r="H52" s="6">
        <f>(HLOOKUP('Yearly Pension'!H$2,'Credited Service'!$G$1:$BC$80,$A52+1,FALSE)) * (IF($B52=500, (Assumptions!$B$7)*12, IF((HLOOKUP(H$2,Earnings!$G$2:$BC$81,('Yearly Pension'!$A52)+1, FALSE)) &gt; H$1, (Assumptions!$B$8)*(H$1) + (Assumptions!$B$9)*MAX(0,  (HLOOKUP(H$2,Earnings!$G$2:$BC$81,('Yearly Pension'!$A52)+1, FALSE)) - H$1), ((Assumptions!$B$8)*'Yearly Pension'!H$1))))</f>
        <v>0</v>
      </c>
      <c r="I52" s="6">
        <f>(HLOOKUP('Yearly Pension'!I$2,'Credited Service'!$G$1:$BC$80,$A52+1,FALSE)) * (IF($B52=500, (Assumptions!$B$7)*12, IF((HLOOKUP(I$2,Earnings!$G$2:$BC$81,('Yearly Pension'!$A52)+1, FALSE)) &gt; I$1, (Assumptions!$B$8)*(I$1) + (Assumptions!$B$9)*MAX(0,  (HLOOKUP(I$2,Earnings!$G$2:$BC$81,('Yearly Pension'!$A52)+1, FALSE)) - I$1), ((Assumptions!$B$8)*'Yearly Pension'!I$1))))</f>
        <v>0</v>
      </c>
      <c r="J52" s="6">
        <f>(HLOOKUP('Yearly Pension'!J$2,'Credited Service'!$G$1:$BC$80,$A52+1,FALSE)) * (IF($B52=500, (Assumptions!$B$7)*12, IF((HLOOKUP(J$2,Earnings!$G$2:$BC$81,('Yearly Pension'!$A52)+1, FALSE)) &gt; J$1, (Assumptions!$B$8)*(J$1) + (Assumptions!$B$9)*MAX(0,  (HLOOKUP(J$2,Earnings!$G$2:$BC$81,('Yearly Pension'!$A52)+1, FALSE)) - J$1), ((Assumptions!$B$8)*'Yearly Pension'!J$1))))</f>
        <v>0</v>
      </c>
      <c r="K52" s="6">
        <f>(HLOOKUP('Yearly Pension'!K$2,'Credited Service'!$G$1:$BC$80,$A52+1,FALSE)) * (IF($B52=500, (Assumptions!$B$7)*12, IF((HLOOKUP(K$2,Earnings!$G$2:$BC$81,('Yearly Pension'!$A52)+1, FALSE)) &gt; K$1, (Assumptions!$B$8)*(K$1) + (Assumptions!$B$9)*MAX(0,  (HLOOKUP(K$2,Earnings!$G$2:$BC$81,('Yearly Pension'!$A52)+1, FALSE)) - K$1), ((Assumptions!$B$8)*'Yearly Pension'!K$1))))</f>
        <v>0</v>
      </c>
      <c r="L52" s="6">
        <f>(HLOOKUP('Yearly Pension'!L$2,'Credited Service'!$G$1:$BC$80,$A52+1,FALSE)) * (IF($B52=500, (Assumptions!$B$7)*12, IF((HLOOKUP(L$2,Earnings!$G$2:$BC$81,('Yearly Pension'!$A52)+1, FALSE)) &gt; L$1, (Assumptions!$B$8)*(L$1) + (Assumptions!$B$9)*MAX(0,  (HLOOKUP(L$2,Earnings!$G$2:$BC$81,('Yearly Pension'!$A52)+1, FALSE)) - L$1), ((Assumptions!$B$8)*'Yearly Pension'!L$1))))</f>
        <v>0</v>
      </c>
      <c r="M52" s="6">
        <f>(HLOOKUP('Yearly Pension'!M$2,'Credited Service'!$G$1:$BC$80,$A52+1,FALSE)) * (IF($B52=500, (Assumptions!$B$7)*12, IF((HLOOKUP(M$2,Earnings!$G$2:$BC$81,('Yearly Pension'!$A52)+1, FALSE)) &gt; M$1, (Assumptions!$B$8)*(M$1) + (Assumptions!$B$9)*MAX(0,  (HLOOKUP(M$2,Earnings!$G$2:$BC$81,('Yearly Pension'!$A52)+1, FALSE)) - M$1), ((Assumptions!$B$8)*'Yearly Pension'!M$1))))</f>
        <v>0</v>
      </c>
      <c r="N52" s="6">
        <f>(HLOOKUP('Yearly Pension'!N$2,'Credited Service'!$G$1:$BC$80,$A52+1,FALSE)) * (IF($B52=500, (Assumptions!$B$7)*12, IF((HLOOKUP(N$2,Earnings!$G$2:$BC$81,('Yearly Pension'!$A52)+1, FALSE)) &gt; N$1, (Assumptions!$B$8)*(N$1) + (Assumptions!$B$9)*MAX(0,  (HLOOKUP(N$2,Earnings!$G$2:$BC$81,('Yearly Pension'!$A52)+1, FALSE)) - N$1), ((Assumptions!$B$8)*'Yearly Pension'!N$1))))</f>
        <v>0</v>
      </c>
      <c r="O52" s="6">
        <f>(HLOOKUP('Yearly Pension'!O$2,'Credited Service'!$G$1:$BC$80,$A52+1,FALSE)) * (IF($B52=500, (Assumptions!$B$7)*12, IF((HLOOKUP(O$2,Earnings!$G$2:$BC$81,('Yearly Pension'!$A52)+1, FALSE)) &gt; O$1, (Assumptions!$B$8)*(O$1) + (Assumptions!$B$9)*MAX(0,  (HLOOKUP(O$2,Earnings!$G$2:$BC$81,('Yearly Pension'!$A52)+1, FALSE)) - O$1), ((Assumptions!$B$8)*'Yearly Pension'!O$1))))</f>
        <v>0</v>
      </c>
      <c r="P52" s="6">
        <f>(HLOOKUP('Yearly Pension'!P$2,'Credited Service'!$G$1:$BC$80,$A52+1,FALSE)) * (IF($B52=500, (Assumptions!$B$7)*12, IF((HLOOKUP(P$2,Earnings!$G$2:$BC$81,('Yearly Pension'!$A52)+1, FALSE)) &gt; P$1, (Assumptions!$B$8)*(P$1) + (Assumptions!$B$9)*MAX(0,  (HLOOKUP(P$2,Earnings!$G$2:$BC$81,('Yearly Pension'!$A52)+1, FALSE)) - P$1), ((Assumptions!$B$8)*'Yearly Pension'!P$1))))</f>
        <v>0</v>
      </c>
      <c r="Q52" s="6">
        <f>(HLOOKUP('Yearly Pension'!Q$2,'Credited Service'!$G$1:$BC$80,$A52+1,FALSE)) * (IF($B52=500, (Assumptions!$B$7)*12, IF((HLOOKUP(Q$2,Earnings!$G$2:$BC$81,('Yearly Pension'!$A52)+1, FALSE)) &gt; Q$1, (Assumptions!$B$8)*(Q$1) + (Assumptions!$B$9)*MAX(0,  (HLOOKUP(Q$2,Earnings!$G$2:$BC$81,('Yearly Pension'!$A52)+1, FALSE)) - Q$1), ((Assumptions!$B$8)*'Yearly Pension'!Q$1))))</f>
        <v>0</v>
      </c>
      <c r="R52" s="6">
        <f>(HLOOKUP('Yearly Pension'!R$2,'Credited Service'!$G$1:$BC$80,$A52+1,FALSE)) * (IF($B52=500, (Assumptions!$B$7)*12, IF((HLOOKUP(R$2,Earnings!$G$2:$BC$81,('Yearly Pension'!$A52)+1, FALSE)) &gt; R$1, (Assumptions!$B$8)*(R$1) + (Assumptions!$B$9)*MAX(0,  (HLOOKUP(R$2,Earnings!$G$2:$BC$81,('Yearly Pension'!$A52)+1, FALSE)) - R$1), ((Assumptions!$B$8)*'Yearly Pension'!R$1))))</f>
        <v>0</v>
      </c>
      <c r="S52" s="6">
        <f>(HLOOKUP('Yearly Pension'!S$2,'Credited Service'!$G$1:$BC$80,$A52+1,FALSE)) * (IF($B52=500, (Assumptions!$B$7)*12, IF((HLOOKUP(S$2,Earnings!$G$2:$BC$81,('Yearly Pension'!$A52)+1, FALSE)) &gt; S$1, (Assumptions!$B$8)*(S$1) + (Assumptions!$B$9)*MAX(0,  (HLOOKUP(S$2,Earnings!$G$2:$BC$81,('Yearly Pension'!$A52)+1, FALSE)) - S$1), ((Assumptions!$B$8)*'Yearly Pension'!S$1))))</f>
        <v>0</v>
      </c>
      <c r="T52" s="6">
        <f>(HLOOKUP('Yearly Pension'!T$2,'Credited Service'!$G$1:$BC$80,$A52+1,FALSE)) * (IF($B52=500, (Assumptions!$B$7)*12, IF((HLOOKUP(T$2,Earnings!$G$2:$BC$81,('Yearly Pension'!$A52)+1, FALSE)) &gt; T$1, (Assumptions!$B$8)*(T$1) + (Assumptions!$B$9)*MAX(0,  (HLOOKUP(T$2,Earnings!$G$2:$BC$81,('Yearly Pension'!$A52)+1, FALSE)) - T$1), ((Assumptions!$B$8)*'Yearly Pension'!T$1))))</f>
        <v>0</v>
      </c>
      <c r="U52" s="6">
        <f>(HLOOKUP('Yearly Pension'!U$2,'Credited Service'!$G$1:$BC$80,$A52+1,FALSE)) * (IF($B52=500, (Assumptions!$B$7)*12, IF((HLOOKUP(U$2,Earnings!$G$2:$BC$81,('Yearly Pension'!$A52)+1, FALSE)) &gt; U$1, (Assumptions!$B$8)*(U$1) + (Assumptions!$B$9)*MAX(0,  (HLOOKUP(U$2,Earnings!$G$2:$BC$81,('Yearly Pension'!$A52)+1, FALSE)) - U$1), ((Assumptions!$B$8)*'Yearly Pension'!U$1))))</f>
        <v>0</v>
      </c>
      <c r="V52" s="6">
        <f>(HLOOKUP('Yearly Pension'!V$2,'Credited Service'!$G$1:$BC$80,$A52+1,FALSE)) * (IF($B52=500, (Assumptions!$B$7)*12, IF((HLOOKUP(V$2,Earnings!$G$2:$BC$81,('Yearly Pension'!$A52)+1, FALSE)) &gt; V$1, (Assumptions!$B$8)*(V$1) + (Assumptions!$B$9)*MAX(0,  (HLOOKUP(V$2,Earnings!$G$2:$BC$81,('Yearly Pension'!$A52)+1, FALSE)) - V$1), ((Assumptions!$B$8)*'Yearly Pension'!V$1))))</f>
        <v>0</v>
      </c>
      <c r="W52" s="6">
        <f>(HLOOKUP('Yearly Pension'!W$2,'Credited Service'!$G$1:$BC$80,$A52+1,FALSE)) * (IF($B52=500, (Assumptions!$B$7)*12, IF((HLOOKUP(W$2,Earnings!$G$2:$BC$81,('Yearly Pension'!$A52)+1, FALSE)) &gt; W$1, (Assumptions!$B$8)*(W$1) + (Assumptions!$B$9)*MAX(0,  (HLOOKUP(W$2,Earnings!$G$2:$BC$81,('Yearly Pension'!$A52)+1, FALSE)) - W$1), ((Assumptions!$B$8)*'Yearly Pension'!W$1))))</f>
        <v>0</v>
      </c>
      <c r="X52" s="6">
        <f>(HLOOKUP('Yearly Pension'!X$2,'Credited Service'!$G$1:$BC$80,$A52+1,FALSE)) * (IF($B52=500, (Assumptions!$B$7)*12, IF((HLOOKUP(X$2,Earnings!$G$2:$BC$81,('Yearly Pension'!$A52)+1, FALSE)) &gt; X$1, (Assumptions!$B$8)*(X$1) + (Assumptions!$B$9)*MAX(0,  (HLOOKUP(X$2,Earnings!$G$2:$BC$81,('Yearly Pension'!$A52)+1, FALSE)) - X$1), ((Assumptions!$B$8)*'Yearly Pension'!X$1))))</f>
        <v>0</v>
      </c>
      <c r="Y52" s="6">
        <f>(HLOOKUP('Yearly Pension'!Y$2,'Credited Service'!$G$1:$BC$80,$A52+1,FALSE)) * (IF($B52=500, (Assumptions!$B$7)*12, IF((HLOOKUP(Y$2,Earnings!$G$2:$BC$81,('Yearly Pension'!$A52)+1, FALSE)) &gt; Y$1, (Assumptions!$B$8)*(Y$1) + (Assumptions!$B$9)*MAX(0,  (HLOOKUP(Y$2,Earnings!$G$2:$BC$81,('Yearly Pension'!$A52)+1, FALSE)) - Y$1), ((Assumptions!$B$8)*'Yearly Pension'!Y$1))))</f>
        <v>635.88442082864867</v>
      </c>
      <c r="Z52" s="6">
        <f>(HLOOKUP('Yearly Pension'!Z$2,'Credited Service'!$G$1:$BC$80,$A52+1,FALSE)) * (IF($B52=500, (Assumptions!$B$7)*12, IF((HLOOKUP(Z$2,Earnings!$G$2:$BC$81,('Yearly Pension'!$A52)+1, FALSE)) &gt; Z$1, (Assumptions!$B$8)*(Z$1) + (Assumptions!$B$9)*MAX(0,  (HLOOKUP(Z$2,Earnings!$G$2:$BC$81,('Yearly Pension'!$A52)+1, FALSE)) - Z$1), ((Assumptions!$B$8)*'Yearly Pension'!Z$1))))</f>
        <v>667.05419766179477</v>
      </c>
      <c r="AA52" s="6">
        <f>(HLOOKUP('Yearly Pension'!AA$2,'Credited Service'!$G$1:$BC$80,$A52+1,FALSE)) * (IF($B52=500, (Assumptions!$B$7)*12, IF((HLOOKUP(AA$2,Earnings!$G$2:$BC$81,('Yearly Pension'!$A52)+1, FALSE)) &gt; AA$1, (Assumptions!$B$8)*(AA$1) + (Assumptions!$B$9)*MAX(0,  (HLOOKUP(AA$2,Earnings!$G$2:$BC$81,('Yearly Pension'!$A52)+1, FALSE)) - AA$1), ((Assumptions!$B$8)*'Yearly Pension'!AA$1))))</f>
        <v>700.23876556826656</v>
      </c>
      <c r="AB52" s="6">
        <f>(HLOOKUP('Yearly Pension'!AB$2,'Credited Service'!$G$1:$BC$80,$A52+1,FALSE)) * (IF($B52=500, (Assumptions!$B$7)*12, IF((HLOOKUP(AB$2,Earnings!$G$2:$BC$81,('Yearly Pension'!$A52)+1, FALSE)) &gt; AB$1, (Assumptions!$B$8)*(AB$1) + (Assumptions!$B$9)*MAX(0,  (HLOOKUP(AB$2,Earnings!$G$2:$BC$81,('Yearly Pension'!$A52)+1, FALSE)) - AB$1), ((Assumptions!$B$8)*'Yearly Pension'!AB$1))))</f>
        <v>730.37311619099728</v>
      </c>
      <c r="AC52" s="6">
        <f>(HLOOKUP('Yearly Pension'!AC$2,'Credited Service'!$G$1:$BC$80,$A52+1,FALSE)) * (IF($B52=500, (Assumptions!$B$7)*12, IF((HLOOKUP(AC$2,Earnings!$G$2:$BC$81,('Yearly Pension'!$A52)+1, FALSE)) &gt; AC$1, (Assumptions!$B$8)*(AC$1) + (Assumptions!$B$9)*MAX(0,  (HLOOKUP(AC$2,Earnings!$G$2:$BC$81,('Yearly Pension'!$A52)+1, FALSE)) - AC$1), ((Assumptions!$B$8)*'Yearly Pension'!AC$1))))</f>
        <v>765.83444083863719</v>
      </c>
      <c r="AD52" s="6">
        <f>(HLOOKUP('Yearly Pension'!AD$2,'Credited Service'!$G$1:$BC$80,$A52+1,FALSE)) * (IF($B52=500, (Assumptions!$B$7)*12, IF((HLOOKUP(AD$2,Earnings!$G$2:$BC$81,('Yearly Pension'!$A52)+1, FALSE)) &gt; AD$1, (Assumptions!$B$8)*(AD$1) + (Assumptions!$B$9)*MAX(0,  (HLOOKUP(AD$2,Earnings!$G$2:$BC$81,('Yearly Pension'!$A52)+1, FALSE)) - AD$1), ((Assumptions!$B$8)*'Yearly Pension'!AD$1))))</f>
        <v>804.76221847218267</v>
      </c>
      <c r="AE52" s="6">
        <f>(HLOOKUP('Yearly Pension'!AE$2,'Credited Service'!$G$1:$BC$80,$A52+1,FALSE)) * (IF($B52=500, (Assumptions!$B$7)*12, IF((HLOOKUP(AE$2,Earnings!$G$2:$BC$81,('Yearly Pension'!$A52)+1, FALSE)) &gt; AE$1, (Assumptions!$B$8)*(AE$1) + (Assumptions!$B$9)*MAX(0,  (HLOOKUP(AE$2,Earnings!$G$2:$BC$81,('Yearly Pension'!$A52)+1, FALSE)) - AE$1), ((Assumptions!$B$8)*'Yearly Pension'!AE$1))))</f>
        <v>842.09830721107005</v>
      </c>
      <c r="AF52" s="6">
        <f>(HLOOKUP('Yearly Pension'!AF$2,'Credited Service'!$G$1:$BC$80,$A52+1,FALSE)) * (IF($B52=500, (Assumptions!$B$7)*12, IF((HLOOKUP(AF$2,Earnings!$G$2:$BC$81,('Yearly Pension'!$A52)+1, FALSE)) &gt; AF$1, (Assumptions!$B$8)*(AF$1) + (Assumptions!$B$9)*MAX(0,  (HLOOKUP(AF$2,Earnings!$G$2:$BC$81,('Yearly Pension'!$A52)+1, FALSE)) - AF$1), ((Assumptions!$B$8)*'Yearly Pension'!AF$1))))</f>
        <v>880.46703949951291</v>
      </c>
      <c r="AG52" s="6">
        <f>(HLOOKUP('Yearly Pension'!AG$2,'Credited Service'!$G$1:$BC$80,$A52+1,FALSE)) * (IF($B52=500, (Assumptions!$B$7)*12, IF((HLOOKUP(AG$2,Earnings!$G$2:$BC$81,('Yearly Pension'!$A52)+1, FALSE)) &gt; AG$1, (Assumptions!$B$8)*(AG$1) + (Assumptions!$B$9)*MAX(0,  (HLOOKUP(AG$2,Earnings!$G$2:$BC$81,('Yearly Pension'!$A52)+1, FALSE)) - AG$1), ((Assumptions!$B$8)*'Yearly Pension'!AG$1))))</f>
        <v>920.57532107949351</v>
      </c>
      <c r="AH52" s="6">
        <f>(HLOOKUP('Yearly Pension'!AH$2,'Credited Service'!$G$1:$BC$80,$A52+1,FALSE)) * (IF($B52=500, (Assumptions!$B$7)*12, IF((HLOOKUP(AH$2,Earnings!$G$2:$BC$81,('Yearly Pension'!$A52)+1, FALSE)) &gt; AH$1, (Assumptions!$B$8)*(AH$1) + (Assumptions!$B$9)*MAX(0,  (HLOOKUP(AH$2,Earnings!$G$2:$BC$81,('Yearly Pension'!$A52)+1, FALSE)) - AH$1), ((Assumptions!$B$8)*'Yearly Pension'!AH$1))))</f>
        <v>963.77273392267318</v>
      </c>
      <c r="AI52" s="6">
        <f>(HLOOKUP('Yearly Pension'!AI$2,'Credited Service'!$G$1:$BC$80,$A52+1,FALSE)) * (IF($B52=500, (Assumptions!$B$7)*12, IF((HLOOKUP(AI$2,Earnings!$G$2:$BC$81,('Yearly Pension'!$A52)+1, FALSE)) &gt; AI$1, (Assumptions!$B$8)*(AI$1) + (Assumptions!$B$9)*MAX(0,  (HLOOKUP(AI$2,Earnings!$G$2:$BC$81,('Yearly Pension'!$A52)+1, FALSE)) - AI$1), ((Assumptions!$B$8)*'Yearly Pension'!AI$1))))</f>
        <v>1008.8516432795801</v>
      </c>
      <c r="AJ52" s="6">
        <f>(HLOOKUP('Yearly Pension'!AJ$2,'Credited Service'!$G$1:$BC$80,$A52+1,FALSE)) * (IF($B52=500, (Assumptions!$B$7)*12, IF((HLOOKUP(AJ$2,Earnings!$G$2:$BC$81,('Yearly Pension'!$A52)+1, FALSE)) &gt; AJ$1, (Assumptions!$B$8)*(AJ$1) + (Assumptions!$B$9)*MAX(0,  (HLOOKUP(AJ$2,Earnings!$G$2:$BC$81,('Yearly Pension'!$A52)+1, FALSE)) - AJ$1), ((Assumptions!$B$8)*'Yearly Pension'!AJ$1))))</f>
        <v>1053.3273090107634</v>
      </c>
      <c r="AK52" s="6">
        <f>(HLOOKUP('Yearly Pension'!AK$2,'Credited Service'!$G$1:$BC$80,$A52+1,FALSE)) * (IF($B52=500, (Assumptions!$B$7)*12, IF((HLOOKUP(AK$2,Earnings!$G$2:$BC$81,('Yearly Pension'!$A52)+1, FALSE)) &gt; AK$1, (Assumptions!$B$8)*(AK$1) + (Assumptions!$B$9)*MAX(0,  (HLOOKUP(AK$2,Earnings!$G$2:$BC$81,('Yearly Pension'!$A52)+1, FALSE)) - AK$1), ((Assumptions!$B$8)*'Yearly Pension'!AK$1))))</f>
        <v>1095.9980013711938</v>
      </c>
      <c r="AL52" s="6">
        <f>(HLOOKUP('Yearly Pension'!AL$2,'Credited Service'!$G$1:$BC$80,$A52+1,FALSE)) * (IF($B52=500, (Assumptions!$B$7)*12, IF((HLOOKUP(AL$2,Earnings!$G$2:$BC$81,('Yearly Pension'!$A52)+1, FALSE)) &gt; AL$1, (Assumptions!$B$8)*(AL$1) + (Assumptions!$B$9)*MAX(0,  (HLOOKUP(AL$2,Earnings!$G$2:$BC$81,('Yearly Pension'!$A52)+1, FALSE)) - AL$1), ((Assumptions!$B$8)*'Yearly Pension'!AL$1))))</f>
        <v>1143.3451214260417</v>
      </c>
      <c r="AM52" s="6">
        <f>(HLOOKUP('Yearly Pension'!AM$2,'Credited Service'!$G$1:$BC$80,$A52+1,FALSE)) * (IF($B52=500, (Assumptions!$B$7)*12, IF((HLOOKUP(AM$2,Earnings!$G$2:$BC$81,('Yearly Pension'!$A52)+1, FALSE)) &gt; AM$1, (Assumptions!$B$8)*(AM$1) + (Assumptions!$B$9)*MAX(0,  (HLOOKUP(AM$2,Earnings!$G$2:$BC$81,('Yearly Pension'!$A52)+1, FALSE)) - AM$1), ((Assumptions!$B$8)*'Yearly Pension'!AM$1))))</f>
        <v>1191.6133262830836</v>
      </c>
      <c r="AN52" s="6">
        <f>(HLOOKUP('Yearly Pension'!AN$2,'Credited Service'!$G$1:$BC$80,$A52+1,FALSE)) * (IF($B52=500, (Assumptions!$B$7)*12, IF((HLOOKUP(AN$2,Earnings!$G$2:$BC$81,('Yearly Pension'!$A52)+1, FALSE)) &gt; AN$1, (Assumptions!$B$8)*(AN$1) + (Assumptions!$B$9)*MAX(0,  (HLOOKUP(AN$2,Earnings!$G$2:$BC$81,('Yearly Pension'!$A52)+1, FALSE)) - AN$1), ((Assumptions!$B$8)*'Yearly Pension'!AN$1))))</f>
        <v>1245.3706593344068</v>
      </c>
      <c r="AO52" s="6">
        <f>(HLOOKUP('Yearly Pension'!AO$2,'Credited Service'!$G$1:$BC$80,$A52+1,FALSE)) * (IF($B52=500, (Assumptions!$B$7)*12, IF((HLOOKUP(AO$2,Earnings!$G$2:$BC$81,('Yearly Pension'!$A52)+1, FALSE)) &gt; AO$1, (Assumptions!$B$8)*(AO$1) + (Assumptions!$B$9)*MAX(0,  (HLOOKUP(AO$2,Earnings!$G$2:$BC$81,('Yearly Pension'!$A52)+1, FALSE)) - AO$1), ((Assumptions!$B$8)*'Yearly Pension'!AO$1))))</f>
        <v>1300.2286857077831</v>
      </c>
      <c r="AP52" s="6">
        <f>(HLOOKUP('Yearly Pension'!AP$2,'Credited Service'!$G$1:$BC$80,$A52+1,FALSE)) * (IF($B52=500, (Assumptions!$B$7)*12, IF((HLOOKUP(AP$2,Earnings!$G$2:$BC$81,('Yearly Pension'!$A52)+1, FALSE)) &gt; AP$1, (Assumptions!$B$8)*(AP$1) + (Assumptions!$B$9)*MAX(0,  (HLOOKUP(AP$2,Earnings!$G$2:$BC$81,('Yearly Pension'!$A52)+1, FALSE)) - AP$1), ((Assumptions!$B$8)*'Yearly Pension'!AP$1))))</f>
        <v>1353.0826331360947</v>
      </c>
      <c r="AQ52" s="6">
        <f>(HLOOKUP('Yearly Pension'!AQ$2,'Credited Service'!$G$1:$BC$80,$A52+1,FALSE)) * (IF($B52=500, (Assumptions!$B$7)*12, IF((HLOOKUP(AQ$2,Earnings!$G$2:$BC$81,('Yearly Pension'!$A52)+1, FALSE)) &gt; AQ$1, (Assumptions!$B$8)*(AQ$1) + (Assumptions!$B$9)*MAX(0,  (HLOOKUP(AQ$2,Earnings!$G$2:$BC$81,('Yearly Pension'!$A52)+1, FALSE)) - AQ$1), ((Assumptions!$B$8)*'Yearly Pension'!AQ$1))))</f>
        <v>1413.6315384615384</v>
      </c>
      <c r="AR52" s="6">
        <f>(HLOOKUP('Yearly Pension'!AR$2,'Credited Service'!$G$1:$BC$80,$A52+1,FALSE)) * (IF($B52=500, (Assumptions!$B$7)*12, IF((HLOOKUP(AR$2,Earnings!$G$2:$BC$81,('Yearly Pension'!$A52)+1, FALSE)) &gt; AR$1, (Assumptions!$B$8)*(AR$1) + (Assumptions!$B$9)*MAX(0,  (HLOOKUP(AR$2,Earnings!$G$2:$BC$81,('Yearly Pension'!$A52)+1, FALSE)) - AR$1), ((Assumptions!$B$8)*'Yearly Pension'!AR$1))))</f>
        <v>1474.2984000000001</v>
      </c>
      <c r="AS52" s="6">
        <f>(HLOOKUP('Yearly Pension'!AS$2,'Credited Service'!$G$1:$BC$80,$A52+1,FALSE)) * (IF($B52=500, (Assumptions!$B$7)*12, IF((HLOOKUP(AS$2,Earnings!$G$2:$BC$81,('Yearly Pension'!$A52)+1, FALSE)) &gt; AS$1, (Assumptions!$B$8)*(AS$1) + (Assumptions!$B$9)*MAX(0,  (HLOOKUP(AS$2,Earnings!$G$2:$BC$81,('Yearly Pension'!$A52)+1, FALSE)) - AS$1), ((Assumptions!$B$8)*'Yearly Pension'!AS$1))))</f>
        <v>1521.567352</v>
      </c>
      <c r="AT52" s="6">
        <f>(HLOOKUP('Yearly Pension'!AT$2,'Credited Service'!$G$1:$BC$80,$A52+1,FALSE)) * (IF($B52=500, (Assumptions!$B$7)*12, IF((HLOOKUP(AT$2,Earnings!$G$2:$BC$81,('Yearly Pension'!$A52)+1, FALSE)) &gt; AT$1, (Assumptions!$B$8)*(AT$1) + (Assumptions!$B$9)*MAX(0,  (HLOOKUP(AT$2,Earnings!$G$2:$BC$81,('Yearly Pension'!$A52)+1, FALSE)) - AT$1), ((Assumptions!$B$8)*'Yearly Pension'!AT$1))))</f>
        <v>1569.1855725599999</v>
      </c>
      <c r="AU52" s="6">
        <f>(HLOOKUP('Yearly Pension'!AU$2,'Credited Service'!$G$1:$BC$80,$A52+1,FALSE)) * (IF($B52=500, (Assumptions!$B$7)*12, IF((HLOOKUP(AU$2,Earnings!$G$2:$BC$81,('Yearly Pension'!$A52)+1, FALSE)) &gt; AU$1, (Assumptions!$B$8)*(AU$1) + (Assumptions!$B$9)*MAX(0,  (HLOOKUP(AU$2,Earnings!$G$2:$BC$81,('Yearly Pension'!$A52)+1, FALSE)) - AU$1), ((Assumptions!$B$8)*'Yearly Pension'!AU$1))))</f>
        <v>1624.2419397367998</v>
      </c>
      <c r="AV52" s="6">
        <f>(HLOOKUP('Yearly Pension'!AV$2,'Credited Service'!$G$1:$BC$80,$A52+1,FALSE)) * (IF($B52=500, (Assumptions!$B$7)*12, IF((HLOOKUP(AV$2,Earnings!$G$2:$BC$81,('Yearly Pension'!$A52)+1, FALSE)) &gt; AV$1, (Assumptions!$B$8)*(AV$1) + (Assumptions!$B$9)*MAX(0,  (HLOOKUP(AV$2,Earnings!$G$2:$BC$81,('Yearly Pension'!$A52)+1, FALSE)) - AV$1), ((Assumptions!$B$8)*'Yearly Pension'!AV$1))))</f>
        <v>1679.746797928904</v>
      </c>
      <c r="AW52" s="6">
        <f>(HLOOKUP('Yearly Pension'!AW$2,'Credited Service'!$G$1:$BC$80,$A52+1,FALSE)) * (IF($B52=500, (Assumptions!$B$7)*12, IF((HLOOKUP(AW$2,Earnings!$G$2:$BC$81,('Yearly Pension'!$A52)+1, FALSE)) &gt; AW$1, (Assumptions!$B$8)*(AW$1) + (Assumptions!$B$9)*MAX(0,  (HLOOKUP(AW$2,Earnings!$G$2:$BC$81,('Yearly Pension'!$A52)+1, FALSE)) - AW$1), ((Assumptions!$B$8)*'Yearly Pension'!AW$1))))</f>
        <v>1731.2720018667715</v>
      </c>
      <c r="AX52" s="6">
        <f>(HLOOKUP('Yearly Pension'!AX$2,'Credited Service'!$G$1:$BC$80,$A52+1,FALSE)) * (IF($B52=500, (Assumptions!$B$7)*12, IF((HLOOKUP(AX$2,Earnings!$G$2:$BC$81,('Yearly Pension'!$A52)+1, FALSE)) &gt; AX$1, (Assumptions!$B$8)*(AX$1) + (Assumptions!$B$9)*MAX(0,  (HLOOKUP(AX$2,Earnings!$G$2:$BC$81,('Yearly Pension'!$A52)+1, FALSE)) - AX$1), ((Assumptions!$B$8)*'Yearly Pension'!AX$1))))</f>
        <v>1779.5365619227746</v>
      </c>
      <c r="AY52" s="6">
        <f>(HLOOKUP('Yearly Pension'!AY$2,'Credited Service'!$G$1:$BC$80,$A52+1,FALSE)) * (IF($B52=500, (Assumptions!$B$7)*12, IF((HLOOKUP(AY$2,Earnings!$G$2:$BC$81,('Yearly Pension'!$A52)+1, FALSE)) &gt; AY$1, (Assumptions!$B$8)*(AY$1) + (Assumptions!$B$9)*MAX(0,  (HLOOKUP(AY$2,Earnings!$G$2:$BC$81,('Yearly Pension'!$A52)+1, FALSE)) - AY$1), ((Assumptions!$B$8)*'Yearly Pension'!AY$1))))</f>
        <v>1829.1021147804577</v>
      </c>
      <c r="AZ52" s="6">
        <f>(HLOOKUP('Yearly Pension'!AZ$2,'Credited Service'!$G$1:$BC$80,$A52+1,FALSE)) * (IF($B52=500, (Assumptions!$B$7)*12, IF((HLOOKUP(AZ$2,Earnings!$G$2:$BC$81,('Yearly Pension'!$A52)+1, FALSE)) &gt; AZ$1, (Assumptions!$B$8)*(AZ$1) + (Assumptions!$B$9)*MAX(0,  (HLOOKUP(AZ$2,Earnings!$G$2:$BC$81,('Yearly Pension'!$A52)+1, FALSE)) - AZ$1), ((Assumptions!$B$8)*'Yearly Pension'!AZ$1))))</f>
        <v>1880.0018124638714</v>
      </c>
      <c r="BA52" s="6">
        <f>(HLOOKUP('Yearly Pension'!BA$2,'Credited Service'!$G$1:$BC$80,$A52+1,FALSE)) * (IF($B52=500, (Assumptions!$B$7)*12, IF((HLOOKUP(BA$2,Earnings!$G$2:$BC$81,('Yearly Pension'!$A52)+1, FALSE)) &gt; BA$1, (Assumptions!$B$8)*(BA$1) + (Assumptions!$B$9)*MAX(0,  (HLOOKUP(BA$2,Earnings!$G$2:$BC$81,('Yearly Pension'!$A52)+1, FALSE)) - BA$1), ((Assumptions!$B$8)*'Yearly Pension'!BA$1))))</f>
        <v>1932.2695664473877</v>
      </c>
      <c r="BB52" s="6">
        <f>(HLOOKUP('Yearly Pension'!BB$2,'Credited Service'!$G$1:$BC$80,$A52+1,FALSE)) * (IF($B52=500, (Assumptions!$B$7)*12, IF((HLOOKUP(BB$2,Earnings!$G$2:$BC$81,('Yearly Pension'!$A52)+1, FALSE)) &gt; BB$1, (Assumptions!$B$8)*(BB$1) + (Assumptions!$B$9)*MAX(0,  (HLOOKUP(BB$2,Earnings!$G$2:$BC$81,('Yearly Pension'!$A52)+1, FALSE)) - BB$1), ((Assumptions!$B$8)*'Yearly Pension'!BB$1))))</f>
        <v>1985.9400610347934</v>
      </c>
      <c r="BC52" s="6">
        <f>(HLOOKUP('Yearly Pension'!BC$2,'Credited Service'!$G$1:$BC$80,$A52+1,FALSE)) * (IF($B52=500, (Assumptions!$B$7)*12, IF((HLOOKUP(BC$2,Earnings!$G$2:$BC$81,('Yearly Pension'!$A52)+1, FALSE)) &gt; BC$1, (Assumptions!$B$8)*(BC$1) + (Assumptions!$B$9)*MAX(0,  (HLOOKUP(BC$2,Earnings!$G$2:$BC$81,('Yearly Pension'!$A52)+1, FALSE)) - BC$1), ((Assumptions!$B$8)*'Yearly Pension'!BC$1))))</f>
        <v>2041.0487667635803</v>
      </c>
    </row>
    <row r="53" spans="1:55" x14ac:dyDescent="0.25">
      <c r="A53" s="204">
        <v>51</v>
      </c>
      <c r="B53" s="1">
        <v>600</v>
      </c>
      <c r="C53" s="1">
        <v>685</v>
      </c>
      <c r="D53" s="3">
        <v>34579</v>
      </c>
      <c r="E53" s="3">
        <v>50526</v>
      </c>
      <c r="G53" s="6">
        <f>(HLOOKUP('Yearly Pension'!G$2,'Credited Service'!$G$1:$BC$80,$A53+1,FALSE)) * (IF($B53=500, (Assumptions!$B$7)*12, IF((HLOOKUP(G$2,Earnings!$G$2:$BC$81,('Yearly Pension'!$A53)+1, FALSE)) &gt; G$1, (Assumptions!$B$8)*(G$1) + (Assumptions!$B$9)*MAX(0,  (HLOOKUP(G$2,Earnings!$G$2:$BC$81,('Yearly Pension'!$A53)+1, FALSE)) - G$1), ((Assumptions!$B$8)*'Yearly Pension'!G$1))))</f>
        <v>0</v>
      </c>
      <c r="H53" s="6">
        <f>(HLOOKUP('Yearly Pension'!H$2,'Credited Service'!$G$1:$BC$80,$A53+1,FALSE)) * (IF($B53=500, (Assumptions!$B$7)*12, IF((HLOOKUP(H$2,Earnings!$G$2:$BC$81,('Yearly Pension'!$A53)+1, FALSE)) &gt; H$1, (Assumptions!$B$8)*(H$1) + (Assumptions!$B$9)*MAX(0,  (HLOOKUP(H$2,Earnings!$G$2:$BC$81,('Yearly Pension'!$A53)+1, FALSE)) - H$1), ((Assumptions!$B$8)*'Yearly Pension'!H$1))))</f>
        <v>0</v>
      </c>
      <c r="I53" s="6">
        <f>(HLOOKUP('Yearly Pension'!I$2,'Credited Service'!$G$1:$BC$80,$A53+1,FALSE)) * (IF($B53=500, (Assumptions!$B$7)*12, IF((HLOOKUP(I$2,Earnings!$G$2:$BC$81,('Yearly Pension'!$A53)+1, FALSE)) &gt; I$1, (Assumptions!$B$8)*(I$1) + (Assumptions!$B$9)*MAX(0,  (HLOOKUP(I$2,Earnings!$G$2:$BC$81,('Yearly Pension'!$A53)+1, FALSE)) - I$1), ((Assumptions!$B$8)*'Yearly Pension'!I$1))))</f>
        <v>0</v>
      </c>
      <c r="J53" s="6">
        <f>(HLOOKUP('Yearly Pension'!J$2,'Credited Service'!$G$1:$BC$80,$A53+1,FALSE)) * (IF($B53=500, (Assumptions!$B$7)*12, IF((HLOOKUP(J$2,Earnings!$G$2:$BC$81,('Yearly Pension'!$A53)+1, FALSE)) &gt; J$1, (Assumptions!$B$8)*(J$1) + (Assumptions!$B$9)*MAX(0,  (HLOOKUP(J$2,Earnings!$G$2:$BC$81,('Yearly Pension'!$A53)+1, FALSE)) - J$1), ((Assumptions!$B$8)*'Yearly Pension'!J$1))))</f>
        <v>0</v>
      </c>
      <c r="K53" s="6">
        <f>(HLOOKUP('Yearly Pension'!K$2,'Credited Service'!$G$1:$BC$80,$A53+1,FALSE)) * (IF($B53=500, (Assumptions!$B$7)*12, IF((HLOOKUP(K$2,Earnings!$G$2:$BC$81,('Yearly Pension'!$A53)+1, FALSE)) &gt; K$1, (Assumptions!$B$8)*(K$1) + (Assumptions!$B$9)*MAX(0,  (HLOOKUP(K$2,Earnings!$G$2:$BC$81,('Yearly Pension'!$A53)+1, FALSE)) - K$1), ((Assumptions!$B$8)*'Yearly Pension'!K$1))))</f>
        <v>0</v>
      </c>
      <c r="L53" s="6">
        <f>(HLOOKUP('Yearly Pension'!L$2,'Credited Service'!$G$1:$BC$80,$A53+1,FALSE)) * (IF($B53=500, (Assumptions!$B$7)*12, IF((HLOOKUP(L$2,Earnings!$G$2:$BC$81,('Yearly Pension'!$A53)+1, FALSE)) &gt; L$1, (Assumptions!$B$8)*(L$1) + (Assumptions!$B$9)*MAX(0,  (HLOOKUP(L$2,Earnings!$G$2:$BC$81,('Yearly Pension'!$A53)+1, FALSE)) - L$1), ((Assumptions!$B$8)*'Yearly Pension'!L$1))))</f>
        <v>0</v>
      </c>
      <c r="M53" s="6">
        <f>(HLOOKUP('Yearly Pension'!M$2,'Credited Service'!$G$1:$BC$80,$A53+1,FALSE)) * (IF($B53=500, (Assumptions!$B$7)*12, IF((HLOOKUP(M$2,Earnings!$G$2:$BC$81,('Yearly Pension'!$A53)+1, FALSE)) &gt; M$1, (Assumptions!$B$8)*(M$1) + (Assumptions!$B$9)*MAX(0,  (HLOOKUP(M$2,Earnings!$G$2:$BC$81,('Yearly Pension'!$A53)+1, FALSE)) - M$1), ((Assumptions!$B$8)*'Yearly Pension'!M$1))))</f>
        <v>0</v>
      </c>
      <c r="N53" s="6">
        <f>(HLOOKUP('Yearly Pension'!N$2,'Credited Service'!$G$1:$BC$80,$A53+1,FALSE)) * (IF($B53=500, (Assumptions!$B$7)*12, IF((HLOOKUP(N$2,Earnings!$G$2:$BC$81,('Yearly Pension'!$A53)+1, FALSE)) &gt; N$1, (Assumptions!$B$8)*(N$1) + (Assumptions!$B$9)*MAX(0,  (HLOOKUP(N$2,Earnings!$G$2:$BC$81,('Yearly Pension'!$A53)+1, FALSE)) - N$1), ((Assumptions!$B$8)*'Yearly Pension'!N$1))))</f>
        <v>0</v>
      </c>
      <c r="O53" s="6">
        <f>(HLOOKUP('Yearly Pension'!O$2,'Credited Service'!$G$1:$BC$80,$A53+1,FALSE)) * (IF($B53=500, (Assumptions!$B$7)*12, IF((HLOOKUP(O$2,Earnings!$G$2:$BC$81,('Yearly Pension'!$A53)+1, FALSE)) &gt; O$1, (Assumptions!$B$8)*(O$1) + (Assumptions!$B$9)*MAX(0,  (HLOOKUP(O$2,Earnings!$G$2:$BC$81,('Yearly Pension'!$A53)+1, FALSE)) - O$1), ((Assumptions!$B$8)*'Yearly Pension'!O$1))))</f>
        <v>0</v>
      </c>
      <c r="P53" s="6">
        <f>(HLOOKUP('Yearly Pension'!P$2,'Credited Service'!$G$1:$BC$80,$A53+1,FALSE)) * (IF($B53=500, (Assumptions!$B$7)*12, IF((HLOOKUP(P$2,Earnings!$G$2:$BC$81,('Yearly Pension'!$A53)+1, FALSE)) &gt; P$1, (Assumptions!$B$8)*(P$1) + (Assumptions!$B$9)*MAX(0,  (HLOOKUP(P$2,Earnings!$G$2:$BC$81,('Yearly Pension'!$A53)+1, FALSE)) - P$1), ((Assumptions!$B$8)*'Yearly Pension'!P$1))))</f>
        <v>0</v>
      </c>
      <c r="Q53" s="6">
        <f>(HLOOKUP('Yearly Pension'!Q$2,'Credited Service'!$G$1:$BC$80,$A53+1,FALSE)) * (IF($B53=500, (Assumptions!$B$7)*12, IF((HLOOKUP(Q$2,Earnings!$G$2:$BC$81,('Yearly Pension'!$A53)+1, FALSE)) &gt; Q$1, (Assumptions!$B$8)*(Q$1) + (Assumptions!$B$9)*MAX(0,  (HLOOKUP(Q$2,Earnings!$G$2:$BC$81,('Yearly Pension'!$A53)+1, FALSE)) - Q$1), ((Assumptions!$B$8)*'Yearly Pension'!Q$1))))</f>
        <v>0</v>
      </c>
      <c r="R53" s="6">
        <f>(HLOOKUP('Yearly Pension'!R$2,'Credited Service'!$G$1:$BC$80,$A53+1,FALSE)) * (IF($B53=500, (Assumptions!$B$7)*12, IF((HLOOKUP(R$2,Earnings!$G$2:$BC$81,('Yearly Pension'!$A53)+1, FALSE)) &gt; R$1, (Assumptions!$B$8)*(R$1) + (Assumptions!$B$9)*MAX(0,  (HLOOKUP(R$2,Earnings!$G$2:$BC$81,('Yearly Pension'!$A53)+1, FALSE)) - R$1), ((Assumptions!$B$8)*'Yearly Pension'!R$1))))</f>
        <v>0</v>
      </c>
      <c r="S53" s="6">
        <f>(HLOOKUP('Yearly Pension'!S$2,'Credited Service'!$G$1:$BC$80,$A53+1,FALSE)) * (IF($B53=500, (Assumptions!$B$7)*12, IF((HLOOKUP(S$2,Earnings!$G$2:$BC$81,('Yearly Pension'!$A53)+1, FALSE)) &gt; S$1, (Assumptions!$B$8)*(S$1) + (Assumptions!$B$9)*MAX(0,  (HLOOKUP(S$2,Earnings!$G$2:$BC$81,('Yearly Pension'!$A53)+1, FALSE)) - S$1), ((Assumptions!$B$8)*'Yearly Pension'!S$1))))</f>
        <v>0</v>
      </c>
      <c r="T53" s="6">
        <f>(HLOOKUP('Yearly Pension'!T$2,'Credited Service'!$G$1:$BC$80,$A53+1,FALSE)) * (IF($B53=500, (Assumptions!$B$7)*12, IF((HLOOKUP(T$2,Earnings!$G$2:$BC$81,('Yearly Pension'!$A53)+1, FALSE)) &gt; T$1, (Assumptions!$B$8)*(T$1) + (Assumptions!$B$9)*MAX(0,  (HLOOKUP(T$2,Earnings!$G$2:$BC$81,('Yearly Pension'!$A53)+1, FALSE)) - T$1), ((Assumptions!$B$8)*'Yearly Pension'!T$1))))</f>
        <v>0</v>
      </c>
      <c r="U53" s="6">
        <f>(HLOOKUP('Yearly Pension'!U$2,'Credited Service'!$G$1:$BC$80,$A53+1,FALSE)) * (IF($B53=500, (Assumptions!$B$7)*12, IF((HLOOKUP(U$2,Earnings!$G$2:$BC$81,('Yearly Pension'!$A53)+1, FALSE)) &gt; U$1, (Assumptions!$B$8)*(U$1) + (Assumptions!$B$9)*MAX(0,  (HLOOKUP(U$2,Earnings!$G$2:$BC$81,('Yearly Pension'!$A53)+1, FALSE)) - U$1), ((Assumptions!$B$8)*'Yearly Pension'!U$1))))</f>
        <v>0</v>
      </c>
      <c r="V53" s="6">
        <f>(HLOOKUP('Yearly Pension'!V$2,'Credited Service'!$G$1:$BC$80,$A53+1,FALSE)) * (IF($B53=500, (Assumptions!$B$7)*12, IF((HLOOKUP(V$2,Earnings!$G$2:$BC$81,('Yearly Pension'!$A53)+1, FALSE)) &gt; V$1, (Assumptions!$B$8)*(V$1) + (Assumptions!$B$9)*MAX(0,  (HLOOKUP(V$2,Earnings!$G$2:$BC$81,('Yearly Pension'!$A53)+1, FALSE)) - V$1), ((Assumptions!$B$8)*'Yearly Pension'!V$1))))</f>
        <v>0</v>
      </c>
      <c r="W53" s="6">
        <f>(HLOOKUP('Yearly Pension'!W$2,'Credited Service'!$G$1:$BC$80,$A53+1,FALSE)) * (IF($B53=500, (Assumptions!$B$7)*12, IF((HLOOKUP(W$2,Earnings!$G$2:$BC$81,('Yearly Pension'!$A53)+1, FALSE)) &gt; W$1, (Assumptions!$B$8)*(W$1) + (Assumptions!$B$9)*MAX(0,  (HLOOKUP(W$2,Earnings!$G$2:$BC$81,('Yearly Pension'!$A53)+1, FALSE)) - W$1), ((Assumptions!$B$8)*'Yearly Pension'!W$1))))</f>
        <v>0</v>
      </c>
      <c r="X53" s="6">
        <f>(HLOOKUP('Yearly Pension'!X$2,'Credited Service'!$G$1:$BC$80,$A53+1,FALSE)) * (IF($B53=500, (Assumptions!$B$7)*12, IF((HLOOKUP(X$2,Earnings!$G$2:$BC$81,('Yearly Pension'!$A53)+1, FALSE)) &gt; X$1, (Assumptions!$B$8)*(X$1) + (Assumptions!$B$9)*MAX(0,  (HLOOKUP(X$2,Earnings!$G$2:$BC$81,('Yearly Pension'!$A53)+1, FALSE)) - X$1), ((Assumptions!$B$8)*'Yearly Pension'!X$1))))</f>
        <v>204.52176670280005</v>
      </c>
      <c r="Y53" s="6">
        <f>(HLOOKUP('Yearly Pension'!Y$2,'Credited Service'!$G$1:$BC$80,$A53+1,FALSE)) * (IF($B53=500, (Assumptions!$B$7)*12, IF((HLOOKUP(Y$2,Earnings!$G$2:$BC$81,('Yearly Pension'!$A53)+1, FALSE)) &gt; Y$1, (Assumptions!$B$8)*(Y$1) + (Assumptions!$B$9)*MAX(0,  (HLOOKUP(Y$2,Earnings!$G$2:$BC$81,('Yearly Pension'!$A53)+1, FALSE)) - Y$1), ((Assumptions!$B$8)*'Yearly Pension'!Y$1))))</f>
        <v>643.71431211273625</v>
      </c>
      <c r="Z53" s="6">
        <f>(HLOOKUP('Yearly Pension'!Z$2,'Credited Service'!$G$1:$BC$80,$A53+1,FALSE)) * (IF($B53=500, (Assumptions!$B$7)*12, IF((HLOOKUP(Z$2,Earnings!$G$2:$BC$81,('Yearly Pension'!$A53)+1, FALSE)) &gt; Z$1, (Assumptions!$B$8)*(Z$1) + (Assumptions!$B$9)*MAX(0,  (HLOOKUP(Z$2,Earnings!$G$2:$BC$81,('Yearly Pension'!$A53)+1, FALSE)) - Z$1), ((Assumptions!$B$8)*'Yearly Pension'!Z$1))))</f>
        <v>675.1972845972457</v>
      </c>
      <c r="AA53" s="6">
        <f>(HLOOKUP('Yearly Pension'!AA$2,'Credited Service'!$G$1:$BC$80,$A53+1,FALSE)) * (IF($B53=500, (Assumptions!$B$7)*12, IF((HLOOKUP(AA$2,Earnings!$G$2:$BC$81,('Yearly Pension'!$A53)+1, FALSE)) &gt; AA$1, (Assumptions!$B$8)*(AA$1) + (Assumptions!$B$9)*MAX(0,  (HLOOKUP(AA$2,Earnings!$G$2:$BC$81,('Yearly Pension'!$A53)+1, FALSE)) - AA$1), ((Assumptions!$B$8)*'Yearly Pension'!AA$1))))</f>
        <v>708.70757598113562</v>
      </c>
      <c r="AB53" s="6">
        <f>(HLOOKUP('Yearly Pension'!AB$2,'Credited Service'!$G$1:$BC$80,$A53+1,FALSE)) * (IF($B53=500, (Assumptions!$B$7)*12, IF((HLOOKUP(AB$2,Earnings!$G$2:$BC$81,('Yearly Pension'!$A53)+1, FALSE)) &gt; AB$1, (Assumptions!$B$8)*(AB$1) + (Assumptions!$B$9)*MAX(0,  (HLOOKUP(AB$2,Earnings!$G$2:$BC$81,('Yearly Pension'!$A53)+1, FALSE)) - AB$1), ((Assumptions!$B$8)*'Yearly Pension'!AB$1))))</f>
        <v>739.18067902038104</v>
      </c>
      <c r="AC53" s="6">
        <f>(HLOOKUP('Yearly Pension'!AC$2,'Credited Service'!$G$1:$BC$80,$A53+1,FALSE)) * (IF($B53=500, (Assumptions!$B$7)*12, IF((HLOOKUP(AC$2,Earnings!$G$2:$BC$81,('Yearly Pension'!$A53)+1, FALSE)) &gt; AC$1, (Assumptions!$B$8)*(AC$1) + (Assumptions!$B$9)*MAX(0,  (HLOOKUP(AC$2,Earnings!$G$2:$BC$81,('Yearly Pension'!$A53)+1, FALSE)) - AC$1), ((Assumptions!$B$8)*'Yearly Pension'!AC$1))))</f>
        <v>774.99430618119629</v>
      </c>
      <c r="AD53" s="6">
        <f>(HLOOKUP('Yearly Pension'!AD$2,'Credited Service'!$G$1:$BC$80,$A53+1,FALSE)) * (IF($B53=500, (Assumptions!$B$7)*12, IF((HLOOKUP(AD$2,Earnings!$G$2:$BC$81,('Yearly Pension'!$A53)+1, FALSE)) &gt; AD$1, (Assumptions!$B$8)*(AD$1) + (Assumptions!$B$9)*MAX(0,  (HLOOKUP(AD$2,Earnings!$G$2:$BC$81,('Yearly Pension'!$A53)+1, FALSE)) - AD$1), ((Assumptions!$B$8)*'Yearly Pension'!AD$1))))</f>
        <v>814.28847842844425</v>
      </c>
      <c r="AE53" s="6">
        <f>(HLOOKUP('Yearly Pension'!AE$2,'Credited Service'!$G$1:$BC$80,$A53+1,FALSE)) * (IF($B53=500, (Assumptions!$B$7)*12, IF((HLOOKUP(AE$2,Earnings!$G$2:$BC$81,('Yearly Pension'!$A53)+1, FALSE)) &gt; AE$1, (Assumptions!$B$8)*(AE$1) + (Assumptions!$B$9)*MAX(0,  (HLOOKUP(AE$2,Earnings!$G$2:$BC$81,('Yearly Pension'!$A53)+1, FALSE)) - AE$1), ((Assumptions!$B$8)*'Yearly Pension'!AE$1))))</f>
        <v>852.00561756558204</v>
      </c>
      <c r="AF53" s="6">
        <f>(HLOOKUP('Yearly Pension'!AF$2,'Credited Service'!$G$1:$BC$80,$A53+1,FALSE)) * (IF($B53=500, (Assumptions!$B$7)*12, IF((HLOOKUP(AF$2,Earnings!$G$2:$BC$81,('Yearly Pension'!$A53)+1, FALSE)) &gt; AF$1, (Assumptions!$B$8)*(AF$1) + (Assumptions!$B$9)*MAX(0,  (HLOOKUP(AF$2,Earnings!$G$2:$BC$81,('Yearly Pension'!$A53)+1, FALSE)) - AF$1), ((Assumptions!$B$8)*'Yearly Pension'!AF$1))))</f>
        <v>890.77064226820539</v>
      </c>
      <c r="AG53" s="6">
        <f>(HLOOKUP('Yearly Pension'!AG$2,'Credited Service'!$G$1:$BC$80,$A53+1,FALSE)) * (IF($B53=500, (Assumptions!$B$7)*12, IF((HLOOKUP(AG$2,Earnings!$G$2:$BC$81,('Yearly Pension'!$A53)+1, FALSE)) &gt; AG$1, (Assumptions!$B$8)*(AG$1) + (Assumptions!$B$9)*MAX(0,  (HLOOKUP(AG$2,Earnings!$G$2:$BC$81,('Yearly Pension'!$A53)+1, FALSE)) - AG$1), ((Assumptions!$B$8)*'Yearly Pension'!AG$1))))</f>
        <v>931.2910679589337</v>
      </c>
      <c r="AH53" s="6">
        <f>(HLOOKUP('Yearly Pension'!AH$2,'Credited Service'!$G$1:$BC$80,$A53+1,FALSE)) * (IF($B53=500, (Assumptions!$B$7)*12, IF((HLOOKUP(AH$2,Earnings!$G$2:$BC$81,('Yearly Pension'!$A53)+1, FALSE)) &gt; AH$1, (Assumptions!$B$8)*(AH$1) + (Assumptions!$B$9)*MAX(0,  (HLOOKUP(AH$2,Earnings!$G$2:$BC$81,('Yearly Pension'!$A53)+1, FALSE)) - AH$1), ((Assumptions!$B$8)*'Yearly Pension'!AH$1))))</f>
        <v>974.91711067729102</v>
      </c>
      <c r="AI53" s="6">
        <f>(HLOOKUP('Yearly Pension'!AI$2,'Credited Service'!$G$1:$BC$80,$A53+1,FALSE)) * (IF($B53=500, (Assumptions!$B$7)*12, IF((HLOOKUP(AI$2,Earnings!$G$2:$BC$81,('Yearly Pension'!$A53)+1, FALSE)) &gt; AI$1, (Assumptions!$B$8)*(AI$1) + (Assumptions!$B$9)*MAX(0,  (HLOOKUP(AI$2,Earnings!$G$2:$BC$81,('Yearly Pension'!$A53)+1, FALSE)) - AI$1), ((Assumptions!$B$8)*'Yearly Pension'!AI$1))))</f>
        <v>1020.4417951043827</v>
      </c>
      <c r="AJ53" s="6">
        <f>(HLOOKUP('Yearly Pension'!AJ$2,'Credited Service'!$G$1:$BC$80,$A53+1,FALSE)) * (IF($B53=500, (Assumptions!$B$7)*12, IF((HLOOKUP(AJ$2,Earnings!$G$2:$BC$81,('Yearly Pension'!$A53)+1, FALSE)) &gt; AJ$1, (Assumptions!$B$8)*(AJ$1) + (Assumptions!$B$9)*MAX(0,  (HLOOKUP(AJ$2,Earnings!$G$2:$BC$81,('Yearly Pension'!$A53)+1, FALSE)) - AJ$1), ((Assumptions!$B$8)*'Yearly Pension'!AJ$1))))</f>
        <v>1065.3810669085581</v>
      </c>
      <c r="AK53" s="6">
        <f>(HLOOKUP('Yearly Pension'!AK$2,'Credited Service'!$G$1:$BC$80,$A53+1,FALSE)) * (IF($B53=500, (Assumptions!$B$7)*12, IF((HLOOKUP(AK$2,Earnings!$G$2:$BC$81,('Yearly Pension'!$A53)+1, FALSE)) &gt; AK$1, (Assumptions!$B$8)*(AK$1) + (Assumptions!$B$9)*MAX(0,  (HLOOKUP(AK$2,Earnings!$G$2:$BC$81,('Yearly Pension'!$A53)+1, FALSE)) - AK$1), ((Assumptions!$B$8)*'Yearly Pension'!AK$1))))</f>
        <v>1108.5339095849004</v>
      </c>
      <c r="AL53" s="6">
        <f>(HLOOKUP('Yearly Pension'!AL$2,'Credited Service'!$G$1:$BC$80,$A53+1,FALSE)) * (IF($B53=500, (Assumptions!$B$7)*12, IF((HLOOKUP(AL$2,Earnings!$G$2:$BC$81,('Yearly Pension'!$A53)+1, FALSE)) &gt; AL$1, (Assumptions!$B$8)*(AL$1) + (Assumptions!$B$9)*MAX(0,  (HLOOKUP(AL$2,Earnings!$G$2:$BC$81,('Yearly Pension'!$A53)+1, FALSE)) - AL$1), ((Assumptions!$B$8)*'Yearly Pension'!AL$1))))</f>
        <v>1156.3824659682969</v>
      </c>
      <c r="AM53" s="6">
        <f>(HLOOKUP('Yearly Pension'!AM$2,'Credited Service'!$G$1:$BC$80,$A53+1,FALSE)) * (IF($B53=500, (Assumptions!$B$7)*12, IF((HLOOKUP(AM$2,Earnings!$G$2:$BC$81,('Yearly Pension'!$A53)+1, FALSE)) &gt; AM$1, (Assumptions!$B$8)*(AM$1) + (Assumptions!$B$9)*MAX(0,  (HLOOKUP(AM$2,Earnings!$G$2:$BC$81,('Yearly Pension'!$A53)+1, FALSE)) - AM$1), ((Assumptions!$B$8)*'Yearly Pension'!AM$1))))</f>
        <v>1205.1721646070287</v>
      </c>
      <c r="AN53" s="6">
        <f>(HLOOKUP('Yearly Pension'!AN$2,'Credited Service'!$G$1:$BC$80,$A53+1,FALSE)) * (IF($B53=500, (Assumptions!$B$7)*12, IF((HLOOKUP(AN$2,Earnings!$G$2:$BC$81,('Yearly Pension'!$A53)+1, FALSE)) &gt; AN$1, (Assumptions!$B$8)*(AN$1) + (Assumptions!$B$9)*MAX(0,  (HLOOKUP(AN$2,Earnings!$G$2:$BC$81,('Yearly Pension'!$A53)+1, FALSE)) - AN$1), ((Assumptions!$B$8)*'Yearly Pension'!AN$1))))</f>
        <v>1259.4718511913097</v>
      </c>
      <c r="AO53" s="6">
        <f>(HLOOKUP('Yearly Pension'!AO$2,'Credited Service'!$G$1:$BC$80,$A53+1,FALSE)) * (IF($B53=500, (Assumptions!$B$7)*12, IF((HLOOKUP(AO$2,Earnings!$G$2:$BC$81,('Yearly Pension'!$A53)+1, FALSE)) &gt; AO$1, (Assumptions!$B$8)*(AO$1) + (Assumptions!$B$9)*MAX(0,  (HLOOKUP(AO$2,Earnings!$G$2:$BC$81,('Yearly Pension'!$A53)+1, FALSE)) - AO$1), ((Assumptions!$B$8)*'Yearly Pension'!AO$1))))</f>
        <v>1314.8939252389621</v>
      </c>
      <c r="AP53" s="6">
        <f>(HLOOKUP('Yearly Pension'!AP$2,'Credited Service'!$G$1:$BC$80,$A53+1,FALSE)) * (IF($B53=500, (Assumptions!$B$7)*12, IF((HLOOKUP(AP$2,Earnings!$G$2:$BC$81,('Yearly Pension'!$A53)+1, FALSE)) &gt; AP$1, (Assumptions!$B$8)*(AP$1) + (Assumptions!$B$9)*MAX(0,  (HLOOKUP(AP$2,Earnings!$G$2:$BC$81,('Yearly Pension'!$A53)+1, FALSE)) - AP$1), ((Assumptions!$B$8)*'Yearly Pension'!AP$1))))</f>
        <v>1368.3344822485205</v>
      </c>
      <c r="AQ53" s="6">
        <f>(HLOOKUP('Yearly Pension'!AQ$2,'Credited Service'!$G$1:$BC$80,$A53+1,FALSE)) * (IF($B53=500, (Assumptions!$B$7)*12, IF((HLOOKUP(AQ$2,Earnings!$G$2:$BC$81,('Yearly Pension'!$A53)+1, FALSE)) &gt; AQ$1, (Assumptions!$B$8)*(AQ$1) + (Assumptions!$B$9)*MAX(0,  (HLOOKUP(AQ$2,Earnings!$G$2:$BC$81,('Yearly Pension'!$A53)+1, FALSE)) - AQ$1), ((Assumptions!$B$8)*'Yearly Pension'!AQ$1))))</f>
        <v>1429.4934615384614</v>
      </c>
      <c r="AR53" s="6">
        <f>(HLOOKUP('Yearly Pension'!AR$2,'Credited Service'!$G$1:$BC$80,$A53+1,FALSE)) * (IF($B53=500, (Assumptions!$B$7)*12, IF((HLOOKUP(AR$2,Earnings!$G$2:$BC$81,('Yearly Pension'!$A53)+1, FALSE)) &gt; AR$1, (Assumptions!$B$8)*(AR$1) + (Assumptions!$B$9)*MAX(0,  (HLOOKUP(AR$2,Earnings!$G$2:$BC$81,('Yearly Pension'!$A53)+1, FALSE)) - AR$1), ((Assumptions!$B$8)*'Yearly Pension'!AR$1))))</f>
        <v>1490.7948000000001</v>
      </c>
      <c r="AS53" s="6">
        <f>(HLOOKUP('Yearly Pension'!AS$2,'Credited Service'!$G$1:$BC$80,$A53+1,FALSE)) * (IF($B53=500, (Assumptions!$B$7)*12, IF((HLOOKUP(AS$2,Earnings!$G$2:$BC$81,('Yearly Pension'!$A53)+1, FALSE)) &gt; AS$1, (Assumptions!$B$8)*(AS$1) + (Assumptions!$B$9)*MAX(0,  (HLOOKUP(AS$2,Earnings!$G$2:$BC$81,('Yearly Pension'!$A53)+1, FALSE)) - AS$1), ((Assumptions!$B$8)*'Yearly Pension'!AS$1))))</f>
        <v>1538.5586440000002</v>
      </c>
      <c r="AT53" s="6">
        <f>(HLOOKUP('Yearly Pension'!AT$2,'Credited Service'!$G$1:$BC$80,$A53+1,FALSE)) * (IF($B53=500, (Assumptions!$B$7)*12, IF((HLOOKUP(AT$2,Earnings!$G$2:$BC$81,('Yearly Pension'!$A53)+1, FALSE)) &gt; AT$1, (Assumptions!$B$8)*(AT$1) + (Assumptions!$B$9)*MAX(0,  (HLOOKUP(AT$2,Earnings!$G$2:$BC$81,('Yearly Pension'!$A53)+1, FALSE)) - AT$1), ((Assumptions!$B$8)*'Yearly Pension'!AT$1))))</f>
        <v>1586.6866033200004</v>
      </c>
      <c r="AU53" s="6">
        <f>(HLOOKUP('Yearly Pension'!AU$2,'Credited Service'!$G$1:$BC$80,$A53+1,FALSE)) * (IF($B53=500, (Assumptions!$B$7)*12, IF((HLOOKUP(AU$2,Earnings!$G$2:$BC$81,('Yearly Pension'!$A53)+1, FALSE)) &gt; AU$1, (Assumptions!$B$8)*(AU$1) + (Assumptions!$B$9)*MAX(0,  (HLOOKUP(AU$2,Earnings!$G$2:$BC$81,('Yearly Pension'!$A53)+1, FALSE)) - AU$1), ((Assumptions!$B$8)*'Yearly Pension'!AU$1))))</f>
        <v>1642.2680014196003</v>
      </c>
      <c r="AV53" s="6">
        <f>(HLOOKUP('Yearly Pension'!AV$2,'Credited Service'!$G$1:$BC$80,$A53+1,FALSE)) * (IF($B53=500, (Assumptions!$B$7)*12, IF((HLOOKUP(AV$2,Earnings!$G$2:$BC$81,('Yearly Pension'!$A53)+1, FALSE)) &gt; AV$1, (Assumptions!$B$8)*(AV$1) + (Assumptions!$B$9)*MAX(0,  (HLOOKUP(AV$2,Earnings!$G$2:$BC$81,('Yearly Pension'!$A53)+1, FALSE)) - AV$1), ((Assumptions!$B$8)*'Yearly Pension'!AV$1))))</f>
        <v>1698.3136414621886</v>
      </c>
      <c r="AW53" s="6">
        <f>(HLOOKUP('Yearly Pension'!AW$2,'Credited Service'!$G$1:$BC$80,$A53+1,FALSE)) * (IF($B53=500, (Assumptions!$B$7)*12, IF((HLOOKUP(AW$2,Earnings!$G$2:$BC$81,('Yearly Pension'!$A53)+1, FALSE)) &gt; AW$1, (Assumptions!$B$8)*(AW$1) + (Assumptions!$B$9)*MAX(0,  (HLOOKUP(AW$2,Earnings!$G$2:$BC$81,('Yearly Pension'!$A53)+1, FALSE)) - AW$1), ((Assumptions!$B$8)*'Yearly Pension'!AW$1))))</f>
        <v>1750.3958507060543</v>
      </c>
      <c r="AX53" s="6">
        <f>(HLOOKUP('Yearly Pension'!AX$2,'Credited Service'!$G$1:$BC$80,$A53+1,FALSE)) * (IF($B53=500, (Assumptions!$B$7)*12, IF((HLOOKUP(AX$2,Earnings!$G$2:$BC$81,('Yearly Pension'!$A53)+1, FALSE)) &gt; AX$1, (Assumptions!$B$8)*(AX$1) + (Assumptions!$B$9)*MAX(0,  (HLOOKUP(AX$2,Earnings!$G$2:$BC$81,('Yearly Pension'!$A53)+1, FALSE)) - AX$1), ((Assumptions!$B$8)*'Yearly Pension'!AX$1))))</f>
        <v>1799.2341262272357</v>
      </c>
      <c r="AY53" s="6">
        <f>(HLOOKUP('Yearly Pension'!AY$2,'Credited Service'!$G$1:$BC$80,$A53+1,FALSE)) * (IF($B53=500, (Assumptions!$B$7)*12, IF((HLOOKUP(AY$2,Earnings!$G$2:$BC$81,('Yearly Pension'!$A53)+1, FALSE)) &gt; AY$1, (Assumptions!$B$8)*(AY$1) + (Assumptions!$B$9)*MAX(0,  (HLOOKUP(AY$2,Earnings!$G$2:$BC$81,('Yearly Pension'!$A53)+1, FALSE)) - AY$1), ((Assumptions!$B$8)*'Yearly Pension'!AY$1))))</f>
        <v>1849.390606014053</v>
      </c>
      <c r="AZ53" s="6">
        <f>(HLOOKUP('Yearly Pension'!AZ$2,'Credited Service'!$G$1:$BC$80,$A53+1,FALSE)) * (IF($B53=500, (Assumptions!$B$7)*12, IF((HLOOKUP(AZ$2,Earnings!$G$2:$BC$81,('Yearly Pension'!$A53)+1, FALSE)) &gt; AZ$1, (Assumptions!$B$8)*(AZ$1) + (Assumptions!$B$9)*MAX(0,  (HLOOKUP(AZ$2,Earnings!$G$2:$BC$81,('Yearly Pension'!$A53)+1, FALSE)) - AZ$1), ((Assumptions!$B$8)*'Yearly Pension'!AZ$1))))</f>
        <v>1900.8989584344749</v>
      </c>
      <c r="BA53" s="6">
        <f>(HLOOKUP('Yearly Pension'!BA$2,'Credited Service'!$G$1:$BC$80,$A53+1,FALSE)) * (IF($B53=500, (Assumptions!$B$7)*12, IF((HLOOKUP(BA$2,Earnings!$G$2:$BC$81,('Yearly Pension'!$A53)+1, FALSE)) &gt; BA$1, (Assumptions!$B$8)*(BA$1) + (Assumptions!$B$9)*MAX(0,  (HLOOKUP(BA$2,Earnings!$G$2:$BC$81,('Yearly Pension'!$A53)+1, FALSE)) - BA$1), ((Assumptions!$B$8)*'Yearly Pension'!BA$1))))</f>
        <v>1953.793626797109</v>
      </c>
      <c r="BB53" s="6">
        <f>(HLOOKUP('Yearly Pension'!BB$2,'Credited Service'!$G$1:$BC$80,$A53+1,FALSE)) * (IF($B53=500, (Assumptions!$B$7)*12, IF((HLOOKUP(BB$2,Earnings!$G$2:$BC$81,('Yearly Pension'!$A53)+1, FALSE)) &gt; BB$1, (Assumptions!$B$8)*(BB$1) + (Assumptions!$B$9)*MAX(0,  (HLOOKUP(BB$2,Earnings!$G$2:$BC$81,('Yearly Pension'!$A53)+1, FALSE)) - BB$1), ((Assumptions!$B$8)*'Yearly Pension'!BB$1))))</f>
        <v>2008.1098431950063</v>
      </c>
      <c r="BC53" s="6">
        <f>(HLOOKUP('Yearly Pension'!BC$2,'Credited Service'!$G$1:$BC$80,$A53+1,FALSE)) * (IF($B53=500, (Assumptions!$B$7)*12, IF((HLOOKUP(BC$2,Earnings!$G$2:$BC$81,('Yearly Pension'!$A53)+1, FALSE)) &gt; BC$1, (Assumptions!$B$8)*(BC$1) + (Assumptions!$B$9)*MAX(0,  (HLOOKUP(BC$2,Earnings!$G$2:$BC$81,('Yearly Pension'!$A53)+1, FALSE)) - BC$1), ((Assumptions!$B$8)*'Yearly Pension'!BC$1))))</f>
        <v>2063.8836423885996</v>
      </c>
    </row>
    <row r="54" spans="1:55" x14ac:dyDescent="0.25">
      <c r="A54" s="204">
        <v>52</v>
      </c>
      <c r="B54" s="1">
        <v>600</v>
      </c>
      <c r="C54" s="1">
        <v>684</v>
      </c>
      <c r="D54" s="3">
        <v>34575</v>
      </c>
      <c r="E54" s="3">
        <v>47727</v>
      </c>
      <c r="G54" s="6">
        <f>(HLOOKUP('Yearly Pension'!G$2,'Credited Service'!$G$1:$BC$80,$A54+1,FALSE)) * (IF($B54=500, (Assumptions!$B$7)*12, IF((HLOOKUP(G$2,Earnings!$G$2:$BC$81,('Yearly Pension'!$A54)+1, FALSE)) &gt; G$1, (Assumptions!$B$8)*(G$1) + (Assumptions!$B$9)*MAX(0,  (HLOOKUP(G$2,Earnings!$G$2:$BC$81,('Yearly Pension'!$A54)+1, FALSE)) - G$1), ((Assumptions!$B$8)*'Yearly Pension'!G$1))))</f>
        <v>0</v>
      </c>
      <c r="H54" s="6">
        <f>(HLOOKUP('Yearly Pension'!H$2,'Credited Service'!$G$1:$BC$80,$A54+1,FALSE)) * (IF($B54=500, (Assumptions!$B$7)*12, IF((HLOOKUP(H$2,Earnings!$G$2:$BC$81,('Yearly Pension'!$A54)+1, FALSE)) &gt; H$1, (Assumptions!$B$8)*(H$1) + (Assumptions!$B$9)*MAX(0,  (HLOOKUP(H$2,Earnings!$G$2:$BC$81,('Yearly Pension'!$A54)+1, FALSE)) - H$1), ((Assumptions!$B$8)*'Yearly Pension'!H$1))))</f>
        <v>0</v>
      </c>
      <c r="I54" s="6">
        <f>(HLOOKUP('Yearly Pension'!I$2,'Credited Service'!$G$1:$BC$80,$A54+1,FALSE)) * (IF($B54=500, (Assumptions!$B$7)*12, IF((HLOOKUP(I$2,Earnings!$G$2:$BC$81,('Yearly Pension'!$A54)+1, FALSE)) &gt; I$1, (Assumptions!$B$8)*(I$1) + (Assumptions!$B$9)*MAX(0,  (HLOOKUP(I$2,Earnings!$G$2:$BC$81,('Yearly Pension'!$A54)+1, FALSE)) - I$1), ((Assumptions!$B$8)*'Yearly Pension'!I$1))))</f>
        <v>0</v>
      </c>
      <c r="J54" s="6">
        <f>(HLOOKUP('Yearly Pension'!J$2,'Credited Service'!$G$1:$BC$80,$A54+1,FALSE)) * (IF($B54=500, (Assumptions!$B$7)*12, IF((HLOOKUP(J$2,Earnings!$G$2:$BC$81,('Yearly Pension'!$A54)+1, FALSE)) &gt; J$1, (Assumptions!$B$8)*(J$1) + (Assumptions!$B$9)*MAX(0,  (HLOOKUP(J$2,Earnings!$G$2:$BC$81,('Yearly Pension'!$A54)+1, FALSE)) - J$1), ((Assumptions!$B$8)*'Yearly Pension'!J$1))))</f>
        <v>0</v>
      </c>
      <c r="K54" s="6">
        <f>(HLOOKUP('Yearly Pension'!K$2,'Credited Service'!$G$1:$BC$80,$A54+1,FALSE)) * (IF($B54=500, (Assumptions!$B$7)*12, IF((HLOOKUP(K$2,Earnings!$G$2:$BC$81,('Yearly Pension'!$A54)+1, FALSE)) &gt; K$1, (Assumptions!$B$8)*(K$1) + (Assumptions!$B$9)*MAX(0,  (HLOOKUP(K$2,Earnings!$G$2:$BC$81,('Yearly Pension'!$A54)+1, FALSE)) - K$1), ((Assumptions!$B$8)*'Yearly Pension'!K$1))))</f>
        <v>0</v>
      </c>
      <c r="L54" s="6">
        <f>(HLOOKUP('Yearly Pension'!L$2,'Credited Service'!$G$1:$BC$80,$A54+1,FALSE)) * (IF($B54=500, (Assumptions!$B$7)*12, IF((HLOOKUP(L$2,Earnings!$G$2:$BC$81,('Yearly Pension'!$A54)+1, FALSE)) &gt; L$1, (Assumptions!$B$8)*(L$1) + (Assumptions!$B$9)*MAX(0,  (HLOOKUP(L$2,Earnings!$G$2:$BC$81,('Yearly Pension'!$A54)+1, FALSE)) - L$1), ((Assumptions!$B$8)*'Yearly Pension'!L$1))))</f>
        <v>0</v>
      </c>
      <c r="M54" s="6">
        <f>(HLOOKUP('Yearly Pension'!M$2,'Credited Service'!$G$1:$BC$80,$A54+1,FALSE)) * (IF($B54=500, (Assumptions!$B$7)*12, IF((HLOOKUP(M$2,Earnings!$G$2:$BC$81,('Yearly Pension'!$A54)+1, FALSE)) &gt; M$1, (Assumptions!$B$8)*(M$1) + (Assumptions!$B$9)*MAX(0,  (HLOOKUP(M$2,Earnings!$G$2:$BC$81,('Yearly Pension'!$A54)+1, FALSE)) - M$1), ((Assumptions!$B$8)*'Yearly Pension'!M$1))))</f>
        <v>0</v>
      </c>
      <c r="N54" s="6">
        <f>(HLOOKUP('Yearly Pension'!N$2,'Credited Service'!$G$1:$BC$80,$A54+1,FALSE)) * (IF($B54=500, (Assumptions!$B$7)*12, IF((HLOOKUP(N$2,Earnings!$G$2:$BC$81,('Yearly Pension'!$A54)+1, FALSE)) &gt; N$1, (Assumptions!$B$8)*(N$1) + (Assumptions!$B$9)*MAX(0,  (HLOOKUP(N$2,Earnings!$G$2:$BC$81,('Yearly Pension'!$A54)+1, FALSE)) - N$1), ((Assumptions!$B$8)*'Yearly Pension'!N$1))))</f>
        <v>0</v>
      </c>
      <c r="O54" s="6">
        <f>(HLOOKUP('Yearly Pension'!O$2,'Credited Service'!$G$1:$BC$80,$A54+1,FALSE)) * (IF($B54=500, (Assumptions!$B$7)*12, IF((HLOOKUP(O$2,Earnings!$G$2:$BC$81,('Yearly Pension'!$A54)+1, FALSE)) &gt; O$1, (Assumptions!$B$8)*(O$1) + (Assumptions!$B$9)*MAX(0,  (HLOOKUP(O$2,Earnings!$G$2:$BC$81,('Yearly Pension'!$A54)+1, FALSE)) - O$1), ((Assumptions!$B$8)*'Yearly Pension'!O$1))))</f>
        <v>0</v>
      </c>
      <c r="P54" s="6">
        <f>(HLOOKUP('Yearly Pension'!P$2,'Credited Service'!$G$1:$BC$80,$A54+1,FALSE)) * (IF($B54=500, (Assumptions!$B$7)*12, IF((HLOOKUP(P$2,Earnings!$G$2:$BC$81,('Yearly Pension'!$A54)+1, FALSE)) &gt; P$1, (Assumptions!$B$8)*(P$1) + (Assumptions!$B$9)*MAX(0,  (HLOOKUP(P$2,Earnings!$G$2:$BC$81,('Yearly Pension'!$A54)+1, FALSE)) - P$1), ((Assumptions!$B$8)*'Yearly Pension'!P$1))))</f>
        <v>0</v>
      </c>
      <c r="Q54" s="6">
        <f>(HLOOKUP('Yearly Pension'!Q$2,'Credited Service'!$G$1:$BC$80,$A54+1,FALSE)) * (IF($B54=500, (Assumptions!$B$7)*12, IF((HLOOKUP(Q$2,Earnings!$G$2:$BC$81,('Yearly Pension'!$A54)+1, FALSE)) &gt; Q$1, (Assumptions!$B$8)*(Q$1) + (Assumptions!$B$9)*MAX(0,  (HLOOKUP(Q$2,Earnings!$G$2:$BC$81,('Yearly Pension'!$A54)+1, FALSE)) - Q$1), ((Assumptions!$B$8)*'Yearly Pension'!Q$1))))</f>
        <v>0</v>
      </c>
      <c r="R54" s="6">
        <f>(HLOOKUP('Yearly Pension'!R$2,'Credited Service'!$G$1:$BC$80,$A54+1,FALSE)) * (IF($B54=500, (Assumptions!$B$7)*12, IF((HLOOKUP(R$2,Earnings!$G$2:$BC$81,('Yearly Pension'!$A54)+1, FALSE)) &gt; R$1, (Assumptions!$B$8)*(R$1) + (Assumptions!$B$9)*MAX(0,  (HLOOKUP(R$2,Earnings!$G$2:$BC$81,('Yearly Pension'!$A54)+1, FALSE)) - R$1), ((Assumptions!$B$8)*'Yearly Pension'!R$1))))</f>
        <v>0</v>
      </c>
      <c r="S54" s="6">
        <f>(HLOOKUP('Yearly Pension'!S$2,'Credited Service'!$G$1:$BC$80,$A54+1,FALSE)) * (IF($B54=500, (Assumptions!$B$7)*12, IF((HLOOKUP(S$2,Earnings!$G$2:$BC$81,('Yearly Pension'!$A54)+1, FALSE)) &gt; S$1, (Assumptions!$B$8)*(S$1) + (Assumptions!$B$9)*MAX(0,  (HLOOKUP(S$2,Earnings!$G$2:$BC$81,('Yearly Pension'!$A54)+1, FALSE)) - S$1), ((Assumptions!$B$8)*'Yearly Pension'!S$1))))</f>
        <v>0</v>
      </c>
      <c r="T54" s="6">
        <f>(HLOOKUP('Yearly Pension'!T$2,'Credited Service'!$G$1:$BC$80,$A54+1,FALSE)) * (IF($B54=500, (Assumptions!$B$7)*12, IF((HLOOKUP(T$2,Earnings!$G$2:$BC$81,('Yearly Pension'!$A54)+1, FALSE)) &gt; T$1, (Assumptions!$B$8)*(T$1) + (Assumptions!$B$9)*MAX(0,  (HLOOKUP(T$2,Earnings!$G$2:$BC$81,('Yearly Pension'!$A54)+1, FALSE)) - T$1), ((Assumptions!$B$8)*'Yearly Pension'!T$1))))</f>
        <v>0</v>
      </c>
      <c r="U54" s="6">
        <f>(HLOOKUP('Yearly Pension'!U$2,'Credited Service'!$G$1:$BC$80,$A54+1,FALSE)) * (IF($B54=500, (Assumptions!$B$7)*12, IF((HLOOKUP(U$2,Earnings!$G$2:$BC$81,('Yearly Pension'!$A54)+1, FALSE)) &gt; U$1, (Assumptions!$B$8)*(U$1) + (Assumptions!$B$9)*MAX(0,  (HLOOKUP(U$2,Earnings!$G$2:$BC$81,('Yearly Pension'!$A54)+1, FALSE)) - U$1), ((Assumptions!$B$8)*'Yearly Pension'!U$1))))</f>
        <v>0</v>
      </c>
      <c r="V54" s="6">
        <f>(HLOOKUP('Yearly Pension'!V$2,'Credited Service'!$G$1:$BC$80,$A54+1,FALSE)) * (IF($B54=500, (Assumptions!$B$7)*12, IF((HLOOKUP(V$2,Earnings!$G$2:$BC$81,('Yearly Pension'!$A54)+1, FALSE)) &gt; V$1, (Assumptions!$B$8)*(V$1) + (Assumptions!$B$9)*MAX(0,  (HLOOKUP(V$2,Earnings!$G$2:$BC$81,('Yearly Pension'!$A54)+1, FALSE)) - V$1), ((Assumptions!$B$8)*'Yearly Pension'!V$1))))</f>
        <v>0</v>
      </c>
      <c r="W54" s="6">
        <f>(HLOOKUP('Yearly Pension'!W$2,'Credited Service'!$G$1:$BC$80,$A54+1,FALSE)) * (IF($B54=500, (Assumptions!$B$7)*12, IF((HLOOKUP(W$2,Earnings!$G$2:$BC$81,('Yearly Pension'!$A54)+1, FALSE)) &gt; W$1, (Assumptions!$B$8)*(W$1) + (Assumptions!$B$9)*MAX(0,  (HLOOKUP(W$2,Earnings!$G$2:$BC$81,('Yearly Pension'!$A54)+1, FALSE)) - W$1), ((Assumptions!$B$8)*'Yearly Pension'!W$1))))</f>
        <v>0</v>
      </c>
      <c r="X54" s="6">
        <f>(HLOOKUP('Yearly Pension'!X$2,'Credited Service'!$G$1:$BC$80,$A54+1,FALSE)) * (IF($B54=500, (Assumptions!$B$7)*12, IF((HLOOKUP(X$2,Earnings!$G$2:$BC$81,('Yearly Pension'!$A54)+1, FALSE)) &gt; X$1, (Assumptions!$B$8)*(X$1) + (Assumptions!$B$9)*MAX(0,  (HLOOKUP(X$2,Earnings!$G$2:$BC$81,('Yearly Pension'!$A54)+1, FALSE)) - X$1), ((Assumptions!$B$8)*'Yearly Pension'!X$1))))</f>
        <v>207.03131681677525</v>
      </c>
      <c r="Y54" s="6">
        <f>(HLOOKUP('Yearly Pension'!Y$2,'Credited Service'!$G$1:$BC$80,$A54+1,FALSE)) * (IF($B54=500, (Assumptions!$B$7)*12, IF((HLOOKUP(Y$2,Earnings!$G$2:$BC$81,('Yearly Pension'!$A54)+1, FALSE)) &gt; Y$1, (Assumptions!$B$8)*(Y$1) + (Assumptions!$B$9)*MAX(0,  (HLOOKUP(Y$2,Earnings!$G$2:$BC$81,('Yearly Pension'!$A54)+1, FALSE)) - Y$1), ((Assumptions!$B$8)*'Yearly Pension'!Y$1))))</f>
        <v>651.54410846833878</v>
      </c>
      <c r="Z54" s="6">
        <f>(HLOOKUP('Yearly Pension'!Z$2,'Credited Service'!$G$1:$BC$80,$A54+1,FALSE)) * (IF($B54=500, (Assumptions!$B$7)*12, IF((HLOOKUP(Z$2,Earnings!$G$2:$BC$81,('Yearly Pension'!$A54)+1, FALSE)) &gt; Z$1, (Assumptions!$B$8)*(Z$1) + (Assumptions!$B$9)*MAX(0,  (HLOOKUP(Z$2,Earnings!$G$2:$BC$81,('Yearly Pension'!$A54)+1, FALSE)) - Z$1), ((Assumptions!$B$8)*'Yearly Pension'!Z$1))))</f>
        <v>683.34027280707244</v>
      </c>
      <c r="AA54" s="6">
        <f>(HLOOKUP('Yearly Pension'!AA$2,'Credited Service'!$G$1:$BC$80,$A54+1,FALSE)) * (IF($B54=500, (Assumptions!$B$7)*12, IF((HLOOKUP(AA$2,Earnings!$G$2:$BC$81,('Yearly Pension'!$A54)+1, FALSE)) &gt; AA$1, (Assumptions!$B$8)*(AA$1) + (Assumptions!$B$9)*MAX(0,  (HLOOKUP(AA$2,Earnings!$G$2:$BC$81,('Yearly Pension'!$A54)+1, FALSE)) - AA$1), ((Assumptions!$B$8)*'Yearly Pension'!AA$1))))</f>
        <v>717.17628371935541</v>
      </c>
      <c r="AB54" s="6">
        <f>(HLOOKUP('Yearly Pension'!AB$2,'Credited Service'!$G$1:$BC$80,$A54+1,FALSE)) * (IF($B54=500, (Assumptions!$B$7)*12, IF((HLOOKUP(AB$2,Earnings!$G$2:$BC$81,('Yearly Pension'!$A54)+1, FALSE)) &gt; AB$1, (Assumptions!$B$8)*(AB$1) + (Assumptions!$B$9)*MAX(0,  (HLOOKUP(AB$2,Earnings!$G$2:$BC$81,('Yearly Pension'!$A54)+1, FALSE)) - AB$1), ((Assumptions!$B$8)*'Yearly Pension'!AB$1))))</f>
        <v>747.98813506812962</v>
      </c>
      <c r="AC54" s="6">
        <f>(HLOOKUP('Yearly Pension'!AC$2,'Credited Service'!$G$1:$BC$80,$A54+1,FALSE)) * (IF($B54=500, (Assumptions!$B$7)*12, IF((HLOOKUP(AC$2,Earnings!$G$2:$BC$81,('Yearly Pension'!$A54)+1, FALSE)) &gt; AC$1, (Assumptions!$B$8)*(AC$1) + (Assumptions!$B$9)*MAX(0,  (HLOOKUP(AC$2,Earnings!$G$2:$BC$81,('Yearly Pension'!$A54)+1, FALSE)) - AC$1), ((Assumptions!$B$8)*'Yearly Pension'!AC$1))))</f>
        <v>784.1540604708548</v>
      </c>
      <c r="AD54" s="6">
        <f>(HLOOKUP('Yearly Pension'!AD$2,'Credited Service'!$G$1:$BC$80,$A54+1,FALSE)) * (IF($B54=500, (Assumptions!$B$7)*12, IF((HLOOKUP(AD$2,Earnings!$G$2:$BC$81,('Yearly Pension'!$A54)+1, FALSE)) &gt; AD$1, (Assumptions!$B$8)*(AD$1) + (Assumptions!$B$9)*MAX(0,  (HLOOKUP(AD$2,Earnings!$G$2:$BC$81,('Yearly Pension'!$A54)+1, FALSE)) - AD$1), ((Assumptions!$B$8)*'Yearly Pension'!AD$1))))</f>
        <v>823.81462288968896</v>
      </c>
      <c r="AE54" s="6">
        <f>(HLOOKUP('Yearly Pension'!AE$2,'Credited Service'!$G$1:$BC$80,$A54+1,FALSE)) * (IF($B54=500, (Assumptions!$B$7)*12, IF((HLOOKUP(AE$2,Earnings!$G$2:$BC$81,('Yearly Pension'!$A54)+1, FALSE)) &gt; AE$1, (Assumptions!$B$8)*(AE$1) + (Assumptions!$B$9)*MAX(0,  (HLOOKUP(AE$2,Earnings!$G$2:$BC$81,('Yearly Pension'!$A54)+1, FALSE)) - AE$1), ((Assumptions!$B$8)*'Yearly Pension'!AE$1))))</f>
        <v>861.91280780527666</v>
      </c>
      <c r="AF54" s="6">
        <f>(HLOOKUP('Yearly Pension'!AF$2,'Credited Service'!$G$1:$BC$80,$A54+1,FALSE)) * (IF($B54=500, (Assumptions!$B$7)*12, IF((HLOOKUP(AF$2,Earnings!$G$2:$BC$81,('Yearly Pension'!$A54)+1, FALSE)) &gt; AF$1, (Assumptions!$B$8)*(AF$1) + (Assumptions!$B$9)*MAX(0,  (HLOOKUP(AF$2,Earnings!$G$2:$BC$81,('Yearly Pension'!$A54)+1, FALSE)) - AF$1), ((Assumptions!$B$8)*'Yearly Pension'!AF$1))))</f>
        <v>901.07412011748784</v>
      </c>
      <c r="AG54" s="6">
        <f>(HLOOKUP('Yearly Pension'!AG$2,'Credited Service'!$G$1:$BC$80,$A54+1,FALSE)) * (IF($B54=500, (Assumptions!$B$7)*12, IF((HLOOKUP(AG$2,Earnings!$G$2:$BC$81,('Yearly Pension'!$A54)+1, FALSE)) &gt; AG$1, (Assumptions!$B$8)*(AG$1) + (Assumptions!$B$9)*MAX(0,  (HLOOKUP(AG$2,Earnings!$G$2:$BC$81,('Yearly Pension'!$A54)+1, FALSE)) - AG$1), ((Assumptions!$B$8)*'Yearly Pension'!AG$1))))</f>
        <v>942.00668492218733</v>
      </c>
      <c r="AH54" s="6">
        <f>(HLOOKUP('Yearly Pension'!AH$2,'Credited Service'!$G$1:$BC$80,$A54+1,FALSE)) * (IF($B54=500, (Assumptions!$B$7)*12, IF((HLOOKUP(AH$2,Earnings!$G$2:$BC$81,('Yearly Pension'!$A54)+1, FALSE)) &gt; AH$1, (Assumptions!$B$8)*(AH$1) + (Assumptions!$B$9)*MAX(0,  (HLOOKUP(AH$2,Earnings!$G$2:$BC$81,('Yearly Pension'!$A54)+1, FALSE)) - AH$1), ((Assumptions!$B$8)*'Yearly Pension'!AH$1))))</f>
        <v>986.06135231907479</v>
      </c>
      <c r="AI54" s="6">
        <f>(HLOOKUP('Yearly Pension'!AI$2,'Credited Service'!$G$1:$BC$80,$A54+1,FALSE)) * (IF($B54=500, (Assumptions!$B$7)*12, IF((HLOOKUP(AI$2,Earnings!$G$2:$BC$81,('Yearly Pension'!$A54)+1, FALSE)) &gt; AI$1, (Assumptions!$B$8)*(AI$1) + (Assumptions!$B$9)*MAX(0,  (HLOOKUP(AI$2,Earnings!$G$2:$BC$81,('Yearly Pension'!$A54)+1, FALSE)) - AI$1), ((Assumptions!$B$8)*'Yearly Pension'!AI$1))))</f>
        <v>1032.0318064118378</v>
      </c>
      <c r="AJ54" s="6">
        <f>(HLOOKUP('Yearly Pension'!AJ$2,'Credited Service'!$G$1:$BC$80,$A54+1,FALSE)) * (IF($B54=500, (Assumptions!$B$7)*12, IF((HLOOKUP(AJ$2,Earnings!$G$2:$BC$81,('Yearly Pension'!$A54)+1, FALSE)) &gt; AJ$1, (Assumptions!$B$8)*(AJ$1) + (Assumptions!$B$9)*MAX(0,  (HLOOKUP(AJ$2,Earnings!$G$2:$BC$81,('Yearly Pension'!$A54)+1, FALSE)) - AJ$1), ((Assumptions!$B$8)*'Yearly Pension'!AJ$1))))</f>
        <v>1077.4346786683113</v>
      </c>
      <c r="AK54" s="6">
        <f>(HLOOKUP('Yearly Pension'!AK$2,'Credited Service'!$G$1:$BC$80,$A54+1,FALSE)) * (IF($B54=500, (Assumptions!$B$7)*12, IF((HLOOKUP(AK$2,Earnings!$G$2:$BC$81,('Yearly Pension'!$A54)+1, FALSE)) &gt; AK$1, (Assumptions!$B$8)*(AK$1) + (Assumptions!$B$9)*MAX(0,  (HLOOKUP(AK$2,Earnings!$G$2:$BC$81,('Yearly Pension'!$A54)+1, FALSE)) - AK$1), ((Assumptions!$B$8)*'Yearly Pension'!AK$1))))</f>
        <v>1121.0696658150437</v>
      </c>
      <c r="AL54" s="6">
        <f>(HLOOKUP('Yearly Pension'!AL$2,'Credited Service'!$G$1:$BC$80,$A54+1,FALSE)) * (IF($B54=500, (Assumptions!$B$7)*12, IF((HLOOKUP(AL$2,Earnings!$G$2:$BC$81,('Yearly Pension'!$A54)+1, FALSE)) &gt; AL$1, (Assumptions!$B$8)*(AL$1) + (Assumptions!$B$9)*MAX(0,  (HLOOKUP(AL$2,Earnings!$G$2:$BC$81,('Yearly Pension'!$A54)+1, FALSE)) - AL$1), ((Assumptions!$B$8)*'Yearly Pension'!AL$1))))</f>
        <v>1169.4196524476458</v>
      </c>
      <c r="AM54" s="6">
        <f>(HLOOKUP('Yearly Pension'!AM$2,'Credited Service'!$G$1:$BC$80,$A54+1,FALSE)) * (IF($B54=500, (Assumptions!$B$7)*12, IF((HLOOKUP(AM$2,Earnings!$G$2:$BC$81,('Yearly Pension'!$A54)+1, FALSE)) &gt; AM$1, (Assumptions!$B$8)*(AM$1) + (Assumptions!$B$9)*MAX(0,  (HLOOKUP(AM$2,Earnings!$G$2:$BC$81,('Yearly Pension'!$A54)+1, FALSE)) - AM$1), ((Assumptions!$B$8)*'Yearly Pension'!AM$1))))</f>
        <v>1218.7308385455517</v>
      </c>
      <c r="AN54" s="6">
        <f>(HLOOKUP('Yearly Pension'!AN$2,'Credited Service'!$G$1:$BC$80,$A54+1,FALSE)) * (IF($B54=500, (Assumptions!$B$7)*12, IF((HLOOKUP(AN$2,Earnings!$G$2:$BC$81,('Yearly Pension'!$A54)+1, FALSE)) &gt; AN$1, (Assumptions!$B$8)*(AN$1) + (Assumptions!$B$9)*MAX(0,  (HLOOKUP(AN$2,Earnings!$G$2:$BC$81,('Yearly Pension'!$A54)+1, FALSE)) - AN$1), ((Assumptions!$B$8)*'Yearly Pension'!AN$1))))</f>
        <v>1273.572872087374</v>
      </c>
      <c r="AO54" s="6">
        <f>(HLOOKUP('Yearly Pension'!AO$2,'Credited Service'!$G$1:$BC$80,$A54+1,FALSE)) * (IF($B54=500, (Assumptions!$B$7)*12, IF((HLOOKUP(AO$2,Earnings!$G$2:$BC$81,('Yearly Pension'!$A54)+1, FALSE)) &gt; AO$1, (Assumptions!$B$8)*(AO$1) + (Assumptions!$B$9)*MAX(0,  (HLOOKUP(AO$2,Earnings!$G$2:$BC$81,('Yearly Pension'!$A54)+1, FALSE)) - AO$1), ((Assumptions!$B$8)*'Yearly Pension'!AO$1))))</f>
        <v>1329.558986970869</v>
      </c>
      <c r="AP54" s="6">
        <f>(HLOOKUP('Yearly Pension'!AP$2,'Credited Service'!$G$1:$BC$80,$A54+1,FALSE)) * (IF($B54=500, (Assumptions!$B$7)*12, IF((HLOOKUP(AP$2,Earnings!$G$2:$BC$81,('Yearly Pension'!$A54)+1, FALSE)) &gt; AP$1, (Assumptions!$B$8)*(AP$1) + (Assumptions!$B$9)*MAX(0,  (HLOOKUP(AP$2,Earnings!$G$2:$BC$81,('Yearly Pension'!$A54)+1, FALSE)) - AP$1), ((Assumptions!$B$8)*'Yearly Pension'!AP$1))))</f>
        <v>1383.5861464497038</v>
      </c>
      <c r="AQ54" s="6">
        <f>(HLOOKUP('Yearly Pension'!AQ$2,'Credited Service'!$G$1:$BC$80,$A54+1,FALSE)) * (IF($B54=500, (Assumptions!$B$7)*12, IF((HLOOKUP(AQ$2,Earnings!$G$2:$BC$81,('Yearly Pension'!$A54)+1, FALSE)) &gt; AQ$1, (Assumptions!$B$8)*(AQ$1) + (Assumptions!$B$9)*MAX(0,  (HLOOKUP(AQ$2,Earnings!$G$2:$BC$81,('Yearly Pension'!$A54)+1, FALSE)) - AQ$1), ((Assumptions!$B$8)*'Yearly Pension'!AQ$1))))</f>
        <v>1445.3551923076921</v>
      </c>
      <c r="AR54" s="6">
        <f>(HLOOKUP('Yearly Pension'!AR$2,'Credited Service'!$G$1:$BC$80,$A54+1,FALSE)) * (IF($B54=500, (Assumptions!$B$7)*12, IF((HLOOKUP(AR$2,Earnings!$G$2:$BC$81,('Yearly Pension'!$A54)+1, FALSE)) &gt; AR$1, (Assumptions!$B$8)*(AR$1) + (Assumptions!$B$9)*MAX(0,  (HLOOKUP(AR$2,Earnings!$G$2:$BC$81,('Yearly Pension'!$A54)+1, FALSE)) - AR$1), ((Assumptions!$B$8)*'Yearly Pension'!AR$1))))</f>
        <v>1507.2910000000002</v>
      </c>
      <c r="AS54" s="6">
        <f>(HLOOKUP('Yearly Pension'!AS$2,'Credited Service'!$G$1:$BC$80,$A54+1,FALSE)) * (IF($B54=500, (Assumptions!$B$7)*12, IF((HLOOKUP(AS$2,Earnings!$G$2:$BC$81,('Yearly Pension'!$A54)+1, FALSE)) &gt; AS$1, (Assumptions!$B$8)*(AS$1) + (Assumptions!$B$9)*MAX(0,  (HLOOKUP(AS$2,Earnings!$G$2:$BC$81,('Yearly Pension'!$A54)+1, FALSE)) - AS$1), ((Assumptions!$B$8)*'Yearly Pension'!AS$1))))</f>
        <v>1555.54973</v>
      </c>
      <c r="AT54" s="6">
        <f>(HLOOKUP('Yearly Pension'!AT$2,'Credited Service'!$G$1:$BC$80,$A54+1,FALSE)) * (IF($B54=500, (Assumptions!$B$7)*12, IF((HLOOKUP(AT$2,Earnings!$G$2:$BC$81,('Yearly Pension'!$A54)+1, FALSE)) &gt; AT$1, (Assumptions!$B$8)*(AT$1) + (Assumptions!$B$9)*MAX(0,  (HLOOKUP(AT$2,Earnings!$G$2:$BC$81,('Yearly Pension'!$A54)+1, FALSE)) - AT$1), ((Assumptions!$B$8)*'Yearly Pension'!AT$1))))</f>
        <v>1604.1874218999999</v>
      </c>
      <c r="AU54" s="6">
        <f>(HLOOKUP('Yearly Pension'!AU$2,'Credited Service'!$G$1:$BC$80,$A54+1,FALSE)) * (IF($B54=500, (Assumptions!$B$7)*12, IF((HLOOKUP(AU$2,Earnings!$G$2:$BC$81,('Yearly Pension'!$A54)+1, FALSE)) &gt; AU$1, (Assumptions!$B$8)*(AU$1) + (Assumptions!$B$9)*MAX(0,  (HLOOKUP(AU$2,Earnings!$G$2:$BC$81,('Yearly Pension'!$A54)+1, FALSE)) - AU$1), ((Assumptions!$B$8)*'Yearly Pension'!AU$1))))</f>
        <v>1660.2938445569998</v>
      </c>
      <c r="AV54" s="6">
        <f>(HLOOKUP('Yearly Pension'!AV$2,'Credited Service'!$G$1:$BC$80,$A54+1,FALSE)) * (IF($B54=500, (Assumptions!$B$7)*12, IF((HLOOKUP(AV$2,Earnings!$G$2:$BC$81,('Yearly Pension'!$A54)+1, FALSE)) &gt; AV$1, (Assumptions!$B$8)*(AV$1) + (Assumptions!$B$9)*MAX(0,  (HLOOKUP(AV$2,Earnings!$G$2:$BC$81,('Yearly Pension'!$A54)+1, FALSE)) - AV$1), ((Assumptions!$B$8)*'Yearly Pension'!AV$1))))</f>
        <v>1716.88025989371</v>
      </c>
      <c r="AW54" s="6">
        <f>(HLOOKUP('Yearly Pension'!AW$2,'Credited Service'!$G$1:$BC$80,$A54+1,FALSE)) * (IF($B54=500, (Assumptions!$B$7)*12, IF((HLOOKUP(AW$2,Earnings!$G$2:$BC$81,('Yearly Pension'!$A54)+1, FALSE)) &gt; AW$1, (Assumptions!$B$8)*(AW$1) + (Assumptions!$B$9)*MAX(0,  (HLOOKUP(AW$2,Earnings!$G$2:$BC$81,('Yearly Pension'!$A54)+1, FALSE)) - AW$1), ((Assumptions!$B$8)*'Yearly Pension'!AW$1))))</f>
        <v>1769.5194676905212</v>
      </c>
      <c r="AX54" s="6">
        <f>(HLOOKUP('Yearly Pension'!AX$2,'Credited Service'!$G$1:$BC$80,$A54+1,FALSE)) * (IF($B54=500, (Assumptions!$B$7)*12, IF((HLOOKUP(AX$2,Earnings!$G$2:$BC$81,('Yearly Pension'!$A54)+1, FALSE)) &gt; AX$1, (Assumptions!$B$8)*(AX$1) + (Assumptions!$B$9)*MAX(0,  (HLOOKUP(AX$2,Earnings!$G$2:$BC$81,('Yearly Pension'!$A54)+1, FALSE)) - AX$1), ((Assumptions!$B$8)*'Yearly Pension'!AX$1))))</f>
        <v>1818.931451721237</v>
      </c>
      <c r="AY54" s="6">
        <f>(HLOOKUP('Yearly Pension'!AY$2,'Credited Service'!$G$1:$BC$80,$A54+1,FALSE)) * (IF($B54=500, (Assumptions!$B$7)*12, IF((HLOOKUP(AY$2,Earnings!$G$2:$BC$81,('Yearly Pension'!$A54)+1, FALSE)) &gt; AY$1, (Assumptions!$B$8)*(AY$1) + (Assumptions!$B$9)*MAX(0,  (HLOOKUP(AY$2,Earnings!$G$2:$BC$81,('Yearly Pension'!$A54)+1, FALSE)) - AY$1), ((Assumptions!$B$8)*'Yearly Pension'!AY$1))))</f>
        <v>1869.678851272874</v>
      </c>
      <c r="AZ54" s="6">
        <f>(HLOOKUP('Yearly Pension'!AZ$2,'Credited Service'!$G$1:$BC$80,$A54+1,FALSE)) * (IF($B54=500, (Assumptions!$B$7)*12, IF((HLOOKUP(AZ$2,Earnings!$G$2:$BC$81,('Yearly Pension'!$A54)+1, FALSE)) &gt; AZ$1, (Assumptions!$B$8)*(AZ$1) + (Assumptions!$B$9)*MAX(0,  (HLOOKUP(AZ$2,Earnings!$G$2:$BC$81,('Yearly Pension'!$A54)+1, FALSE)) - AZ$1), ((Assumptions!$B$8)*'Yearly Pension'!AZ$1))))</f>
        <v>1921.79585105106</v>
      </c>
      <c r="BA54" s="6">
        <f>(HLOOKUP('Yearly Pension'!BA$2,'Credited Service'!$G$1:$BC$80,$A54+1,FALSE)) * (IF($B54=500, (Assumptions!$B$7)*12, IF((HLOOKUP(BA$2,Earnings!$G$2:$BC$81,('Yearly Pension'!$A54)+1, FALSE)) &gt; BA$1, (Assumptions!$B$8)*(BA$1) + (Assumptions!$B$9)*MAX(0,  (HLOOKUP(BA$2,Earnings!$G$2:$BC$81,('Yearly Pension'!$A54)+1, FALSE)) - BA$1), ((Assumptions!$B$8)*'Yearly Pension'!BA$1))))</f>
        <v>1975.3174261921922</v>
      </c>
      <c r="BB54" s="6">
        <f>(HLOOKUP('Yearly Pension'!BB$2,'Credited Service'!$G$1:$BC$80,$A54+1,FALSE)) * (IF($B54=500, (Assumptions!$B$7)*12, IF((HLOOKUP(BB$2,Earnings!$G$2:$BC$81,('Yearly Pension'!$A54)+1, FALSE)) &gt; BB$1, (Assumptions!$B$8)*(BB$1) + (Assumptions!$B$9)*MAX(0,  (HLOOKUP(BB$2,Earnings!$G$2:$BC$81,('Yearly Pension'!$A54)+1, FALSE)) - BB$1), ((Assumptions!$B$8)*'Yearly Pension'!BB$1))))</f>
        <v>2030.2793565719421</v>
      </c>
      <c r="BC54" s="6">
        <f>(HLOOKUP('Yearly Pension'!BC$2,'Credited Service'!$G$1:$BC$80,$A54+1,FALSE)) * (IF($B54=500, (Assumptions!$B$7)*12, IF((HLOOKUP(BC$2,Earnings!$G$2:$BC$81,('Yearly Pension'!$A54)+1, FALSE)) &gt; BC$1, (Assumptions!$B$8)*(BC$1) + (Assumptions!$B$9)*MAX(0,  (HLOOKUP(BC$2,Earnings!$G$2:$BC$81,('Yearly Pension'!$A54)+1, FALSE)) - BC$1), ((Assumptions!$B$8)*'Yearly Pension'!BC$1))))</f>
        <v>2086.7182411668437</v>
      </c>
    </row>
    <row r="55" spans="1:55" x14ac:dyDescent="0.25">
      <c r="A55" s="204">
        <v>53</v>
      </c>
      <c r="B55" s="1">
        <v>600</v>
      </c>
      <c r="C55" s="1">
        <v>681</v>
      </c>
      <c r="D55" s="3">
        <v>34421</v>
      </c>
      <c r="E55" s="3">
        <v>47484</v>
      </c>
      <c r="G55" s="6">
        <f>(HLOOKUP('Yearly Pension'!G$2,'Credited Service'!$G$1:$BC$80,$A55+1,FALSE)) * (IF($B55=500, (Assumptions!$B$7)*12, IF((HLOOKUP(G$2,Earnings!$G$2:$BC$81,('Yearly Pension'!$A55)+1, FALSE)) &gt; G$1, (Assumptions!$B$8)*(G$1) + (Assumptions!$B$9)*MAX(0,  (HLOOKUP(G$2,Earnings!$G$2:$BC$81,('Yearly Pension'!$A55)+1, FALSE)) - G$1), ((Assumptions!$B$8)*'Yearly Pension'!G$1))))</f>
        <v>0</v>
      </c>
      <c r="H55" s="6">
        <f>(HLOOKUP('Yearly Pension'!H$2,'Credited Service'!$G$1:$BC$80,$A55+1,FALSE)) * (IF($B55=500, (Assumptions!$B$7)*12, IF((HLOOKUP(H$2,Earnings!$G$2:$BC$81,('Yearly Pension'!$A55)+1, FALSE)) &gt; H$1, (Assumptions!$B$8)*(H$1) + (Assumptions!$B$9)*MAX(0,  (HLOOKUP(H$2,Earnings!$G$2:$BC$81,('Yearly Pension'!$A55)+1, FALSE)) - H$1), ((Assumptions!$B$8)*'Yearly Pension'!H$1))))</f>
        <v>0</v>
      </c>
      <c r="I55" s="6">
        <f>(HLOOKUP('Yearly Pension'!I$2,'Credited Service'!$G$1:$BC$80,$A55+1,FALSE)) * (IF($B55=500, (Assumptions!$B$7)*12, IF((HLOOKUP(I$2,Earnings!$G$2:$BC$81,('Yearly Pension'!$A55)+1, FALSE)) &gt; I$1, (Assumptions!$B$8)*(I$1) + (Assumptions!$B$9)*MAX(0,  (HLOOKUP(I$2,Earnings!$G$2:$BC$81,('Yearly Pension'!$A55)+1, FALSE)) - I$1), ((Assumptions!$B$8)*'Yearly Pension'!I$1))))</f>
        <v>0</v>
      </c>
      <c r="J55" s="6">
        <f>(HLOOKUP('Yearly Pension'!J$2,'Credited Service'!$G$1:$BC$80,$A55+1,FALSE)) * (IF($B55=500, (Assumptions!$B$7)*12, IF((HLOOKUP(J$2,Earnings!$G$2:$BC$81,('Yearly Pension'!$A55)+1, FALSE)) &gt; J$1, (Assumptions!$B$8)*(J$1) + (Assumptions!$B$9)*MAX(0,  (HLOOKUP(J$2,Earnings!$G$2:$BC$81,('Yearly Pension'!$A55)+1, FALSE)) - J$1), ((Assumptions!$B$8)*'Yearly Pension'!J$1))))</f>
        <v>0</v>
      </c>
      <c r="K55" s="6">
        <f>(HLOOKUP('Yearly Pension'!K$2,'Credited Service'!$G$1:$BC$80,$A55+1,FALSE)) * (IF($B55=500, (Assumptions!$B$7)*12, IF((HLOOKUP(K$2,Earnings!$G$2:$BC$81,('Yearly Pension'!$A55)+1, FALSE)) &gt; K$1, (Assumptions!$B$8)*(K$1) + (Assumptions!$B$9)*MAX(0,  (HLOOKUP(K$2,Earnings!$G$2:$BC$81,('Yearly Pension'!$A55)+1, FALSE)) - K$1), ((Assumptions!$B$8)*'Yearly Pension'!K$1))))</f>
        <v>0</v>
      </c>
      <c r="L55" s="6">
        <f>(HLOOKUP('Yearly Pension'!L$2,'Credited Service'!$G$1:$BC$80,$A55+1,FALSE)) * (IF($B55=500, (Assumptions!$B$7)*12, IF((HLOOKUP(L$2,Earnings!$G$2:$BC$81,('Yearly Pension'!$A55)+1, FALSE)) &gt; L$1, (Assumptions!$B$8)*(L$1) + (Assumptions!$B$9)*MAX(0,  (HLOOKUP(L$2,Earnings!$G$2:$BC$81,('Yearly Pension'!$A55)+1, FALSE)) - L$1), ((Assumptions!$B$8)*'Yearly Pension'!L$1))))</f>
        <v>0</v>
      </c>
      <c r="M55" s="6">
        <f>(HLOOKUP('Yearly Pension'!M$2,'Credited Service'!$G$1:$BC$80,$A55+1,FALSE)) * (IF($B55=500, (Assumptions!$B$7)*12, IF((HLOOKUP(M$2,Earnings!$G$2:$BC$81,('Yearly Pension'!$A55)+1, FALSE)) &gt; M$1, (Assumptions!$B$8)*(M$1) + (Assumptions!$B$9)*MAX(0,  (HLOOKUP(M$2,Earnings!$G$2:$BC$81,('Yearly Pension'!$A55)+1, FALSE)) - M$1), ((Assumptions!$B$8)*'Yearly Pension'!M$1))))</f>
        <v>0</v>
      </c>
      <c r="N55" s="6">
        <f>(HLOOKUP('Yearly Pension'!N$2,'Credited Service'!$G$1:$BC$80,$A55+1,FALSE)) * (IF($B55=500, (Assumptions!$B$7)*12, IF((HLOOKUP(N$2,Earnings!$G$2:$BC$81,('Yearly Pension'!$A55)+1, FALSE)) &gt; N$1, (Assumptions!$B$8)*(N$1) + (Assumptions!$B$9)*MAX(0,  (HLOOKUP(N$2,Earnings!$G$2:$BC$81,('Yearly Pension'!$A55)+1, FALSE)) - N$1), ((Assumptions!$B$8)*'Yearly Pension'!N$1))))</f>
        <v>0</v>
      </c>
      <c r="O55" s="6">
        <f>(HLOOKUP('Yearly Pension'!O$2,'Credited Service'!$G$1:$BC$80,$A55+1,FALSE)) * (IF($B55=500, (Assumptions!$B$7)*12, IF((HLOOKUP(O$2,Earnings!$G$2:$BC$81,('Yearly Pension'!$A55)+1, FALSE)) &gt; O$1, (Assumptions!$B$8)*(O$1) + (Assumptions!$B$9)*MAX(0,  (HLOOKUP(O$2,Earnings!$G$2:$BC$81,('Yearly Pension'!$A55)+1, FALSE)) - O$1), ((Assumptions!$B$8)*'Yearly Pension'!O$1))))</f>
        <v>0</v>
      </c>
      <c r="P55" s="6">
        <f>(HLOOKUP('Yearly Pension'!P$2,'Credited Service'!$G$1:$BC$80,$A55+1,FALSE)) * (IF($B55=500, (Assumptions!$B$7)*12, IF((HLOOKUP(P$2,Earnings!$G$2:$BC$81,('Yearly Pension'!$A55)+1, FALSE)) &gt; P$1, (Assumptions!$B$8)*(P$1) + (Assumptions!$B$9)*MAX(0,  (HLOOKUP(P$2,Earnings!$G$2:$BC$81,('Yearly Pension'!$A55)+1, FALSE)) - P$1), ((Assumptions!$B$8)*'Yearly Pension'!P$1))))</f>
        <v>0</v>
      </c>
      <c r="Q55" s="6">
        <f>(HLOOKUP('Yearly Pension'!Q$2,'Credited Service'!$G$1:$BC$80,$A55+1,FALSE)) * (IF($B55=500, (Assumptions!$B$7)*12, IF((HLOOKUP(Q$2,Earnings!$G$2:$BC$81,('Yearly Pension'!$A55)+1, FALSE)) &gt; Q$1, (Assumptions!$B$8)*(Q$1) + (Assumptions!$B$9)*MAX(0,  (HLOOKUP(Q$2,Earnings!$G$2:$BC$81,('Yearly Pension'!$A55)+1, FALSE)) - Q$1), ((Assumptions!$B$8)*'Yearly Pension'!Q$1))))</f>
        <v>0</v>
      </c>
      <c r="R55" s="6">
        <f>(HLOOKUP('Yearly Pension'!R$2,'Credited Service'!$G$1:$BC$80,$A55+1,FALSE)) * (IF($B55=500, (Assumptions!$B$7)*12, IF((HLOOKUP(R$2,Earnings!$G$2:$BC$81,('Yearly Pension'!$A55)+1, FALSE)) &gt; R$1, (Assumptions!$B$8)*(R$1) + (Assumptions!$B$9)*MAX(0,  (HLOOKUP(R$2,Earnings!$G$2:$BC$81,('Yearly Pension'!$A55)+1, FALSE)) - R$1), ((Assumptions!$B$8)*'Yearly Pension'!R$1))))</f>
        <v>0</v>
      </c>
      <c r="S55" s="6">
        <f>(HLOOKUP('Yearly Pension'!S$2,'Credited Service'!$G$1:$BC$80,$A55+1,FALSE)) * (IF($B55=500, (Assumptions!$B$7)*12, IF((HLOOKUP(S$2,Earnings!$G$2:$BC$81,('Yearly Pension'!$A55)+1, FALSE)) &gt; S$1, (Assumptions!$B$8)*(S$1) + (Assumptions!$B$9)*MAX(0,  (HLOOKUP(S$2,Earnings!$G$2:$BC$81,('Yearly Pension'!$A55)+1, FALSE)) - S$1), ((Assumptions!$B$8)*'Yearly Pension'!S$1))))</f>
        <v>0</v>
      </c>
      <c r="T55" s="6">
        <f>(HLOOKUP('Yearly Pension'!T$2,'Credited Service'!$G$1:$BC$80,$A55+1,FALSE)) * (IF($B55=500, (Assumptions!$B$7)*12, IF((HLOOKUP(T$2,Earnings!$G$2:$BC$81,('Yearly Pension'!$A55)+1, FALSE)) &gt; T$1, (Assumptions!$B$8)*(T$1) + (Assumptions!$B$9)*MAX(0,  (HLOOKUP(T$2,Earnings!$G$2:$BC$81,('Yearly Pension'!$A55)+1, FALSE)) - T$1), ((Assumptions!$B$8)*'Yearly Pension'!T$1))))</f>
        <v>0</v>
      </c>
      <c r="U55" s="6">
        <f>(HLOOKUP('Yearly Pension'!U$2,'Credited Service'!$G$1:$BC$80,$A55+1,FALSE)) * (IF($B55=500, (Assumptions!$B$7)*12, IF((HLOOKUP(U$2,Earnings!$G$2:$BC$81,('Yearly Pension'!$A55)+1, FALSE)) &gt; U$1, (Assumptions!$B$8)*(U$1) + (Assumptions!$B$9)*MAX(0,  (HLOOKUP(U$2,Earnings!$G$2:$BC$81,('Yearly Pension'!$A55)+1, FALSE)) - U$1), ((Assumptions!$B$8)*'Yearly Pension'!U$1))))</f>
        <v>0</v>
      </c>
      <c r="V55" s="6">
        <f>(HLOOKUP('Yearly Pension'!V$2,'Credited Service'!$G$1:$BC$80,$A55+1,FALSE)) * (IF($B55=500, (Assumptions!$B$7)*12, IF((HLOOKUP(V$2,Earnings!$G$2:$BC$81,('Yearly Pension'!$A55)+1, FALSE)) &gt; V$1, (Assumptions!$B$8)*(V$1) + (Assumptions!$B$9)*MAX(0,  (HLOOKUP(V$2,Earnings!$G$2:$BC$81,('Yearly Pension'!$A55)+1, FALSE)) - V$1), ((Assumptions!$B$8)*'Yearly Pension'!V$1))))</f>
        <v>0</v>
      </c>
      <c r="W55" s="6">
        <f>(HLOOKUP('Yearly Pension'!W$2,'Credited Service'!$G$1:$BC$80,$A55+1,FALSE)) * (IF($B55=500, (Assumptions!$B$7)*12, IF((HLOOKUP(W$2,Earnings!$G$2:$BC$81,('Yearly Pension'!$A55)+1, FALSE)) &gt; W$1, (Assumptions!$B$8)*(W$1) + (Assumptions!$B$9)*MAX(0,  (HLOOKUP(W$2,Earnings!$G$2:$BC$81,('Yearly Pension'!$A55)+1, FALSE)) - W$1), ((Assumptions!$B$8)*'Yearly Pension'!W$1))))</f>
        <v>0</v>
      </c>
      <c r="X55" s="6">
        <f>(HLOOKUP('Yearly Pension'!X$2,'Credited Service'!$G$1:$BC$80,$A55+1,FALSE)) * (IF($B55=500, (Assumptions!$B$7)*12, IF((HLOOKUP(X$2,Earnings!$G$2:$BC$81,('Yearly Pension'!$A55)+1, FALSE)) &gt; X$1, (Assumptions!$B$8)*(X$1) + (Assumptions!$B$9)*MAX(0,  (HLOOKUP(X$2,Earnings!$G$2:$BC$81,('Yearly Pension'!$A55)+1, FALSE)) - X$1), ((Assumptions!$B$8)*'Yearly Pension'!X$1))))</f>
        <v>471.46695059418875</v>
      </c>
      <c r="Y55" s="6">
        <f>(HLOOKUP('Yearly Pension'!Y$2,'Credited Service'!$G$1:$BC$80,$A55+1,FALSE)) * (IF($B55=500, (Assumptions!$B$7)*12, IF((HLOOKUP(Y$2,Earnings!$G$2:$BC$81,('Yearly Pension'!$A55)+1, FALSE)) &gt; Y$1, (Assumptions!$B$8)*(Y$1) + (Assumptions!$B$9)*MAX(0,  (HLOOKUP(Y$2,Earnings!$G$2:$BC$81,('Yearly Pension'!$A55)+1, FALSE)) - Y$1), ((Assumptions!$B$8)*'Yearly Pension'!Y$1))))</f>
        <v>659.37390482394176</v>
      </c>
      <c r="Z55" s="6">
        <f>(HLOOKUP('Yearly Pension'!Z$2,'Credited Service'!$G$1:$BC$80,$A55+1,FALSE)) * (IF($B55=500, (Assumptions!$B$7)*12, IF((HLOOKUP(Z$2,Earnings!$G$2:$BC$81,('Yearly Pension'!$A55)+1, FALSE)) &gt; Z$1, (Assumptions!$B$8)*(Z$1) + (Assumptions!$B$9)*MAX(0,  (HLOOKUP(Z$2,Earnings!$G$2:$BC$81,('Yearly Pension'!$A55)+1, FALSE)) - Z$1), ((Assumptions!$B$8)*'Yearly Pension'!Z$1))))</f>
        <v>691.48326101689941</v>
      </c>
      <c r="AA55" s="6">
        <f>(HLOOKUP('Yearly Pension'!AA$2,'Credited Service'!$G$1:$BC$80,$A55+1,FALSE)) * (IF($B55=500, (Assumptions!$B$7)*12, IF((HLOOKUP(AA$2,Earnings!$G$2:$BC$81,('Yearly Pension'!$A55)+1, FALSE)) &gt; AA$1, (Assumptions!$B$8)*(AA$1) + (Assumptions!$B$9)*MAX(0,  (HLOOKUP(AA$2,Earnings!$G$2:$BC$81,('Yearly Pension'!$A55)+1, FALSE)) - AA$1), ((Assumptions!$B$8)*'Yearly Pension'!AA$1))))</f>
        <v>725.64499145757532</v>
      </c>
      <c r="AB55" s="6">
        <f>(HLOOKUP('Yearly Pension'!AB$2,'Credited Service'!$G$1:$BC$80,$A55+1,FALSE)) * (IF($B55=500, (Assumptions!$B$7)*12, IF((HLOOKUP(AB$2,Earnings!$G$2:$BC$81,('Yearly Pension'!$A55)+1, FALSE)) &gt; AB$1, (Assumptions!$B$8)*(AB$1) + (Assumptions!$B$9)*MAX(0,  (HLOOKUP(AB$2,Earnings!$G$2:$BC$81,('Yearly Pension'!$A55)+1, FALSE)) - AB$1), ((Assumptions!$B$8)*'Yearly Pension'!AB$1))))</f>
        <v>756.79559111587844</v>
      </c>
      <c r="AC55" s="6">
        <f>(HLOOKUP('Yearly Pension'!AC$2,'Credited Service'!$G$1:$BC$80,$A55+1,FALSE)) * (IF($B55=500, (Assumptions!$B$7)*12, IF((HLOOKUP(AC$2,Earnings!$G$2:$BC$81,('Yearly Pension'!$A55)+1, FALSE)) &gt; AC$1, (Assumptions!$B$8)*(AC$1) + (Assumptions!$B$9)*MAX(0,  (HLOOKUP(AC$2,Earnings!$G$2:$BC$81,('Yearly Pension'!$A55)+1, FALSE)) - AC$1), ((Assumptions!$B$8)*'Yearly Pension'!AC$1))))</f>
        <v>793.31381476051365</v>
      </c>
      <c r="AD55" s="6">
        <f>(HLOOKUP('Yearly Pension'!AD$2,'Credited Service'!$G$1:$BC$80,$A55+1,FALSE)) * (IF($B55=500, (Assumptions!$B$7)*12, IF((HLOOKUP(AD$2,Earnings!$G$2:$BC$81,('Yearly Pension'!$A55)+1, FALSE)) &gt; AD$1, (Assumptions!$B$8)*(AD$1) + (Assumptions!$B$9)*MAX(0,  (HLOOKUP(AD$2,Earnings!$G$2:$BC$81,('Yearly Pension'!$A55)+1, FALSE)) - AD$1), ((Assumptions!$B$8)*'Yearly Pension'!AD$1))))</f>
        <v>833.34076735093413</v>
      </c>
      <c r="AE55" s="6">
        <f>(HLOOKUP('Yearly Pension'!AE$2,'Credited Service'!$G$1:$BC$80,$A55+1,FALSE)) * (IF($B55=500, (Assumptions!$B$7)*12, IF((HLOOKUP(AE$2,Earnings!$G$2:$BC$81,('Yearly Pension'!$A55)+1, FALSE)) &gt; AE$1, (Assumptions!$B$8)*(AE$1) + (Assumptions!$B$9)*MAX(0,  (HLOOKUP(AE$2,Earnings!$G$2:$BC$81,('Yearly Pension'!$A55)+1, FALSE)) - AE$1), ((Assumptions!$B$8)*'Yearly Pension'!AE$1))))</f>
        <v>871.8199980449715</v>
      </c>
      <c r="AF55" s="6">
        <f>(HLOOKUP('Yearly Pension'!AF$2,'Credited Service'!$G$1:$BC$80,$A55+1,FALSE)) * (IF($B55=500, (Assumptions!$B$7)*12, IF((HLOOKUP(AF$2,Earnings!$G$2:$BC$81,('Yearly Pension'!$A55)+1, FALSE)) &gt; AF$1, (Assumptions!$B$8)*(AF$1) + (Assumptions!$B$9)*MAX(0,  (HLOOKUP(AF$2,Earnings!$G$2:$BC$81,('Yearly Pension'!$A55)+1, FALSE)) - AF$1), ((Assumptions!$B$8)*'Yearly Pension'!AF$1))))</f>
        <v>911.37759796677051</v>
      </c>
      <c r="AG55" s="6">
        <f>(HLOOKUP('Yearly Pension'!AG$2,'Credited Service'!$G$1:$BC$80,$A55+1,FALSE)) * (IF($B55=500, (Assumptions!$B$7)*12, IF((HLOOKUP(AG$2,Earnings!$G$2:$BC$81,('Yearly Pension'!$A55)+1, FALSE)) &gt; AG$1, (Assumptions!$B$8)*(AG$1) + (Assumptions!$B$9)*MAX(0,  (HLOOKUP(AG$2,Earnings!$G$2:$BC$81,('Yearly Pension'!$A55)+1, FALSE)) - AG$1), ((Assumptions!$B$8)*'Yearly Pension'!AG$1))))</f>
        <v>952.72230188544142</v>
      </c>
      <c r="AH55" s="6">
        <f>(HLOOKUP('Yearly Pension'!AH$2,'Credited Service'!$G$1:$BC$80,$A55+1,FALSE)) * (IF($B55=500, (Assumptions!$B$7)*12, IF((HLOOKUP(AH$2,Earnings!$G$2:$BC$81,('Yearly Pension'!$A55)+1, FALSE)) &gt; AH$1, (Assumptions!$B$8)*(AH$1) + (Assumptions!$B$9)*MAX(0,  (HLOOKUP(AH$2,Earnings!$G$2:$BC$81,('Yearly Pension'!$A55)+1, FALSE)) - AH$1), ((Assumptions!$B$8)*'Yearly Pension'!AH$1))))</f>
        <v>997.20559396085901</v>
      </c>
      <c r="AI55" s="6">
        <f>(HLOOKUP('Yearly Pension'!AI$2,'Credited Service'!$G$1:$BC$80,$A55+1,FALSE)) * (IF($B55=500, (Assumptions!$B$7)*12, IF((HLOOKUP(AI$2,Earnings!$G$2:$BC$81,('Yearly Pension'!$A55)+1, FALSE)) &gt; AI$1, (Assumptions!$B$8)*(AI$1) + (Assumptions!$B$9)*MAX(0,  (HLOOKUP(AI$2,Earnings!$G$2:$BC$81,('Yearly Pension'!$A55)+1, FALSE)) - AI$1), ((Assumptions!$B$8)*'Yearly Pension'!AI$1))))</f>
        <v>1043.6218177192934</v>
      </c>
      <c r="AJ55" s="6">
        <f>(HLOOKUP('Yearly Pension'!AJ$2,'Credited Service'!$G$1:$BC$80,$A55+1,FALSE)) * (IF($B55=500, (Assumptions!$B$7)*12, IF((HLOOKUP(AJ$2,Earnings!$G$2:$BC$81,('Yearly Pension'!$A55)+1, FALSE)) &gt; AJ$1, (Assumptions!$B$8)*(AJ$1) + (Assumptions!$B$9)*MAX(0,  (HLOOKUP(AJ$2,Earnings!$G$2:$BC$81,('Yearly Pension'!$A55)+1, FALSE)) - AJ$1), ((Assumptions!$B$8)*'Yearly Pension'!AJ$1))))</f>
        <v>1089.4882904280653</v>
      </c>
      <c r="AK55" s="6">
        <f>(HLOOKUP('Yearly Pension'!AK$2,'Credited Service'!$G$1:$BC$80,$A55+1,FALSE)) * (IF($B55=500, (Assumptions!$B$7)*12, IF((HLOOKUP(AK$2,Earnings!$G$2:$BC$81,('Yearly Pension'!$A55)+1, FALSE)) &gt; AK$1, (Assumptions!$B$8)*(AK$1) + (Assumptions!$B$9)*MAX(0,  (HLOOKUP(AK$2,Earnings!$G$2:$BC$81,('Yearly Pension'!$A55)+1, FALSE)) - AK$1), ((Assumptions!$B$8)*'Yearly Pension'!AK$1))))</f>
        <v>1133.6054220451879</v>
      </c>
      <c r="AL55" s="6">
        <f>(HLOOKUP('Yearly Pension'!AL$2,'Credited Service'!$G$1:$BC$80,$A55+1,FALSE)) * (IF($B55=500, (Assumptions!$B$7)*12, IF((HLOOKUP(AL$2,Earnings!$G$2:$BC$81,('Yearly Pension'!$A55)+1, FALSE)) &gt; AL$1, (Assumptions!$B$8)*(AL$1) + (Assumptions!$B$9)*MAX(0,  (HLOOKUP(AL$2,Earnings!$G$2:$BC$81,('Yearly Pension'!$A55)+1, FALSE)) - AL$1), ((Assumptions!$B$8)*'Yearly Pension'!AL$1))))</f>
        <v>1182.4568389269957</v>
      </c>
      <c r="AM55" s="6">
        <f>(HLOOKUP('Yearly Pension'!AM$2,'Credited Service'!$G$1:$BC$80,$A55+1,FALSE)) * (IF($B55=500, (Assumptions!$B$7)*12, IF((HLOOKUP(AM$2,Earnings!$G$2:$BC$81,('Yearly Pension'!$A55)+1, FALSE)) &gt; AM$1, (Assumptions!$B$8)*(AM$1) + (Assumptions!$B$9)*MAX(0,  (HLOOKUP(AM$2,Earnings!$G$2:$BC$81,('Yearly Pension'!$A55)+1, FALSE)) - AM$1), ((Assumptions!$B$8)*'Yearly Pension'!AM$1))))</f>
        <v>1232.2895124840757</v>
      </c>
      <c r="AN55" s="6">
        <f>(HLOOKUP('Yearly Pension'!AN$2,'Credited Service'!$G$1:$BC$80,$A55+1,FALSE)) * (IF($B55=500, (Assumptions!$B$7)*12, IF((HLOOKUP(AN$2,Earnings!$G$2:$BC$81,('Yearly Pension'!$A55)+1, FALSE)) &gt; AN$1, (Assumptions!$B$8)*(AN$1) + (Assumptions!$B$9)*MAX(0,  (HLOOKUP(AN$2,Earnings!$G$2:$BC$81,('Yearly Pension'!$A55)+1, FALSE)) - AN$1), ((Assumptions!$B$8)*'Yearly Pension'!AN$1))))</f>
        <v>1287.6738929834387</v>
      </c>
      <c r="AO55" s="6">
        <f>(HLOOKUP('Yearly Pension'!AO$2,'Credited Service'!$G$1:$BC$80,$A55+1,FALSE)) * (IF($B55=500, (Assumptions!$B$7)*12, IF((HLOOKUP(AO$2,Earnings!$G$2:$BC$81,('Yearly Pension'!$A55)+1, FALSE)) &gt; AO$1, (Assumptions!$B$8)*(AO$1) + (Assumptions!$B$9)*MAX(0,  (HLOOKUP(AO$2,Earnings!$G$2:$BC$81,('Yearly Pension'!$A55)+1, FALSE)) - AO$1), ((Assumptions!$B$8)*'Yearly Pension'!AO$1))))</f>
        <v>1344.2240487027766</v>
      </c>
      <c r="AP55" s="6">
        <f>(HLOOKUP('Yearly Pension'!AP$2,'Credited Service'!$G$1:$BC$80,$A55+1,FALSE)) * (IF($B55=500, (Assumptions!$B$7)*12, IF((HLOOKUP(AP$2,Earnings!$G$2:$BC$81,('Yearly Pension'!$A55)+1, FALSE)) &gt; AP$1, (Assumptions!$B$8)*(AP$1) + (Assumptions!$B$9)*MAX(0,  (HLOOKUP(AP$2,Earnings!$G$2:$BC$81,('Yearly Pension'!$A55)+1, FALSE)) - AP$1), ((Assumptions!$B$8)*'Yearly Pension'!AP$1))))</f>
        <v>1398.8378106508876</v>
      </c>
      <c r="AQ55" s="6">
        <f>(HLOOKUP('Yearly Pension'!AQ$2,'Credited Service'!$G$1:$BC$80,$A55+1,FALSE)) * (IF($B55=500, (Assumptions!$B$7)*12, IF((HLOOKUP(AQ$2,Earnings!$G$2:$BC$81,('Yearly Pension'!$A55)+1, FALSE)) &gt; AQ$1, (Assumptions!$B$8)*(AQ$1) + (Assumptions!$B$9)*MAX(0,  (HLOOKUP(AQ$2,Earnings!$G$2:$BC$81,('Yearly Pension'!$A55)+1, FALSE)) - AQ$1), ((Assumptions!$B$8)*'Yearly Pension'!AQ$1))))</f>
        <v>1461.2169230769232</v>
      </c>
      <c r="AR55" s="6">
        <f>(HLOOKUP('Yearly Pension'!AR$2,'Credited Service'!$G$1:$BC$80,$A55+1,FALSE)) * (IF($B55=500, (Assumptions!$B$7)*12, IF((HLOOKUP(AR$2,Earnings!$G$2:$BC$81,('Yearly Pension'!$A55)+1, FALSE)) &gt; AR$1, (Assumptions!$B$8)*(AR$1) + (Assumptions!$B$9)*MAX(0,  (HLOOKUP(AR$2,Earnings!$G$2:$BC$81,('Yearly Pension'!$A55)+1, FALSE)) - AR$1), ((Assumptions!$B$8)*'Yearly Pension'!AR$1))))</f>
        <v>1523.7872</v>
      </c>
      <c r="AS55" s="6">
        <f>(HLOOKUP('Yearly Pension'!AS$2,'Credited Service'!$G$1:$BC$80,$A55+1,FALSE)) * (IF($B55=500, (Assumptions!$B$7)*12, IF((HLOOKUP(AS$2,Earnings!$G$2:$BC$81,('Yearly Pension'!$A55)+1, FALSE)) &gt; AS$1, (Assumptions!$B$8)*(AS$1) + (Assumptions!$B$9)*MAX(0,  (HLOOKUP(AS$2,Earnings!$G$2:$BC$81,('Yearly Pension'!$A55)+1, FALSE)) - AS$1), ((Assumptions!$B$8)*'Yearly Pension'!AS$1))))</f>
        <v>1572.5408159999999</v>
      </c>
      <c r="AT55" s="6">
        <f>(HLOOKUP('Yearly Pension'!AT$2,'Credited Service'!$G$1:$BC$80,$A55+1,FALSE)) * (IF($B55=500, (Assumptions!$B$7)*12, IF((HLOOKUP(AT$2,Earnings!$G$2:$BC$81,('Yearly Pension'!$A55)+1, FALSE)) &gt; AT$1, (Assumptions!$B$8)*(AT$1) + (Assumptions!$B$9)*MAX(0,  (HLOOKUP(AT$2,Earnings!$G$2:$BC$81,('Yearly Pension'!$A55)+1, FALSE)) - AT$1), ((Assumptions!$B$8)*'Yearly Pension'!AT$1))))</f>
        <v>1621.6882404800001</v>
      </c>
      <c r="AU55" s="6">
        <f>(HLOOKUP('Yearly Pension'!AU$2,'Credited Service'!$G$1:$BC$80,$A55+1,FALSE)) * (IF($B55=500, (Assumptions!$B$7)*12, IF((HLOOKUP(AU$2,Earnings!$G$2:$BC$81,('Yearly Pension'!$A55)+1, FALSE)) &gt; AU$1, (Assumptions!$B$8)*(AU$1) + (Assumptions!$B$9)*MAX(0,  (HLOOKUP(AU$2,Earnings!$G$2:$BC$81,('Yearly Pension'!$A55)+1, FALSE)) - AU$1), ((Assumptions!$B$8)*'Yearly Pension'!AU$1))))</f>
        <v>1678.3196876944003</v>
      </c>
      <c r="AV55" s="6">
        <f>(HLOOKUP('Yearly Pension'!AV$2,'Credited Service'!$G$1:$BC$80,$A55+1,FALSE)) * (IF($B55=500, (Assumptions!$B$7)*12, IF((HLOOKUP(AV$2,Earnings!$G$2:$BC$81,('Yearly Pension'!$A55)+1, FALSE)) &gt; AV$1, (Assumptions!$B$8)*(AV$1) + (Assumptions!$B$9)*MAX(0,  (HLOOKUP(AV$2,Earnings!$G$2:$BC$81,('Yearly Pension'!$A55)+1, FALSE)) - AV$1), ((Assumptions!$B$8)*'Yearly Pension'!AV$1))))</f>
        <v>1735.4468783252323</v>
      </c>
      <c r="AW55" s="6">
        <f>(HLOOKUP('Yearly Pension'!AW$2,'Credited Service'!$G$1:$BC$80,$A55+1,FALSE)) * (IF($B55=500, (Assumptions!$B$7)*12, IF((HLOOKUP(AW$2,Earnings!$G$2:$BC$81,('Yearly Pension'!$A55)+1, FALSE)) &gt; AW$1, (Assumptions!$B$8)*(AW$1) + (Assumptions!$B$9)*MAX(0,  (HLOOKUP(AW$2,Earnings!$G$2:$BC$81,('Yearly Pension'!$A55)+1, FALSE)) - AW$1), ((Assumptions!$B$8)*'Yearly Pension'!AW$1))))</f>
        <v>1788.6430846749893</v>
      </c>
      <c r="AX55" s="6">
        <f>(HLOOKUP('Yearly Pension'!AX$2,'Credited Service'!$G$1:$BC$80,$A55+1,FALSE)) * (IF($B55=500, (Assumptions!$B$7)*12, IF((HLOOKUP(AX$2,Earnings!$G$2:$BC$81,('Yearly Pension'!$A55)+1, FALSE)) &gt; AX$1, (Assumptions!$B$8)*(AX$1) + (Assumptions!$B$9)*MAX(0,  (HLOOKUP(AX$2,Earnings!$G$2:$BC$81,('Yearly Pension'!$A55)+1, FALSE)) - AX$1), ((Assumptions!$B$8)*'Yearly Pension'!AX$1))))</f>
        <v>1838.6287772152391</v>
      </c>
      <c r="AY55" s="6">
        <f>(HLOOKUP('Yearly Pension'!AY$2,'Credited Service'!$G$1:$BC$80,$A55+1,FALSE)) * (IF($B55=500, (Assumptions!$B$7)*12, IF((HLOOKUP(AY$2,Earnings!$G$2:$BC$81,('Yearly Pension'!$A55)+1, FALSE)) &gt; AY$1, (Assumptions!$B$8)*(AY$1) + (Assumptions!$B$9)*MAX(0,  (HLOOKUP(AY$2,Earnings!$G$2:$BC$81,('Yearly Pension'!$A55)+1, FALSE)) - AY$1), ((Assumptions!$B$8)*'Yearly Pension'!AY$1))))</f>
        <v>1889.9670965316961</v>
      </c>
      <c r="AZ55" s="6">
        <f>(HLOOKUP('Yearly Pension'!AZ$2,'Credited Service'!$G$1:$BC$80,$A55+1,FALSE)) * (IF($B55=500, (Assumptions!$B$7)*12, IF((HLOOKUP(AZ$2,Earnings!$G$2:$BC$81,('Yearly Pension'!$A55)+1, FALSE)) &gt; AZ$1, (Assumptions!$B$8)*(AZ$1) + (Assumptions!$B$9)*MAX(0,  (HLOOKUP(AZ$2,Earnings!$G$2:$BC$81,('Yearly Pension'!$A55)+1, FALSE)) - AZ$1), ((Assumptions!$B$8)*'Yearly Pension'!AZ$1))))</f>
        <v>1942.6927436676472</v>
      </c>
      <c r="BA55" s="6">
        <f>(HLOOKUP('Yearly Pension'!BA$2,'Credited Service'!$G$1:$BC$80,$A55+1,FALSE)) * (IF($B55=500, (Assumptions!$B$7)*12, IF((HLOOKUP(BA$2,Earnings!$G$2:$BC$81,('Yearly Pension'!$A55)+1, FALSE)) &gt; BA$1, (Assumptions!$B$8)*(BA$1) + (Assumptions!$B$9)*MAX(0,  (HLOOKUP(BA$2,Earnings!$G$2:$BC$81,('Yearly Pension'!$A55)+1, FALSE)) - BA$1), ((Assumptions!$B$8)*'Yearly Pension'!BA$1))))</f>
        <v>1996.8412255872763</v>
      </c>
      <c r="BB55" s="6">
        <f>(HLOOKUP('Yearly Pension'!BB$2,'Credited Service'!$G$1:$BC$80,$A55+1,FALSE)) * (IF($B55=500, (Assumptions!$B$7)*12, IF((HLOOKUP(BB$2,Earnings!$G$2:$BC$81,('Yearly Pension'!$A55)+1, FALSE)) &gt; BB$1, (Assumptions!$B$8)*(BB$1) + (Assumptions!$B$9)*MAX(0,  (HLOOKUP(BB$2,Earnings!$G$2:$BC$81,('Yearly Pension'!$A55)+1, FALSE)) - BB$1), ((Assumptions!$B$8)*'Yearly Pension'!BB$1))))</f>
        <v>2052.4488699488788</v>
      </c>
      <c r="BC55" s="6">
        <f>(HLOOKUP('Yearly Pension'!BC$2,'Credited Service'!$G$1:$BC$80,$A55+1,FALSE)) * (IF($B55=500, (Assumptions!$B$7)*12, IF((HLOOKUP(BC$2,Earnings!$G$2:$BC$81,('Yearly Pension'!$A55)+1, FALSE)) &gt; BC$1, (Assumptions!$B$8)*(BC$1) + (Assumptions!$B$9)*MAX(0,  (HLOOKUP(BC$2,Earnings!$G$2:$BC$81,('Yearly Pension'!$A55)+1, FALSE)) - BC$1), ((Assumptions!$B$8)*'Yearly Pension'!BC$1))))</f>
        <v>2109.5528399450886</v>
      </c>
    </row>
    <row r="56" spans="1:55" x14ac:dyDescent="0.25">
      <c r="A56" s="204">
        <v>54</v>
      </c>
      <c r="B56" s="1">
        <v>600</v>
      </c>
      <c r="C56" s="1">
        <v>655</v>
      </c>
      <c r="D56" s="3">
        <v>33686</v>
      </c>
      <c r="E56" s="3">
        <v>50496</v>
      </c>
      <c r="G56" s="6">
        <f>(HLOOKUP('Yearly Pension'!G$2,'Credited Service'!$G$1:$BC$80,$A56+1,FALSE)) * (IF($B56=500, (Assumptions!$B$7)*12, IF((HLOOKUP(G$2,Earnings!$G$2:$BC$81,('Yearly Pension'!$A56)+1, FALSE)) &gt; G$1, (Assumptions!$B$8)*(G$1) + (Assumptions!$B$9)*MAX(0,  (HLOOKUP(G$2,Earnings!$G$2:$BC$81,('Yearly Pension'!$A56)+1, FALSE)) - G$1), ((Assumptions!$B$8)*'Yearly Pension'!G$1))))</f>
        <v>0</v>
      </c>
      <c r="H56" s="6">
        <f>(HLOOKUP('Yearly Pension'!H$2,'Credited Service'!$G$1:$BC$80,$A56+1,FALSE)) * (IF($B56=500, (Assumptions!$B$7)*12, IF((HLOOKUP(H$2,Earnings!$G$2:$BC$81,('Yearly Pension'!$A56)+1, FALSE)) &gt; H$1, (Assumptions!$B$8)*(H$1) + (Assumptions!$B$9)*MAX(0,  (HLOOKUP(H$2,Earnings!$G$2:$BC$81,('Yearly Pension'!$A56)+1, FALSE)) - H$1), ((Assumptions!$B$8)*'Yearly Pension'!H$1))))</f>
        <v>0</v>
      </c>
      <c r="I56" s="6">
        <f>(HLOOKUP('Yearly Pension'!I$2,'Credited Service'!$G$1:$BC$80,$A56+1,FALSE)) * (IF($B56=500, (Assumptions!$B$7)*12, IF((HLOOKUP(I$2,Earnings!$G$2:$BC$81,('Yearly Pension'!$A56)+1, FALSE)) &gt; I$1, (Assumptions!$B$8)*(I$1) + (Assumptions!$B$9)*MAX(0,  (HLOOKUP(I$2,Earnings!$G$2:$BC$81,('Yearly Pension'!$A56)+1, FALSE)) - I$1), ((Assumptions!$B$8)*'Yearly Pension'!I$1))))</f>
        <v>0</v>
      </c>
      <c r="J56" s="6">
        <f>(HLOOKUP('Yearly Pension'!J$2,'Credited Service'!$G$1:$BC$80,$A56+1,FALSE)) * (IF($B56=500, (Assumptions!$B$7)*12, IF((HLOOKUP(J$2,Earnings!$G$2:$BC$81,('Yearly Pension'!$A56)+1, FALSE)) &gt; J$1, (Assumptions!$B$8)*(J$1) + (Assumptions!$B$9)*MAX(0,  (HLOOKUP(J$2,Earnings!$G$2:$BC$81,('Yearly Pension'!$A56)+1, FALSE)) - J$1), ((Assumptions!$B$8)*'Yearly Pension'!J$1))))</f>
        <v>0</v>
      </c>
      <c r="K56" s="6">
        <f>(HLOOKUP('Yearly Pension'!K$2,'Credited Service'!$G$1:$BC$80,$A56+1,FALSE)) * (IF($B56=500, (Assumptions!$B$7)*12, IF((HLOOKUP(K$2,Earnings!$G$2:$BC$81,('Yearly Pension'!$A56)+1, FALSE)) &gt; K$1, (Assumptions!$B$8)*(K$1) + (Assumptions!$B$9)*MAX(0,  (HLOOKUP(K$2,Earnings!$G$2:$BC$81,('Yearly Pension'!$A56)+1, FALSE)) - K$1), ((Assumptions!$B$8)*'Yearly Pension'!K$1))))</f>
        <v>0</v>
      </c>
      <c r="L56" s="6">
        <f>(HLOOKUP('Yearly Pension'!L$2,'Credited Service'!$G$1:$BC$80,$A56+1,FALSE)) * (IF($B56=500, (Assumptions!$B$7)*12, IF((HLOOKUP(L$2,Earnings!$G$2:$BC$81,('Yearly Pension'!$A56)+1, FALSE)) &gt; L$1, (Assumptions!$B$8)*(L$1) + (Assumptions!$B$9)*MAX(0,  (HLOOKUP(L$2,Earnings!$G$2:$BC$81,('Yearly Pension'!$A56)+1, FALSE)) - L$1), ((Assumptions!$B$8)*'Yearly Pension'!L$1))))</f>
        <v>0</v>
      </c>
      <c r="M56" s="6">
        <f>(HLOOKUP('Yearly Pension'!M$2,'Credited Service'!$G$1:$BC$80,$A56+1,FALSE)) * (IF($B56=500, (Assumptions!$B$7)*12, IF((HLOOKUP(M$2,Earnings!$G$2:$BC$81,('Yearly Pension'!$A56)+1, FALSE)) &gt; M$1, (Assumptions!$B$8)*(M$1) + (Assumptions!$B$9)*MAX(0,  (HLOOKUP(M$2,Earnings!$G$2:$BC$81,('Yearly Pension'!$A56)+1, FALSE)) - M$1), ((Assumptions!$B$8)*'Yearly Pension'!M$1))))</f>
        <v>0</v>
      </c>
      <c r="N56" s="6">
        <f>(HLOOKUP('Yearly Pension'!N$2,'Credited Service'!$G$1:$BC$80,$A56+1,FALSE)) * (IF($B56=500, (Assumptions!$B$7)*12, IF((HLOOKUP(N$2,Earnings!$G$2:$BC$81,('Yearly Pension'!$A56)+1, FALSE)) &gt; N$1, (Assumptions!$B$8)*(N$1) + (Assumptions!$B$9)*MAX(0,  (HLOOKUP(N$2,Earnings!$G$2:$BC$81,('Yearly Pension'!$A56)+1, FALSE)) - N$1), ((Assumptions!$B$8)*'Yearly Pension'!N$1))))</f>
        <v>0</v>
      </c>
      <c r="O56" s="6">
        <f>(HLOOKUP('Yearly Pension'!O$2,'Credited Service'!$G$1:$BC$80,$A56+1,FALSE)) * (IF($B56=500, (Assumptions!$B$7)*12, IF((HLOOKUP(O$2,Earnings!$G$2:$BC$81,('Yearly Pension'!$A56)+1, FALSE)) &gt; O$1, (Assumptions!$B$8)*(O$1) + (Assumptions!$B$9)*MAX(0,  (HLOOKUP(O$2,Earnings!$G$2:$BC$81,('Yearly Pension'!$A56)+1, FALSE)) - O$1), ((Assumptions!$B$8)*'Yearly Pension'!O$1))))</f>
        <v>0</v>
      </c>
      <c r="P56" s="6">
        <f>(HLOOKUP('Yearly Pension'!P$2,'Credited Service'!$G$1:$BC$80,$A56+1,FALSE)) * (IF($B56=500, (Assumptions!$B$7)*12, IF((HLOOKUP(P$2,Earnings!$G$2:$BC$81,('Yearly Pension'!$A56)+1, FALSE)) &gt; P$1, (Assumptions!$B$8)*(P$1) + (Assumptions!$B$9)*MAX(0,  (HLOOKUP(P$2,Earnings!$G$2:$BC$81,('Yearly Pension'!$A56)+1, FALSE)) - P$1), ((Assumptions!$B$8)*'Yearly Pension'!P$1))))</f>
        <v>0</v>
      </c>
      <c r="Q56" s="6">
        <f>(HLOOKUP('Yearly Pension'!Q$2,'Credited Service'!$G$1:$BC$80,$A56+1,FALSE)) * (IF($B56=500, (Assumptions!$B$7)*12, IF((HLOOKUP(Q$2,Earnings!$G$2:$BC$81,('Yearly Pension'!$A56)+1, FALSE)) &gt; Q$1, (Assumptions!$B$8)*(Q$1) + (Assumptions!$B$9)*MAX(0,  (HLOOKUP(Q$2,Earnings!$G$2:$BC$81,('Yearly Pension'!$A56)+1, FALSE)) - Q$1), ((Assumptions!$B$8)*'Yearly Pension'!Q$1))))</f>
        <v>0</v>
      </c>
      <c r="R56" s="6">
        <f>(HLOOKUP('Yearly Pension'!R$2,'Credited Service'!$G$1:$BC$80,$A56+1,FALSE)) * (IF($B56=500, (Assumptions!$B$7)*12, IF((HLOOKUP(R$2,Earnings!$G$2:$BC$81,('Yearly Pension'!$A56)+1, FALSE)) &gt; R$1, (Assumptions!$B$8)*(R$1) + (Assumptions!$B$9)*MAX(0,  (HLOOKUP(R$2,Earnings!$G$2:$BC$81,('Yearly Pension'!$A56)+1, FALSE)) - R$1), ((Assumptions!$B$8)*'Yearly Pension'!R$1))))</f>
        <v>0</v>
      </c>
      <c r="S56" s="6">
        <f>(HLOOKUP('Yearly Pension'!S$2,'Credited Service'!$G$1:$BC$80,$A56+1,FALSE)) * (IF($B56=500, (Assumptions!$B$7)*12, IF((HLOOKUP(S$2,Earnings!$G$2:$BC$81,('Yearly Pension'!$A56)+1, FALSE)) &gt; S$1, (Assumptions!$B$8)*(S$1) + (Assumptions!$B$9)*MAX(0,  (HLOOKUP(S$2,Earnings!$G$2:$BC$81,('Yearly Pension'!$A56)+1, FALSE)) - S$1), ((Assumptions!$B$8)*'Yearly Pension'!S$1))))</f>
        <v>0</v>
      </c>
      <c r="T56" s="6">
        <f>(HLOOKUP('Yearly Pension'!T$2,'Credited Service'!$G$1:$BC$80,$A56+1,FALSE)) * (IF($B56=500, (Assumptions!$B$7)*12, IF((HLOOKUP(T$2,Earnings!$G$2:$BC$81,('Yearly Pension'!$A56)+1, FALSE)) &gt; T$1, (Assumptions!$B$8)*(T$1) + (Assumptions!$B$9)*MAX(0,  (HLOOKUP(T$2,Earnings!$G$2:$BC$81,('Yearly Pension'!$A56)+1, FALSE)) - T$1), ((Assumptions!$B$8)*'Yearly Pension'!T$1))))</f>
        <v>0</v>
      </c>
      <c r="U56" s="6">
        <f>(HLOOKUP('Yearly Pension'!U$2,'Credited Service'!$G$1:$BC$80,$A56+1,FALSE)) * (IF($B56=500, (Assumptions!$B$7)*12, IF((HLOOKUP(U$2,Earnings!$G$2:$BC$81,('Yearly Pension'!$A56)+1, FALSE)) &gt; U$1, (Assumptions!$B$8)*(U$1) + (Assumptions!$B$9)*MAX(0,  (HLOOKUP(U$2,Earnings!$G$2:$BC$81,('Yearly Pension'!$A56)+1, FALSE)) - U$1), ((Assumptions!$B$8)*'Yearly Pension'!U$1))))</f>
        <v>0</v>
      </c>
      <c r="V56" s="6">
        <f>(HLOOKUP('Yearly Pension'!V$2,'Credited Service'!$G$1:$BC$80,$A56+1,FALSE)) * (IF($B56=500, (Assumptions!$B$7)*12, IF((HLOOKUP(V$2,Earnings!$G$2:$BC$81,('Yearly Pension'!$A56)+1, FALSE)) &gt; V$1, (Assumptions!$B$8)*(V$1) + (Assumptions!$B$9)*MAX(0,  (HLOOKUP(V$2,Earnings!$G$2:$BC$81,('Yearly Pension'!$A56)+1, FALSE)) - V$1), ((Assumptions!$B$8)*'Yearly Pension'!V$1))))</f>
        <v>439.22091563483082</v>
      </c>
      <c r="W56" s="6">
        <f>(HLOOKUP('Yearly Pension'!W$2,'Credited Service'!$G$1:$BC$80,$A56+1,FALSE)) * (IF($B56=500, (Assumptions!$B$7)*12, IF((HLOOKUP(W$2,Earnings!$G$2:$BC$81,('Yearly Pension'!$A56)+1, FALSE)) &gt; W$1, (Assumptions!$B$8)*(W$1) + (Assumptions!$B$9)*MAX(0,  (HLOOKUP(W$2,Earnings!$G$2:$BC$81,('Yearly Pension'!$A56)+1, FALSE)) - W$1), ((Assumptions!$B$8)*'Yearly Pension'!W$1))))</f>
        <v>609.61620301363212</v>
      </c>
      <c r="X56" s="6">
        <f>(HLOOKUP('Yearly Pension'!X$2,'Credited Service'!$G$1:$BC$80,$A56+1,FALSE)) * (IF($B56=500, (Assumptions!$B$7)*12, IF((HLOOKUP(X$2,Earnings!$G$2:$BC$81,('Yearly Pension'!$A56)+1, FALSE)) &gt; X$1, (Assumptions!$B$8)*(X$1) + (Assumptions!$B$9)*MAX(0,  (HLOOKUP(X$2,Earnings!$G$2:$BC$81,('Yearly Pension'!$A56)+1, FALSE)) - X$1), ((Assumptions!$B$8)*'Yearly Pension'!X$1))))</f>
        <v>636.15125113417741</v>
      </c>
      <c r="Y56" s="6">
        <f>(HLOOKUP('Yearly Pension'!Y$2,'Credited Service'!$G$1:$BC$80,$A56+1,FALSE)) * (IF($B56=500, (Assumptions!$B$7)*12, IF((HLOOKUP(Y$2,Earnings!$G$2:$BC$81,('Yearly Pension'!$A56)+1, FALSE)) &gt; Y$1, (Assumptions!$B$8)*(Y$1) + (Assumptions!$B$9)*MAX(0,  (HLOOKUP(Y$2,Earnings!$G$2:$BC$81,('Yearly Pension'!$A56)+1, FALSE)) - Y$1), ((Assumptions!$B$8)*'Yearly Pension'!Y$1))))</f>
        <v>667.20370117954462</v>
      </c>
      <c r="Z56" s="6">
        <f>(HLOOKUP('Yearly Pension'!Z$2,'Credited Service'!$G$1:$BC$80,$A56+1,FALSE)) * (IF($B56=500, (Assumptions!$B$7)*12, IF((HLOOKUP(Z$2,Earnings!$G$2:$BC$81,('Yearly Pension'!$A56)+1, FALSE)) &gt; Z$1, (Assumptions!$B$8)*(Z$1) + (Assumptions!$B$9)*MAX(0,  (HLOOKUP(Z$2,Earnings!$G$2:$BC$81,('Yearly Pension'!$A56)+1, FALSE)) - Z$1), ((Assumptions!$B$8)*'Yearly Pension'!Z$1))))</f>
        <v>699.62624922672637</v>
      </c>
      <c r="AA56" s="6">
        <f>(HLOOKUP('Yearly Pension'!AA$2,'Credited Service'!$G$1:$BC$80,$A56+1,FALSE)) * (IF($B56=500, (Assumptions!$B$7)*12, IF((HLOOKUP(AA$2,Earnings!$G$2:$BC$81,('Yearly Pension'!$A56)+1, FALSE)) &gt; AA$1, (Assumptions!$B$8)*(AA$1) + (Assumptions!$B$9)*MAX(0,  (HLOOKUP(AA$2,Earnings!$G$2:$BC$81,('Yearly Pension'!$A56)+1, FALSE)) - AA$1), ((Assumptions!$B$8)*'Yearly Pension'!AA$1))))</f>
        <v>734.11369919579545</v>
      </c>
      <c r="AB56" s="6">
        <f>(HLOOKUP('Yearly Pension'!AB$2,'Credited Service'!$G$1:$BC$80,$A56+1,FALSE)) * (IF($B56=500, (Assumptions!$B$7)*12, IF((HLOOKUP(AB$2,Earnings!$G$2:$BC$81,('Yearly Pension'!$A56)+1, FALSE)) &gt; AB$1, (Assumptions!$B$8)*(AB$1) + (Assumptions!$B$9)*MAX(0,  (HLOOKUP(AB$2,Earnings!$G$2:$BC$81,('Yearly Pension'!$A56)+1, FALSE)) - AB$1), ((Assumptions!$B$8)*'Yearly Pension'!AB$1))))</f>
        <v>765.60304716362725</v>
      </c>
      <c r="AC56" s="6">
        <f>(HLOOKUP('Yearly Pension'!AC$2,'Credited Service'!$G$1:$BC$80,$A56+1,FALSE)) * (IF($B56=500, (Assumptions!$B$7)*12, IF((HLOOKUP(AC$2,Earnings!$G$2:$BC$81,('Yearly Pension'!$A56)+1, FALSE)) &gt; AC$1, (Assumptions!$B$8)*(AC$1) + (Assumptions!$B$9)*MAX(0,  (HLOOKUP(AC$2,Earnings!$G$2:$BC$81,('Yearly Pension'!$A56)+1, FALSE)) - AC$1), ((Assumptions!$B$8)*'Yearly Pension'!AC$1))))</f>
        <v>802.4735690501725</v>
      </c>
      <c r="AD56" s="6">
        <f>(HLOOKUP('Yearly Pension'!AD$2,'Credited Service'!$G$1:$BC$80,$A56+1,FALSE)) * (IF($B56=500, (Assumptions!$B$7)*12, IF((HLOOKUP(AD$2,Earnings!$G$2:$BC$81,('Yearly Pension'!$A56)+1, FALSE)) &gt; AD$1, (Assumptions!$B$8)*(AD$1) + (Assumptions!$B$9)*MAX(0,  (HLOOKUP(AD$2,Earnings!$G$2:$BC$81,('Yearly Pension'!$A56)+1, FALSE)) - AD$1), ((Assumptions!$B$8)*'Yearly Pension'!AD$1))))</f>
        <v>842.86691181217941</v>
      </c>
      <c r="AE56" s="6">
        <f>(HLOOKUP('Yearly Pension'!AE$2,'Credited Service'!$G$1:$BC$80,$A56+1,FALSE)) * (IF($B56=500, (Assumptions!$B$7)*12, IF((HLOOKUP(AE$2,Earnings!$G$2:$BC$81,('Yearly Pension'!$A56)+1, FALSE)) &gt; AE$1, (Assumptions!$B$8)*(AE$1) + (Assumptions!$B$9)*MAX(0,  (HLOOKUP(AE$2,Earnings!$G$2:$BC$81,('Yearly Pension'!$A56)+1, FALSE)) - AE$1), ((Assumptions!$B$8)*'Yearly Pension'!AE$1))))</f>
        <v>881.72718828466668</v>
      </c>
      <c r="AF56" s="6">
        <f>(HLOOKUP('Yearly Pension'!AF$2,'Credited Service'!$G$1:$BC$80,$A56+1,FALSE)) * (IF($B56=500, (Assumptions!$B$7)*12, IF((HLOOKUP(AF$2,Earnings!$G$2:$BC$81,('Yearly Pension'!$A56)+1, FALSE)) &gt; AF$1, (Assumptions!$B$8)*(AF$1) + (Assumptions!$B$9)*MAX(0,  (HLOOKUP(AF$2,Earnings!$G$2:$BC$81,('Yearly Pension'!$A56)+1, FALSE)) - AF$1), ((Assumptions!$B$8)*'Yearly Pension'!AF$1))))</f>
        <v>921.68107581605341</v>
      </c>
      <c r="AG56" s="6">
        <f>(HLOOKUP('Yearly Pension'!AG$2,'Credited Service'!$G$1:$BC$80,$A56+1,FALSE)) * (IF($B56=500, (Assumptions!$B$7)*12, IF((HLOOKUP(AG$2,Earnings!$G$2:$BC$81,('Yearly Pension'!$A56)+1, FALSE)) &gt; AG$1, (Assumptions!$B$8)*(AG$1) + (Assumptions!$B$9)*MAX(0,  (HLOOKUP(AG$2,Earnings!$G$2:$BC$81,('Yearly Pension'!$A56)+1, FALSE)) - AG$1), ((Assumptions!$B$8)*'Yearly Pension'!AG$1))))</f>
        <v>963.43791884869552</v>
      </c>
      <c r="AH56" s="6">
        <f>(HLOOKUP('Yearly Pension'!AH$2,'Credited Service'!$G$1:$BC$80,$A56+1,FALSE)) * (IF($B56=500, (Assumptions!$B$7)*12, IF((HLOOKUP(AH$2,Earnings!$G$2:$BC$81,('Yearly Pension'!$A56)+1, FALSE)) &gt; AH$1, (Assumptions!$B$8)*(AH$1) + (Assumptions!$B$9)*MAX(0,  (HLOOKUP(AH$2,Earnings!$G$2:$BC$81,('Yearly Pension'!$A56)+1, FALSE)) - AH$1), ((Assumptions!$B$8)*'Yearly Pension'!AH$1))))</f>
        <v>1008.3498356026435</v>
      </c>
      <c r="AI56" s="6">
        <f>(HLOOKUP('Yearly Pension'!AI$2,'Credited Service'!$G$1:$BC$80,$A56+1,FALSE)) * (IF($B56=500, (Assumptions!$B$7)*12, IF((HLOOKUP(AI$2,Earnings!$G$2:$BC$81,('Yearly Pension'!$A56)+1, FALSE)) &gt; AI$1, (Assumptions!$B$8)*(AI$1) + (Assumptions!$B$9)*MAX(0,  (HLOOKUP(AI$2,Earnings!$G$2:$BC$81,('Yearly Pension'!$A56)+1, FALSE)) - AI$1), ((Assumptions!$B$8)*'Yearly Pension'!AI$1))))</f>
        <v>1055.211829026749</v>
      </c>
      <c r="AJ56" s="6">
        <f>(HLOOKUP('Yearly Pension'!AJ$2,'Credited Service'!$G$1:$BC$80,$A56+1,FALSE)) * (IF($B56=500, (Assumptions!$B$7)*12, IF((HLOOKUP(AJ$2,Earnings!$G$2:$BC$81,('Yearly Pension'!$A56)+1, FALSE)) &gt; AJ$1, (Assumptions!$B$8)*(AJ$1) + (Assumptions!$B$9)*MAX(0,  (HLOOKUP(AJ$2,Earnings!$G$2:$BC$81,('Yearly Pension'!$A56)+1, FALSE)) - AJ$1), ((Assumptions!$B$8)*'Yearly Pension'!AJ$1))))</f>
        <v>1101.541902187819</v>
      </c>
      <c r="AK56" s="6">
        <f>(HLOOKUP('Yearly Pension'!AK$2,'Credited Service'!$G$1:$BC$80,$A56+1,FALSE)) * (IF($B56=500, (Assumptions!$B$7)*12, IF((HLOOKUP(AK$2,Earnings!$G$2:$BC$81,('Yearly Pension'!$A56)+1, FALSE)) &gt; AK$1, (Assumptions!$B$8)*(AK$1) + (Assumptions!$B$9)*MAX(0,  (HLOOKUP(AK$2,Earnings!$G$2:$BC$81,('Yearly Pension'!$A56)+1, FALSE)) - AK$1), ((Assumptions!$B$8)*'Yearly Pension'!AK$1))))</f>
        <v>1146.1411782753319</v>
      </c>
      <c r="AL56" s="6">
        <f>(HLOOKUP('Yearly Pension'!AL$2,'Credited Service'!$G$1:$BC$80,$A56+1,FALSE)) * (IF($B56=500, (Assumptions!$B$7)*12, IF((HLOOKUP(AL$2,Earnings!$G$2:$BC$81,('Yearly Pension'!$A56)+1, FALSE)) &gt; AL$1, (Assumptions!$B$8)*(AL$1) + (Assumptions!$B$9)*MAX(0,  (HLOOKUP(AL$2,Earnings!$G$2:$BC$81,('Yearly Pension'!$A56)+1, FALSE)) - AL$1), ((Assumptions!$B$8)*'Yearly Pension'!AL$1))))</f>
        <v>1195.4940254063454</v>
      </c>
      <c r="AM56" s="6">
        <f>(HLOOKUP('Yearly Pension'!AM$2,'Credited Service'!$G$1:$BC$80,$A56+1,FALSE)) * (IF($B56=500, (Assumptions!$B$7)*12, IF((HLOOKUP(AM$2,Earnings!$G$2:$BC$81,('Yearly Pension'!$A56)+1, FALSE)) &gt; AM$1, (Assumptions!$B$8)*(AM$1) + (Assumptions!$B$9)*MAX(0,  (HLOOKUP(AM$2,Earnings!$G$2:$BC$81,('Yearly Pension'!$A56)+1, FALSE)) - AM$1), ((Assumptions!$B$8)*'Yearly Pension'!AM$1))))</f>
        <v>1245.8481864225992</v>
      </c>
      <c r="AN56" s="6">
        <f>(HLOOKUP('Yearly Pension'!AN$2,'Credited Service'!$G$1:$BC$80,$A56+1,FALSE)) * (IF($B56=500, (Assumptions!$B$7)*12, IF((HLOOKUP(AN$2,Earnings!$G$2:$BC$81,('Yearly Pension'!$A56)+1, FALSE)) &gt; AN$1, (Assumptions!$B$8)*(AN$1) + (Assumptions!$B$9)*MAX(0,  (HLOOKUP(AN$2,Earnings!$G$2:$BC$81,('Yearly Pension'!$A56)+1, FALSE)) - AN$1), ((Assumptions!$B$8)*'Yearly Pension'!AN$1))))</f>
        <v>1301.7749138795032</v>
      </c>
      <c r="AO56" s="6">
        <f>(HLOOKUP('Yearly Pension'!AO$2,'Credited Service'!$G$1:$BC$80,$A56+1,FALSE)) * (IF($B56=500, (Assumptions!$B$7)*12, IF((HLOOKUP(AO$2,Earnings!$G$2:$BC$81,('Yearly Pension'!$A56)+1, FALSE)) &gt; AO$1, (Assumptions!$B$8)*(AO$1) + (Assumptions!$B$9)*MAX(0,  (HLOOKUP(AO$2,Earnings!$G$2:$BC$81,('Yearly Pension'!$A56)+1, FALSE)) - AO$1), ((Assumptions!$B$8)*'Yearly Pension'!AO$1))))</f>
        <v>1358.8891104346835</v>
      </c>
      <c r="AP56" s="6">
        <f>(HLOOKUP('Yearly Pension'!AP$2,'Credited Service'!$G$1:$BC$80,$A56+1,FALSE)) * (IF($B56=500, (Assumptions!$B$7)*12, IF((HLOOKUP(AP$2,Earnings!$G$2:$BC$81,('Yearly Pension'!$A56)+1, FALSE)) &gt; AP$1, (Assumptions!$B$8)*(AP$1) + (Assumptions!$B$9)*MAX(0,  (HLOOKUP(AP$2,Earnings!$G$2:$BC$81,('Yearly Pension'!$A56)+1, FALSE)) - AP$1), ((Assumptions!$B$8)*'Yearly Pension'!AP$1))))</f>
        <v>1414.0894748520709</v>
      </c>
      <c r="AQ56" s="6">
        <f>(HLOOKUP('Yearly Pension'!AQ$2,'Credited Service'!$G$1:$BC$80,$A56+1,FALSE)) * (IF($B56=500, (Assumptions!$B$7)*12, IF((HLOOKUP(AQ$2,Earnings!$G$2:$BC$81,('Yearly Pension'!$A56)+1, FALSE)) &gt; AQ$1, (Assumptions!$B$8)*(AQ$1) + (Assumptions!$B$9)*MAX(0,  (HLOOKUP(AQ$2,Earnings!$G$2:$BC$81,('Yearly Pension'!$A56)+1, FALSE)) - AQ$1), ((Assumptions!$B$8)*'Yearly Pension'!AQ$1))))</f>
        <v>1477.0786538461537</v>
      </c>
      <c r="AR56" s="6">
        <f>(HLOOKUP('Yearly Pension'!AR$2,'Credited Service'!$G$1:$BC$80,$A56+1,FALSE)) * (IF($B56=500, (Assumptions!$B$7)*12, IF((HLOOKUP(AR$2,Earnings!$G$2:$BC$81,('Yearly Pension'!$A56)+1, FALSE)) &gt; AR$1, (Assumptions!$B$8)*(AR$1) + (Assumptions!$B$9)*MAX(0,  (HLOOKUP(AR$2,Earnings!$G$2:$BC$81,('Yearly Pension'!$A56)+1, FALSE)) - AR$1), ((Assumptions!$B$8)*'Yearly Pension'!AR$1))))</f>
        <v>1540.2834</v>
      </c>
      <c r="AS56" s="6">
        <f>(HLOOKUP('Yearly Pension'!AS$2,'Credited Service'!$G$1:$BC$80,$A56+1,FALSE)) * (IF($B56=500, (Assumptions!$B$7)*12, IF((HLOOKUP(AS$2,Earnings!$G$2:$BC$81,('Yearly Pension'!$A56)+1, FALSE)) &gt; AS$1, (Assumptions!$B$8)*(AS$1) + (Assumptions!$B$9)*MAX(0,  (HLOOKUP(AS$2,Earnings!$G$2:$BC$81,('Yearly Pension'!$A56)+1, FALSE)) - AS$1), ((Assumptions!$B$8)*'Yearly Pension'!AS$1))))</f>
        <v>1589.5319020000002</v>
      </c>
      <c r="AT56" s="6">
        <f>(HLOOKUP('Yearly Pension'!AT$2,'Credited Service'!$G$1:$BC$80,$A56+1,FALSE)) * (IF($B56=500, (Assumptions!$B$7)*12, IF((HLOOKUP(AT$2,Earnings!$G$2:$BC$81,('Yearly Pension'!$A56)+1, FALSE)) &gt; AT$1, (Assumptions!$B$8)*(AT$1) + (Assumptions!$B$9)*MAX(0,  (HLOOKUP(AT$2,Earnings!$G$2:$BC$81,('Yearly Pension'!$A56)+1, FALSE)) - AT$1), ((Assumptions!$B$8)*'Yearly Pension'!AT$1))))</f>
        <v>1639.1890590600003</v>
      </c>
      <c r="AU56" s="6">
        <f>(HLOOKUP('Yearly Pension'!AU$2,'Credited Service'!$G$1:$BC$80,$A56+1,FALSE)) * (IF($B56=500, (Assumptions!$B$7)*12, IF((HLOOKUP(AU$2,Earnings!$G$2:$BC$81,('Yearly Pension'!$A56)+1, FALSE)) &gt; AU$1, (Assumptions!$B$8)*(AU$1) + (Assumptions!$B$9)*MAX(0,  (HLOOKUP(AU$2,Earnings!$G$2:$BC$81,('Yearly Pension'!$A56)+1, FALSE)) - AU$1), ((Assumptions!$B$8)*'Yearly Pension'!AU$1))))</f>
        <v>1696.3455308318003</v>
      </c>
      <c r="AV56" s="6">
        <f>(HLOOKUP('Yearly Pension'!AV$2,'Credited Service'!$G$1:$BC$80,$A56+1,FALSE)) * (IF($B56=500, (Assumptions!$B$7)*12, IF((HLOOKUP(AV$2,Earnings!$G$2:$BC$81,('Yearly Pension'!$A56)+1, FALSE)) &gt; AV$1, (Assumptions!$B$8)*(AV$1) + (Assumptions!$B$9)*MAX(0,  (HLOOKUP(AV$2,Earnings!$G$2:$BC$81,('Yearly Pension'!$A56)+1, FALSE)) - AV$1), ((Assumptions!$B$8)*'Yearly Pension'!AV$1))))</f>
        <v>1754.0134967567546</v>
      </c>
      <c r="AW56" s="6">
        <f>(HLOOKUP('Yearly Pension'!AW$2,'Credited Service'!$G$1:$BC$80,$A56+1,FALSE)) * (IF($B56=500, (Assumptions!$B$7)*12, IF((HLOOKUP(AW$2,Earnings!$G$2:$BC$81,('Yearly Pension'!$A56)+1, FALSE)) &gt; AW$1, (Assumptions!$B$8)*(AW$1) + (Assumptions!$B$9)*MAX(0,  (HLOOKUP(AW$2,Earnings!$G$2:$BC$81,('Yearly Pension'!$A56)+1, FALSE)) - AW$1), ((Assumptions!$B$8)*'Yearly Pension'!AW$1))))</f>
        <v>1807.7667016594573</v>
      </c>
      <c r="AX56" s="6">
        <f>(HLOOKUP('Yearly Pension'!AX$2,'Credited Service'!$G$1:$BC$80,$A56+1,FALSE)) * (IF($B56=500, (Assumptions!$B$7)*12, IF((HLOOKUP(AX$2,Earnings!$G$2:$BC$81,('Yearly Pension'!$A56)+1, FALSE)) &gt; AX$1, (Assumptions!$B$8)*(AX$1) + (Assumptions!$B$9)*MAX(0,  (HLOOKUP(AX$2,Earnings!$G$2:$BC$81,('Yearly Pension'!$A56)+1, FALSE)) - AX$1), ((Assumptions!$B$8)*'Yearly Pension'!AX$1))))</f>
        <v>1858.3261027092408</v>
      </c>
      <c r="AY56" s="6">
        <f>(HLOOKUP('Yearly Pension'!AY$2,'Credited Service'!$G$1:$BC$80,$A56+1,FALSE)) * (IF($B56=500, (Assumptions!$B$7)*12, IF((HLOOKUP(AY$2,Earnings!$G$2:$BC$81,('Yearly Pension'!$A56)+1, FALSE)) &gt; AY$1, (Assumptions!$B$8)*(AY$1) + (Assumptions!$B$9)*MAX(0,  (HLOOKUP(AY$2,Earnings!$G$2:$BC$81,('Yearly Pension'!$A56)+1, FALSE)) - AY$1), ((Assumptions!$B$8)*'Yearly Pension'!AY$1))))</f>
        <v>1910.2553417905183</v>
      </c>
      <c r="AZ56" s="6">
        <f>(HLOOKUP('Yearly Pension'!AZ$2,'Credited Service'!$G$1:$BC$80,$A56+1,FALSE)) * (IF($B56=500, (Assumptions!$B$7)*12, IF((HLOOKUP(AZ$2,Earnings!$G$2:$BC$81,('Yearly Pension'!$A56)+1, FALSE)) &gt; AZ$1, (Assumptions!$B$8)*(AZ$1) + (Assumptions!$B$9)*MAX(0,  (HLOOKUP(AZ$2,Earnings!$G$2:$BC$81,('Yearly Pension'!$A56)+1, FALSE)) - AZ$1), ((Assumptions!$B$8)*'Yearly Pension'!AZ$1))))</f>
        <v>1963.5896362842338</v>
      </c>
      <c r="BA56" s="6">
        <f>(HLOOKUP('Yearly Pension'!BA$2,'Credited Service'!$G$1:$BC$80,$A56+1,FALSE)) * (IF($B56=500, (Assumptions!$B$7)*12, IF((HLOOKUP(BA$2,Earnings!$G$2:$BC$81,('Yearly Pension'!$A56)+1, FALSE)) &gt; BA$1, (Assumptions!$B$8)*(BA$1) + (Assumptions!$B$9)*MAX(0,  (HLOOKUP(BA$2,Earnings!$G$2:$BC$81,('Yearly Pension'!$A56)+1, FALSE)) - BA$1), ((Assumptions!$B$8)*'Yearly Pension'!BA$1))))</f>
        <v>2018.3650249823609</v>
      </c>
      <c r="BB56" s="6">
        <f>(HLOOKUP('Yearly Pension'!BB$2,'Credited Service'!$G$1:$BC$80,$A56+1,FALSE)) * (IF($B56=500, (Assumptions!$B$7)*12, IF((HLOOKUP(BB$2,Earnings!$G$2:$BC$81,('Yearly Pension'!$A56)+1, FALSE)) &gt; BB$1, (Assumptions!$B$8)*(BB$1) + (Assumptions!$B$9)*MAX(0,  (HLOOKUP(BB$2,Earnings!$G$2:$BC$81,('Yearly Pension'!$A56)+1, FALSE)) - BB$1), ((Assumptions!$B$8)*'Yearly Pension'!BB$1))))</f>
        <v>2074.6183833258156</v>
      </c>
      <c r="BC56" s="6">
        <f>(HLOOKUP('Yearly Pension'!BC$2,'Credited Service'!$G$1:$BC$80,$A56+1,FALSE)) * (IF($B56=500, (Assumptions!$B$7)*12, IF((HLOOKUP(BC$2,Earnings!$G$2:$BC$81,('Yearly Pension'!$A56)+1, FALSE)) &gt; BC$1, (Assumptions!$B$8)*(BC$1) + (Assumptions!$B$9)*MAX(0,  (HLOOKUP(BC$2,Earnings!$G$2:$BC$81,('Yearly Pension'!$A56)+1, FALSE)) - BC$1), ((Assumptions!$B$8)*'Yearly Pension'!BC$1))))</f>
        <v>2132.3874387233336</v>
      </c>
    </row>
    <row r="57" spans="1:55" x14ac:dyDescent="0.25">
      <c r="A57" s="204">
        <v>55</v>
      </c>
      <c r="B57" s="1">
        <v>600</v>
      </c>
      <c r="C57" s="1">
        <v>644</v>
      </c>
      <c r="D57" s="3">
        <v>33448</v>
      </c>
      <c r="E57" s="3">
        <v>47178</v>
      </c>
      <c r="G57" s="6">
        <f>(HLOOKUP('Yearly Pension'!G$2,'Credited Service'!$G$1:$BC$80,$A57+1,FALSE)) * (IF($B57=500, (Assumptions!$B$7)*12, IF((HLOOKUP(G$2,Earnings!$G$2:$BC$81,('Yearly Pension'!$A57)+1, FALSE)) &gt; G$1, (Assumptions!$B$8)*(G$1) + (Assumptions!$B$9)*MAX(0,  (HLOOKUP(G$2,Earnings!$G$2:$BC$81,('Yearly Pension'!$A57)+1, FALSE)) - G$1), ((Assumptions!$B$8)*'Yearly Pension'!G$1))))</f>
        <v>0</v>
      </c>
      <c r="H57" s="6">
        <f>(HLOOKUP('Yearly Pension'!H$2,'Credited Service'!$G$1:$BC$80,$A57+1,FALSE)) * (IF($B57=500, (Assumptions!$B$7)*12, IF((HLOOKUP(H$2,Earnings!$G$2:$BC$81,('Yearly Pension'!$A57)+1, FALSE)) &gt; H$1, (Assumptions!$B$8)*(H$1) + (Assumptions!$B$9)*MAX(0,  (HLOOKUP(H$2,Earnings!$G$2:$BC$81,('Yearly Pension'!$A57)+1, FALSE)) - H$1), ((Assumptions!$B$8)*'Yearly Pension'!H$1))))</f>
        <v>0</v>
      </c>
      <c r="I57" s="6">
        <f>(HLOOKUP('Yearly Pension'!I$2,'Credited Service'!$G$1:$BC$80,$A57+1,FALSE)) * (IF($B57=500, (Assumptions!$B$7)*12, IF((HLOOKUP(I$2,Earnings!$G$2:$BC$81,('Yearly Pension'!$A57)+1, FALSE)) &gt; I$1, (Assumptions!$B$8)*(I$1) + (Assumptions!$B$9)*MAX(0,  (HLOOKUP(I$2,Earnings!$G$2:$BC$81,('Yearly Pension'!$A57)+1, FALSE)) - I$1), ((Assumptions!$B$8)*'Yearly Pension'!I$1))))</f>
        <v>0</v>
      </c>
      <c r="J57" s="6">
        <f>(HLOOKUP('Yearly Pension'!J$2,'Credited Service'!$G$1:$BC$80,$A57+1,FALSE)) * (IF($B57=500, (Assumptions!$B$7)*12, IF((HLOOKUP(J$2,Earnings!$G$2:$BC$81,('Yearly Pension'!$A57)+1, FALSE)) &gt; J$1, (Assumptions!$B$8)*(J$1) + (Assumptions!$B$9)*MAX(0,  (HLOOKUP(J$2,Earnings!$G$2:$BC$81,('Yearly Pension'!$A57)+1, FALSE)) - J$1), ((Assumptions!$B$8)*'Yearly Pension'!J$1))))</f>
        <v>0</v>
      </c>
      <c r="K57" s="6">
        <f>(HLOOKUP('Yearly Pension'!K$2,'Credited Service'!$G$1:$BC$80,$A57+1,FALSE)) * (IF($B57=500, (Assumptions!$B$7)*12, IF((HLOOKUP(K$2,Earnings!$G$2:$BC$81,('Yearly Pension'!$A57)+1, FALSE)) &gt; K$1, (Assumptions!$B$8)*(K$1) + (Assumptions!$B$9)*MAX(0,  (HLOOKUP(K$2,Earnings!$G$2:$BC$81,('Yearly Pension'!$A57)+1, FALSE)) - K$1), ((Assumptions!$B$8)*'Yearly Pension'!K$1))))</f>
        <v>0</v>
      </c>
      <c r="L57" s="6">
        <f>(HLOOKUP('Yearly Pension'!L$2,'Credited Service'!$G$1:$BC$80,$A57+1,FALSE)) * (IF($B57=500, (Assumptions!$B$7)*12, IF((HLOOKUP(L$2,Earnings!$G$2:$BC$81,('Yearly Pension'!$A57)+1, FALSE)) &gt; L$1, (Assumptions!$B$8)*(L$1) + (Assumptions!$B$9)*MAX(0,  (HLOOKUP(L$2,Earnings!$G$2:$BC$81,('Yearly Pension'!$A57)+1, FALSE)) - L$1), ((Assumptions!$B$8)*'Yearly Pension'!L$1))))</f>
        <v>0</v>
      </c>
      <c r="M57" s="6">
        <f>(HLOOKUP('Yearly Pension'!M$2,'Credited Service'!$G$1:$BC$80,$A57+1,FALSE)) * (IF($B57=500, (Assumptions!$B$7)*12, IF((HLOOKUP(M$2,Earnings!$G$2:$BC$81,('Yearly Pension'!$A57)+1, FALSE)) &gt; M$1, (Assumptions!$B$8)*(M$1) + (Assumptions!$B$9)*MAX(0,  (HLOOKUP(M$2,Earnings!$G$2:$BC$81,('Yearly Pension'!$A57)+1, FALSE)) - M$1), ((Assumptions!$B$8)*'Yearly Pension'!M$1))))</f>
        <v>0</v>
      </c>
      <c r="N57" s="6">
        <f>(HLOOKUP('Yearly Pension'!N$2,'Credited Service'!$G$1:$BC$80,$A57+1,FALSE)) * (IF($B57=500, (Assumptions!$B$7)*12, IF((HLOOKUP(N$2,Earnings!$G$2:$BC$81,('Yearly Pension'!$A57)+1, FALSE)) &gt; N$1, (Assumptions!$B$8)*(N$1) + (Assumptions!$B$9)*MAX(0,  (HLOOKUP(N$2,Earnings!$G$2:$BC$81,('Yearly Pension'!$A57)+1, FALSE)) - N$1), ((Assumptions!$B$8)*'Yearly Pension'!N$1))))</f>
        <v>0</v>
      </c>
      <c r="O57" s="6">
        <f>(HLOOKUP('Yearly Pension'!O$2,'Credited Service'!$G$1:$BC$80,$A57+1,FALSE)) * (IF($B57=500, (Assumptions!$B$7)*12, IF((HLOOKUP(O$2,Earnings!$G$2:$BC$81,('Yearly Pension'!$A57)+1, FALSE)) &gt; O$1, (Assumptions!$B$8)*(O$1) + (Assumptions!$B$9)*MAX(0,  (HLOOKUP(O$2,Earnings!$G$2:$BC$81,('Yearly Pension'!$A57)+1, FALSE)) - O$1), ((Assumptions!$B$8)*'Yearly Pension'!O$1))))</f>
        <v>0</v>
      </c>
      <c r="P57" s="6">
        <f>(HLOOKUP('Yearly Pension'!P$2,'Credited Service'!$G$1:$BC$80,$A57+1,FALSE)) * (IF($B57=500, (Assumptions!$B$7)*12, IF((HLOOKUP(P$2,Earnings!$G$2:$BC$81,('Yearly Pension'!$A57)+1, FALSE)) &gt; P$1, (Assumptions!$B$8)*(P$1) + (Assumptions!$B$9)*MAX(0,  (HLOOKUP(P$2,Earnings!$G$2:$BC$81,('Yearly Pension'!$A57)+1, FALSE)) - P$1), ((Assumptions!$B$8)*'Yearly Pension'!P$1))))</f>
        <v>0</v>
      </c>
      <c r="Q57" s="6">
        <f>(HLOOKUP('Yearly Pension'!Q$2,'Credited Service'!$G$1:$BC$80,$A57+1,FALSE)) * (IF($B57=500, (Assumptions!$B$7)*12, IF((HLOOKUP(Q$2,Earnings!$G$2:$BC$81,('Yearly Pension'!$A57)+1, FALSE)) &gt; Q$1, (Assumptions!$B$8)*(Q$1) + (Assumptions!$B$9)*MAX(0,  (HLOOKUP(Q$2,Earnings!$G$2:$BC$81,('Yearly Pension'!$A57)+1, FALSE)) - Q$1), ((Assumptions!$B$8)*'Yearly Pension'!Q$1))))</f>
        <v>0</v>
      </c>
      <c r="R57" s="6">
        <f>(HLOOKUP('Yearly Pension'!R$2,'Credited Service'!$G$1:$BC$80,$A57+1,FALSE)) * (IF($B57=500, (Assumptions!$B$7)*12, IF((HLOOKUP(R$2,Earnings!$G$2:$BC$81,('Yearly Pension'!$A57)+1, FALSE)) &gt; R$1, (Assumptions!$B$8)*(R$1) + (Assumptions!$B$9)*MAX(0,  (HLOOKUP(R$2,Earnings!$G$2:$BC$81,('Yearly Pension'!$A57)+1, FALSE)) - R$1), ((Assumptions!$B$8)*'Yearly Pension'!R$1))))</f>
        <v>0</v>
      </c>
      <c r="S57" s="6">
        <f>(HLOOKUP('Yearly Pension'!S$2,'Credited Service'!$G$1:$BC$80,$A57+1,FALSE)) * (IF($B57=500, (Assumptions!$B$7)*12, IF((HLOOKUP(S$2,Earnings!$G$2:$BC$81,('Yearly Pension'!$A57)+1, FALSE)) &gt; S$1, (Assumptions!$B$8)*(S$1) + (Assumptions!$B$9)*MAX(0,  (HLOOKUP(S$2,Earnings!$G$2:$BC$81,('Yearly Pension'!$A57)+1, FALSE)) - S$1), ((Assumptions!$B$8)*'Yearly Pension'!S$1))))</f>
        <v>0</v>
      </c>
      <c r="T57" s="6">
        <f>(HLOOKUP('Yearly Pension'!T$2,'Credited Service'!$G$1:$BC$80,$A57+1,FALSE)) * (IF($B57=500, (Assumptions!$B$7)*12, IF((HLOOKUP(T$2,Earnings!$G$2:$BC$81,('Yearly Pension'!$A57)+1, FALSE)) &gt; T$1, (Assumptions!$B$8)*(T$1) + (Assumptions!$B$9)*MAX(0,  (HLOOKUP(T$2,Earnings!$G$2:$BC$81,('Yearly Pension'!$A57)+1, FALSE)) - T$1), ((Assumptions!$B$8)*'Yearly Pension'!T$1))))</f>
        <v>0</v>
      </c>
      <c r="U57" s="6">
        <f>(HLOOKUP('Yearly Pension'!U$2,'Credited Service'!$G$1:$BC$80,$A57+1,FALSE)) * (IF($B57=500, (Assumptions!$B$7)*12, IF((HLOOKUP(U$2,Earnings!$G$2:$BC$81,('Yearly Pension'!$A57)+1, FALSE)) &gt; U$1, (Assumptions!$B$8)*(U$1) + (Assumptions!$B$9)*MAX(0,  (HLOOKUP(U$2,Earnings!$G$2:$BC$81,('Yearly Pension'!$A57)+1, FALSE)) - U$1), ((Assumptions!$B$8)*'Yearly Pension'!U$1))))</f>
        <v>238.64608668006838</v>
      </c>
      <c r="V57" s="6">
        <f>(HLOOKUP('Yearly Pension'!V$2,'Credited Service'!$G$1:$BC$80,$A57+1,FALSE)) * (IF($B57=500, (Assumptions!$B$7)*12, IF((HLOOKUP(V$2,Earnings!$G$2:$BC$81,('Yearly Pension'!$A57)+1, FALSE)) &gt; V$1, (Assumptions!$B$8)*(V$1) + (Assumptions!$B$9)*MAX(0,  (HLOOKUP(V$2,Earnings!$G$2:$BC$81,('Yearly Pension'!$A57)+1, FALSE)) - V$1), ((Assumptions!$B$8)*'Yearly Pension'!V$1))))</f>
        <v>592.58863235345075</v>
      </c>
      <c r="W57" s="6">
        <f>(HLOOKUP('Yearly Pension'!W$2,'Credited Service'!$G$1:$BC$80,$A57+1,FALSE)) * (IF($B57=500, (Assumptions!$B$7)*12, IF((HLOOKUP(W$2,Earnings!$G$2:$BC$81,('Yearly Pension'!$A57)+1, FALSE)) &gt; W$1, (Assumptions!$B$8)*(W$1) + (Assumptions!$B$9)*MAX(0,  (HLOOKUP(W$2,Earnings!$G$2:$BC$81,('Yearly Pension'!$A57)+1, FALSE)) - W$1), ((Assumptions!$B$8)*'Yearly Pension'!W$1))))</f>
        <v>616.85537764758885</v>
      </c>
      <c r="X57" s="6">
        <f>(HLOOKUP('Yearly Pension'!X$2,'Credited Service'!$G$1:$BC$80,$A57+1,FALSE)) * (IF($B57=500, (Assumptions!$B$7)*12, IF((HLOOKUP(X$2,Earnings!$G$2:$BC$81,('Yearly Pension'!$A57)+1, FALSE)) &gt; X$1, (Assumptions!$B$8)*(X$1) + (Assumptions!$B$9)*MAX(0,  (HLOOKUP(X$2,Earnings!$G$2:$BC$81,('Yearly Pension'!$A57)+1, FALSE)) - X$1), ((Assumptions!$B$8)*'Yearly Pension'!X$1))))</f>
        <v>643.67999275349257</v>
      </c>
      <c r="Y57" s="6">
        <f>(HLOOKUP('Yearly Pension'!Y$2,'Credited Service'!$G$1:$BC$80,$A57+1,FALSE)) * (IF($B57=500, (Assumptions!$B$7)*12, IF((HLOOKUP(Y$2,Earnings!$G$2:$BC$81,('Yearly Pension'!$A57)+1, FALSE)) &gt; Y$1, (Assumptions!$B$8)*(Y$1) + (Assumptions!$B$9)*MAX(0,  (HLOOKUP(Y$2,Earnings!$G$2:$BC$81,('Yearly Pension'!$A57)+1, FALSE)) - Y$1), ((Assumptions!$B$8)*'Yearly Pension'!Y$1))))</f>
        <v>675.0335924636322</v>
      </c>
      <c r="Z57" s="6">
        <f>(HLOOKUP('Yearly Pension'!Z$2,'Credited Service'!$G$1:$BC$80,$A57+1,FALSE)) * (IF($B57=500, (Assumptions!$B$7)*12, IF((HLOOKUP(Z$2,Earnings!$G$2:$BC$81,('Yearly Pension'!$A57)+1, FALSE)) &gt; Z$1, (Assumptions!$B$8)*(Z$1) + (Assumptions!$B$9)*MAX(0,  (HLOOKUP(Z$2,Earnings!$G$2:$BC$81,('Yearly Pension'!$A57)+1, FALSE)) - Z$1), ((Assumptions!$B$8)*'Yearly Pension'!Z$1))))</f>
        <v>707.76933616217752</v>
      </c>
      <c r="AA57" s="6">
        <f>(HLOOKUP('Yearly Pension'!AA$2,'Credited Service'!$G$1:$BC$80,$A57+1,FALSE)) * (IF($B57=500, (Assumptions!$B$7)*12, IF((HLOOKUP(AA$2,Earnings!$G$2:$BC$81,('Yearly Pension'!$A57)+1, FALSE)) &gt; AA$1, (Assumptions!$B$8)*(AA$1) + (Assumptions!$B$9)*MAX(0,  (HLOOKUP(AA$2,Earnings!$G$2:$BC$81,('Yearly Pension'!$A57)+1, FALSE)) - AA$1), ((Assumptions!$B$8)*'Yearly Pension'!AA$1))))</f>
        <v>742.58250960866474</v>
      </c>
      <c r="AB57" s="6">
        <f>(HLOOKUP('Yearly Pension'!AB$2,'Credited Service'!$G$1:$BC$80,$A57+1,FALSE)) * (IF($B57=500, (Assumptions!$B$7)*12, IF((HLOOKUP(AB$2,Earnings!$G$2:$BC$81,('Yearly Pension'!$A57)+1, FALSE)) &gt; AB$1, (Assumptions!$B$8)*(AB$1) + (Assumptions!$B$9)*MAX(0,  (HLOOKUP(AB$2,Earnings!$G$2:$BC$81,('Yearly Pension'!$A57)+1, FALSE)) - AB$1), ((Assumptions!$B$8)*'Yearly Pension'!AB$1))))</f>
        <v>774.41060999301135</v>
      </c>
      <c r="AC57" s="6">
        <f>(HLOOKUP('Yearly Pension'!AC$2,'Credited Service'!$G$1:$BC$80,$A57+1,FALSE)) * (IF($B57=500, (Assumptions!$B$7)*12, IF((HLOOKUP(AC$2,Earnings!$G$2:$BC$81,('Yearly Pension'!$A57)+1, FALSE)) &gt; AC$1, (Assumptions!$B$8)*(AC$1) + (Assumptions!$B$9)*MAX(0,  (HLOOKUP(AC$2,Earnings!$G$2:$BC$81,('Yearly Pension'!$A57)+1, FALSE)) - AC$1), ((Assumptions!$B$8)*'Yearly Pension'!AC$1))))</f>
        <v>811.63343439273194</v>
      </c>
      <c r="AD57" s="6">
        <f>(HLOOKUP('Yearly Pension'!AD$2,'Credited Service'!$G$1:$BC$80,$A57+1,FALSE)) * (IF($B57=500, (Assumptions!$B$7)*12, IF((HLOOKUP(AD$2,Earnings!$G$2:$BC$81,('Yearly Pension'!$A57)+1, FALSE)) &gt; AD$1, (Assumptions!$B$8)*(AD$1) + (Assumptions!$B$9)*MAX(0,  (HLOOKUP(AD$2,Earnings!$G$2:$BC$81,('Yearly Pension'!$A57)+1, FALSE)) - AD$1), ((Assumptions!$B$8)*'Yearly Pension'!AD$1))))</f>
        <v>852.39317176844122</v>
      </c>
      <c r="AE57" s="6">
        <f>(HLOOKUP('Yearly Pension'!AE$2,'Credited Service'!$G$1:$BC$80,$A57+1,FALSE)) * (IF($B57=500, (Assumptions!$B$7)*12, IF((HLOOKUP(AE$2,Earnings!$G$2:$BC$81,('Yearly Pension'!$A57)+1, FALSE)) &gt; AE$1, (Assumptions!$B$8)*(AE$1) + (Assumptions!$B$9)*MAX(0,  (HLOOKUP(AE$2,Earnings!$G$2:$BC$81,('Yearly Pension'!$A57)+1, FALSE)) - AE$1), ((Assumptions!$B$8)*'Yearly Pension'!AE$1))))</f>
        <v>891.6344986391789</v>
      </c>
      <c r="AF57" s="6">
        <f>(HLOOKUP('Yearly Pension'!AF$2,'Credited Service'!$G$1:$BC$80,$A57+1,FALSE)) * (IF($B57=500, (Assumptions!$B$7)*12, IF((HLOOKUP(AF$2,Earnings!$G$2:$BC$81,('Yearly Pension'!$A57)+1, FALSE)) &gt; AF$1, (Assumptions!$B$8)*(AF$1) + (Assumptions!$B$9)*MAX(0,  (HLOOKUP(AF$2,Earnings!$G$2:$BC$81,('Yearly Pension'!$A57)+1, FALSE)) - AF$1), ((Assumptions!$B$8)*'Yearly Pension'!AF$1))))</f>
        <v>931.98467858474612</v>
      </c>
      <c r="AG57" s="6">
        <f>(HLOOKUP('Yearly Pension'!AG$2,'Credited Service'!$G$1:$BC$80,$A57+1,FALSE)) * (IF($B57=500, (Assumptions!$B$7)*12, IF((HLOOKUP(AG$2,Earnings!$G$2:$BC$81,('Yearly Pension'!$A57)+1, FALSE)) &gt; AG$1, (Assumptions!$B$8)*(AG$1) + (Assumptions!$B$9)*MAX(0,  (HLOOKUP(AG$2,Earnings!$G$2:$BC$81,('Yearly Pension'!$A57)+1, FALSE)) - AG$1), ((Assumptions!$B$8)*'Yearly Pension'!AG$1))))</f>
        <v>974.15366572813593</v>
      </c>
      <c r="AH57" s="6">
        <f>(HLOOKUP('Yearly Pension'!AH$2,'Credited Service'!$G$1:$BC$80,$A57+1,FALSE)) * (IF($B57=500, (Assumptions!$B$7)*12, IF((HLOOKUP(AH$2,Earnings!$G$2:$BC$81,('Yearly Pension'!$A57)+1, FALSE)) &gt; AH$1, (Assumptions!$B$8)*(AH$1) + (Assumptions!$B$9)*MAX(0,  (HLOOKUP(AH$2,Earnings!$G$2:$BC$81,('Yearly Pension'!$A57)+1, FALSE)) - AH$1), ((Assumptions!$B$8)*'Yearly Pension'!AH$1))))</f>
        <v>1019.4942123572614</v>
      </c>
      <c r="AI57" s="6">
        <f>(HLOOKUP('Yearly Pension'!AI$2,'Credited Service'!$G$1:$BC$80,$A57+1,FALSE)) * (IF($B57=500, (Assumptions!$B$7)*12, IF((HLOOKUP(AI$2,Earnings!$G$2:$BC$81,('Yearly Pension'!$A57)+1, FALSE)) &gt; AI$1, (Assumptions!$B$8)*(AI$1) + (Assumptions!$B$9)*MAX(0,  (HLOOKUP(AI$2,Earnings!$G$2:$BC$81,('Yearly Pension'!$A57)+1, FALSE)) - AI$1), ((Assumptions!$B$8)*'Yearly Pension'!AI$1))))</f>
        <v>1066.8019808515519</v>
      </c>
      <c r="AJ57" s="6">
        <f>(HLOOKUP('Yearly Pension'!AJ$2,'Credited Service'!$G$1:$BC$80,$A57+1,FALSE)) * (IF($B57=500, (Assumptions!$B$7)*12, IF((HLOOKUP(AJ$2,Earnings!$G$2:$BC$81,('Yearly Pension'!$A57)+1, FALSE)) &gt; AJ$1, (Assumptions!$B$8)*(AJ$1) + (Assumptions!$B$9)*MAX(0,  (HLOOKUP(AJ$2,Earnings!$G$2:$BC$81,('Yearly Pension'!$A57)+1, FALSE)) - AJ$1), ((Assumptions!$B$8)*'Yearly Pension'!AJ$1))))</f>
        <v>1113.5956600856139</v>
      </c>
      <c r="AK57" s="6">
        <f>(HLOOKUP('Yearly Pension'!AK$2,'Credited Service'!$G$1:$BC$80,$A57+1,FALSE)) * (IF($B57=500, (Assumptions!$B$7)*12, IF((HLOOKUP(AK$2,Earnings!$G$2:$BC$81,('Yearly Pension'!$A57)+1, FALSE)) &gt; AK$1, (Assumptions!$B$8)*(AK$1) + (Assumptions!$B$9)*MAX(0,  (HLOOKUP(AK$2,Earnings!$G$2:$BC$81,('Yearly Pension'!$A57)+1, FALSE)) - AK$1), ((Assumptions!$B$8)*'Yearly Pension'!AK$1))))</f>
        <v>1158.6770864890386</v>
      </c>
      <c r="AL57" s="6">
        <f>(HLOOKUP('Yearly Pension'!AL$2,'Credited Service'!$G$1:$BC$80,$A57+1,FALSE)) * (IF($B57=500, (Assumptions!$B$7)*12, IF((HLOOKUP(AL$2,Earnings!$G$2:$BC$81,('Yearly Pension'!$A57)+1, FALSE)) &gt; AL$1, (Assumptions!$B$8)*(AL$1) + (Assumptions!$B$9)*MAX(0,  (HLOOKUP(AL$2,Earnings!$G$2:$BC$81,('Yearly Pension'!$A57)+1, FALSE)) - AL$1), ((Assumptions!$B$8)*'Yearly Pension'!AL$1))))</f>
        <v>1208.5313699486005</v>
      </c>
      <c r="AM57" s="6">
        <f>(HLOOKUP('Yearly Pension'!AM$2,'Credited Service'!$G$1:$BC$80,$A57+1,FALSE)) * (IF($B57=500, (Assumptions!$B$7)*12, IF((HLOOKUP(AM$2,Earnings!$G$2:$BC$81,('Yearly Pension'!$A57)+1, FALSE)) &gt; AM$1, (Assumptions!$B$8)*(AM$1) + (Assumptions!$B$9)*MAX(0,  (HLOOKUP(AM$2,Earnings!$G$2:$BC$81,('Yearly Pension'!$A57)+1, FALSE)) - AM$1), ((Assumptions!$B$8)*'Yearly Pension'!AM$1))))</f>
        <v>1259.4070247465445</v>
      </c>
      <c r="AN57" s="6">
        <f>(HLOOKUP('Yearly Pension'!AN$2,'Credited Service'!$G$1:$BC$80,$A57+1,FALSE)) * (IF($B57=500, (Assumptions!$B$7)*12, IF((HLOOKUP(AN$2,Earnings!$G$2:$BC$81,('Yearly Pension'!$A57)+1, FALSE)) &gt; AN$1, (Assumptions!$B$8)*(AN$1) + (Assumptions!$B$9)*MAX(0,  (HLOOKUP(AN$2,Earnings!$G$2:$BC$81,('Yearly Pension'!$A57)+1, FALSE)) - AN$1), ((Assumptions!$B$8)*'Yearly Pension'!AN$1))))</f>
        <v>1315.8761057364061</v>
      </c>
      <c r="AO57" s="6">
        <f>(HLOOKUP('Yearly Pension'!AO$2,'Credited Service'!$G$1:$BC$80,$A57+1,FALSE)) * (IF($B57=500, (Assumptions!$B$7)*12, IF((HLOOKUP(AO$2,Earnings!$G$2:$BC$81,('Yearly Pension'!$A57)+1, FALSE)) &gt; AO$1, (Assumptions!$B$8)*(AO$1) + (Assumptions!$B$9)*MAX(0,  (HLOOKUP(AO$2,Earnings!$G$2:$BC$81,('Yearly Pension'!$A57)+1, FALSE)) - AO$1), ((Assumptions!$B$8)*'Yearly Pension'!AO$1))))</f>
        <v>1373.5543499658625</v>
      </c>
      <c r="AP57" s="6">
        <f>(HLOOKUP('Yearly Pension'!AP$2,'Credited Service'!$G$1:$BC$80,$A57+1,FALSE)) * (IF($B57=500, (Assumptions!$B$7)*12, IF((HLOOKUP(AP$2,Earnings!$G$2:$BC$81,('Yearly Pension'!$A57)+1, FALSE)) &gt; AP$1, (Assumptions!$B$8)*(AP$1) + (Assumptions!$B$9)*MAX(0,  (HLOOKUP(AP$2,Earnings!$G$2:$BC$81,('Yearly Pension'!$A57)+1, FALSE)) - AP$1), ((Assumptions!$B$8)*'Yearly Pension'!AP$1))))</f>
        <v>1429.341323964497</v>
      </c>
      <c r="AQ57" s="6">
        <f>(HLOOKUP('Yearly Pension'!AQ$2,'Credited Service'!$G$1:$BC$80,$A57+1,FALSE)) * (IF($B57=500, (Assumptions!$B$7)*12, IF((HLOOKUP(AQ$2,Earnings!$G$2:$BC$81,('Yearly Pension'!$A57)+1, FALSE)) &gt; AQ$1, (Assumptions!$B$8)*(AQ$1) + (Assumptions!$B$9)*MAX(0,  (HLOOKUP(AQ$2,Earnings!$G$2:$BC$81,('Yearly Pension'!$A57)+1, FALSE)) - AQ$1), ((Assumptions!$B$8)*'Yearly Pension'!AQ$1))))</f>
        <v>1492.9405769230768</v>
      </c>
      <c r="AR57" s="6">
        <f>(HLOOKUP('Yearly Pension'!AR$2,'Credited Service'!$G$1:$BC$80,$A57+1,FALSE)) * (IF($B57=500, (Assumptions!$B$7)*12, IF((HLOOKUP(AR$2,Earnings!$G$2:$BC$81,('Yearly Pension'!$A57)+1, FALSE)) &gt; AR$1, (Assumptions!$B$8)*(AR$1) + (Assumptions!$B$9)*MAX(0,  (HLOOKUP(AR$2,Earnings!$G$2:$BC$81,('Yearly Pension'!$A57)+1, FALSE)) - AR$1), ((Assumptions!$B$8)*'Yearly Pension'!AR$1))))</f>
        <v>1556.7798000000003</v>
      </c>
      <c r="AS57" s="6">
        <f>(HLOOKUP('Yearly Pension'!AS$2,'Credited Service'!$G$1:$BC$80,$A57+1,FALSE)) * (IF($B57=500, (Assumptions!$B$7)*12, IF((HLOOKUP(AS$2,Earnings!$G$2:$BC$81,('Yearly Pension'!$A57)+1, FALSE)) &gt; AS$1, (Assumptions!$B$8)*(AS$1) + (Assumptions!$B$9)*MAX(0,  (HLOOKUP(AS$2,Earnings!$G$2:$BC$81,('Yearly Pension'!$A57)+1, FALSE)) - AS$1), ((Assumptions!$B$8)*'Yearly Pension'!AS$1))))</f>
        <v>1606.5231939999999</v>
      </c>
      <c r="AT57" s="6">
        <f>(HLOOKUP('Yearly Pension'!AT$2,'Credited Service'!$G$1:$BC$80,$A57+1,FALSE)) * (IF($B57=500, (Assumptions!$B$7)*12, IF((HLOOKUP(AT$2,Earnings!$G$2:$BC$81,('Yearly Pension'!$A57)+1, FALSE)) &gt; AT$1, (Assumptions!$B$8)*(AT$1) + (Assumptions!$B$9)*MAX(0,  (HLOOKUP(AT$2,Earnings!$G$2:$BC$81,('Yearly Pension'!$A57)+1, FALSE)) - AT$1), ((Assumptions!$B$8)*'Yearly Pension'!AT$1))))</f>
        <v>1656.6900898200001</v>
      </c>
      <c r="AU57" s="6">
        <f>(HLOOKUP('Yearly Pension'!AU$2,'Credited Service'!$G$1:$BC$80,$A57+1,FALSE)) * (IF($B57=500, (Assumptions!$B$7)*12, IF((HLOOKUP(AU$2,Earnings!$G$2:$BC$81,('Yearly Pension'!$A57)+1, FALSE)) &gt; AU$1, (Assumptions!$B$8)*(AU$1) + (Assumptions!$B$9)*MAX(0,  (HLOOKUP(AU$2,Earnings!$G$2:$BC$81,('Yearly Pension'!$A57)+1, FALSE)) - AU$1), ((Assumptions!$B$8)*'Yearly Pension'!AU$1))))</f>
        <v>1714.3715925145998</v>
      </c>
      <c r="AV57" s="6">
        <f>(HLOOKUP('Yearly Pension'!AV$2,'Credited Service'!$G$1:$BC$80,$A57+1,FALSE)) * (IF($B57=500, (Assumptions!$B$7)*12, IF((HLOOKUP(AV$2,Earnings!$G$2:$BC$81,('Yearly Pension'!$A57)+1, FALSE)) &gt; AV$1, (Assumptions!$B$8)*(AV$1) + (Assumptions!$B$9)*MAX(0,  (HLOOKUP(AV$2,Earnings!$G$2:$BC$81,('Yearly Pension'!$A57)+1, FALSE)) - AV$1), ((Assumptions!$B$8)*'Yearly Pension'!AV$1))))</f>
        <v>1772.5803402900378</v>
      </c>
      <c r="AW57" s="6">
        <f>(HLOOKUP('Yearly Pension'!AW$2,'Credited Service'!$G$1:$BC$80,$A57+1,FALSE)) * (IF($B57=500, (Assumptions!$B$7)*12, IF((HLOOKUP(AW$2,Earnings!$G$2:$BC$81,('Yearly Pension'!$A57)+1, FALSE)) &gt; AW$1, (Assumptions!$B$8)*(AW$1) + (Assumptions!$B$9)*MAX(0,  (HLOOKUP(AW$2,Earnings!$G$2:$BC$81,('Yearly Pension'!$A57)+1, FALSE)) - AW$1), ((Assumptions!$B$8)*'Yearly Pension'!AW$1))))</f>
        <v>1826.8905504987392</v>
      </c>
      <c r="AX57" s="6">
        <f>(HLOOKUP('Yearly Pension'!AX$2,'Credited Service'!$G$1:$BC$80,$A57+1,FALSE)) * (IF($B57=500, (Assumptions!$B$7)*12, IF((HLOOKUP(AX$2,Earnings!$G$2:$BC$81,('Yearly Pension'!$A57)+1, FALSE)) &gt; AX$1, (Assumptions!$B$8)*(AX$1) + (Assumptions!$B$9)*MAX(0,  (HLOOKUP(AX$2,Earnings!$G$2:$BC$81,('Yearly Pension'!$A57)+1, FALSE)) - AX$1), ((Assumptions!$B$8)*'Yearly Pension'!AX$1))))</f>
        <v>1878.0236670137015</v>
      </c>
      <c r="AY57" s="6">
        <f>(HLOOKUP('Yearly Pension'!AY$2,'Credited Service'!$G$1:$BC$80,$A57+1,FALSE)) * (IF($B57=500, (Assumptions!$B$7)*12, IF((HLOOKUP(AY$2,Earnings!$G$2:$BC$81,('Yearly Pension'!$A57)+1, FALSE)) &gt; AY$1, (Assumptions!$B$8)*(AY$1) + (Assumptions!$B$9)*MAX(0,  (HLOOKUP(AY$2,Earnings!$G$2:$BC$81,('Yearly Pension'!$A57)+1, FALSE)) - AY$1), ((Assumptions!$B$8)*'Yearly Pension'!AY$1))))</f>
        <v>1930.5438330241125</v>
      </c>
      <c r="AZ57" s="6">
        <f>(HLOOKUP('Yearly Pension'!AZ$2,'Credited Service'!$G$1:$BC$80,$A57+1,FALSE)) * (IF($B57=500, (Assumptions!$B$7)*12, IF((HLOOKUP(AZ$2,Earnings!$G$2:$BC$81,('Yearly Pension'!$A57)+1, FALSE)) &gt; AZ$1, (Assumptions!$B$8)*(AZ$1) + (Assumptions!$B$9)*MAX(0,  (HLOOKUP(AZ$2,Earnings!$G$2:$BC$81,('Yearly Pension'!$A57)+1, FALSE)) - AZ$1), ((Assumptions!$B$8)*'Yearly Pension'!AZ$1))))</f>
        <v>1984.4867822548358</v>
      </c>
      <c r="BA57" s="6">
        <f>(HLOOKUP('Yearly Pension'!BA$2,'Credited Service'!$G$1:$BC$80,$A57+1,FALSE)) * (IF($B57=500, (Assumptions!$B$7)*12, IF((HLOOKUP(BA$2,Earnings!$G$2:$BC$81,('Yearly Pension'!$A57)+1, FALSE)) &gt; BA$1, (Assumptions!$B$8)*(BA$1) + (Assumptions!$B$9)*MAX(0,  (HLOOKUP(BA$2,Earnings!$G$2:$BC$81,('Yearly Pension'!$A57)+1, FALSE)) - BA$1), ((Assumptions!$B$8)*'Yearly Pension'!BA$1))))</f>
        <v>2039.8890853320809</v>
      </c>
      <c r="BB57" s="6">
        <f>(HLOOKUP('Yearly Pension'!BB$2,'Credited Service'!$G$1:$BC$80,$A57+1,FALSE)) * (IF($B57=500, (Assumptions!$B$7)*12, IF((HLOOKUP(BB$2,Earnings!$G$2:$BC$81,('Yearly Pension'!$A57)+1, FALSE)) &gt; BB$1, (Assumptions!$B$8)*(BB$1) + (Assumptions!$B$9)*MAX(0,  (HLOOKUP(BB$2,Earnings!$G$2:$BC$81,('Yearly Pension'!$A57)+1, FALSE)) - BB$1), ((Assumptions!$B$8)*'Yearly Pension'!BB$1))))</f>
        <v>2096.7881654860275</v>
      </c>
      <c r="BC57" s="6">
        <f>(HLOOKUP('Yearly Pension'!BC$2,'Credited Service'!$G$1:$BC$80,$A57+1,FALSE)) * (IF($B57=500, (Assumptions!$B$7)*12, IF((HLOOKUP(BC$2,Earnings!$G$2:$BC$81,('Yearly Pension'!$A57)+1, FALSE)) &gt; BC$1, (Assumptions!$B$8)*(BC$1) + (Assumptions!$B$9)*MAX(0,  (HLOOKUP(BC$2,Earnings!$G$2:$BC$81,('Yearly Pension'!$A57)+1, FALSE)) - BC$1), ((Assumptions!$B$8)*'Yearly Pension'!BC$1))))</f>
        <v>2155.2223143483516</v>
      </c>
    </row>
    <row r="58" spans="1:55" x14ac:dyDescent="0.25">
      <c r="A58" s="204">
        <v>56</v>
      </c>
      <c r="B58" s="1">
        <v>600</v>
      </c>
      <c r="C58" s="1">
        <v>634</v>
      </c>
      <c r="D58" s="3">
        <v>33073</v>
      </c>
      <c r="E58" s="3">
        <v>47058</v>
      </c>
      <c r="G58" s="6">
        <f>(HLOOKUP('Yearly Pension'!G$2,'Credited Service'!$G$1:$BC$80,$A58+1,FALSE)) * (IF($B58=500, (Assumptions!$B$7)*12, IF((HLOOKUP(G$2,Earnings!$G$2:$BC$81,('Yearly Pension'!$A58)+1, FALSE)) &gt; G$1, (Assumptions!$B$8)*(G$1) + (Assumptions!$B$9)*MAX(0,  (HLOOKUP(G$2,Earnings!$G$2:$BC$81,('Yearly Pension'!$A58)+1, FALSE)) - G$1), ((Assumptions!$B$8)*'Yearly Pension'!G$1))))</f>
        <v>0</v>
      </c>
      <c r="H58" s="6">
        <f>(HLOOKUP('Yearly Pension'!H$2,'Credited Service'!$G$1:$BC$80,$A58+1,FALSE)) * (IF($B58=500, (Assumptions!$B$7)*12, IF((HLOOKUP(H$2,Earnings!$G$2:$BC$81,('Yearly Pension'!$A58)+1, FALSE)) &gt; H$1, (Assumptions!$B$8)*(H$1) + (Assumptions!$B$9)*MAX(0,  (HLOOKUP(H$2,Earnings!$G$2:$BC$81,('Yearly Pension'!$A58)+1, FALSE)) - H$1), ((Assumptions!$B$8)*'Yearly Pension'!H$1))))</f>
        <v>0</v>
      </c>
      <c r="I58" s="6">
        <f>(HLOOKUP('Yearly Pension'!I$2,'Credited Service'!$G$1:$BC$80,$A58+1,FALSE)) * (IF($B58=500, (Assumptions!$B$7)*12, IF((HLOOKUP(I$2,Earnings!$G$2:$BC$81,('Yearly Pension'!$A58)+1, FALSE)) &gt; I$1, (Assumptions!$B$8)*(I$1) + (Assumptions!$B$9)*MAX(0,  (HLOOKUP(I$2,Earnings!$G$2:$BC$81,('Yearly Pension'!$A58)+1, FALSE)) - I$1), ((Assumptions!$B$8)*'Yearly Pension'!I$1))))</f>
        <v>0</v>
      </c>
      <c r="J58" s="6">
        <f>(HLOOKUP('Yearly Pension'!J$2,'Credited Service'!$G$1:$BC$80,$A58+1,FALSE)) * (IF($B58=500, (Assumptions!$B$7)*12, IF((HLOOKUP(J$2,Earnings!$G$2:$BC$81,('Yearly Pension'!$A58)+1, FALSE)) &gt; J$1, (Assumptions!$B$8)*(J$1) + (Assumptions!$B$9)*MAX(0,  (HLOOKUP(J$2,Earnings!$G$2:$BC$81,('Yearly Pension'!$A58)+1, FALSE)) - J$1), ((Assumptions!$B$8)*'Yearly Pension'!J$1))))</f>
        <v>0</v>
      </c>
      <c r="K58" s="6">
        <f>(HLOOKUP('Yearly Pension'!K$2,'Credited Service'!$G$1:$BC$80,$A58+1,FALSE)) * (IF($B58=500, (Assumptions!$B$7)*12, IF((HLOOKUP(K$2,Earnings!$G$2:$BC$81,('Yearly Pension'!$A58)+1, FALSE)) &gt; K$1, (Assumptions!$B$8)*(K$1) + (Assumptions!$B$9)*MAX(0,  (HLOOKUP(K$2,Earnings!$G$2:$BC$81,('Yearly Pension'!$A58)+1, FALSE)) - K$1), ((Assumptions!$B$8)*'Yearly Pension'!K$1))))</f>
        <v>0</v>
      </c>
      <c r="L58" s="6">
        <f>(HLOOKUP('Yearly Pension'!L$2,'Credited Service'!$G$1:$BC$80,$A58+1,FALSE)) * (IF($B58=500, (Assumptions!$B$7)*12, IF((HLOOKUP(L$2,Earnings!$G$2:$BC$81,('Yearly Pension'!$A58)+1, FALSE)) &gt; L$1, (Assumptions!$B$8)*(L$1) + (Assumptions!$B$9)*MAX(0,  (HLOOKUP(L$2,Earnings!$G$2:$BC$81,('Yearly Pension'!$A58)+1, FALSE)) - L$1), ((Assumptions!$B$8)*'Yearly Pension'!L$1))))</f>
        <v>0</v>
      </c>
      <c r="M58" s="6">
        <f>(HLOOKUP('Yearly Pension'!M$2,'Credited Service'!$G$1:$BC$80,$A58+1,FALSE)) * (IF($B58=500, (Assumptions!$B$7)*12, IF((HLOOKUP(M$2,Earnings!$G$2:$BC$81,('Yearly Pension'!$A58)+1, FALSE)) &gt; M$1, (Assumptions!$B$8)*(M$1) + (Assumptions!$B$9)*MAX(0,  (HLOOKUP(M$2,Earnings!$G$2:$BC$81,('Yearly Pension'!$A58)+1, FALSE)) - M$1), ((Assumptions!$B$8)*'Yearly Pension'!M$1))))</f>
        <v>0</v>
      </c>
      <c r="N58" s="6">
        <f>(HLOOKUP('Yearly Pension'!N$2,'Credited Service'!$G$1:$BC$80,$A58+1,FALSE)) * (IF($B58=500, (Assumptions!$B$7)*12, IF((HLOOKUP(N$2,Earnings!$G$2:$BC$81,('Yearly Pension'!$A58)+1, FALSE)) &gt; N$1, (Assumptions!$B$8)*(N$1) + (Assumptions!$B$9)*MAX(0,  (HLOOKUP(N$2,Earnings!$G$2:$BC$81,('Yearly Pension'!$A58)+1, FALSE)) - N$1), ((Assumptions!$B$8)*'Yearly Pension'!N$1))))</f>
        <v>0</v>
      </c>
      <c r="O58" s="6">
        <f>(HLOOKUP('Yearly Pension'!O$2,'Credited Service'!$G$1:$BC$80,$A58+1,FALSE)) * (IF($B58=500, (Assumptions!$B$7)*12, IF((HLOOKUP(O$2,Earnings!$G$2:$BC$81,('Yearly Pension'!$A58)+1, FALSE)) &gt; O$1, (Assumptions!$B$8)*(O$1) + (Assumptions!$B$9)*MAX(0,  (HLOOKUP(O$2,Earnings!$G$2:$BC$81,('Yearly Pension'!$A58)+1, FALSE)) - O$1), ((Assumptions!$B$8)*'Yearly Pension'!O$1))))</f>
        <v>0</v>
      </c>
      <c r="P58" s="6">
        <f>(HLOOKUP('Yearly Pension'!P$2,'Credited Service'!$G$1:$BC$80,$A58+1,FALSE)) * (IF($B58=500, (Assumptions!$B$7)*12, IF((HLOOKUP(P$2,Earnings!$G$2:$BC$81,('Yearly Pension'!$A58)+1, FALSE)) &gt; P$1, (Assumptions!$B$8)*(P$1) + (Assumptions!$B$9)*MAX(0,  (HLOOKUP(P$2,Earnings!$G$2:$BC$81,('Yearly Pension'!$A58)+1, FALSE)) - P$1), ((Assumptions!$B$8)*'Yearly Pension'!P$1))))</f>
        <v>0</v>
      </c>
      <c r="Q58" s="6">
        <f>(HLOOKUP('Yearly Pension'!Q$2,'Credited Service'!$G$1:$BC$80,$A58+1,FALSE)) * (IF($B58=500, (Assumptions!$B$7)*12, IF((HLOOKUP(Q$2,Earnings!$G$2:$BC$81,('Yearly Pension'!$A58)+1, FALSE)) &gt; Q$1, (Assumptions!$B$8)*(Q$1) + (Assumptions!$B$9)*MAX(0,  (HLOOKUP(Q$2,Earnings!$G$2:$BC$81,('Yearly Pension'!$A58)+1, FALSE)) - Q$1), ((Assumptions!$B$8)*'Yearly Pension'!Q$1))))</f>
        <v>0</v>
      </c>
      <c r="R58" s="6">
        <f>(HLOOKUP('Yearly Pension'!R$2,'Credited Service'!$G$1:$BC$80,$A58+1,FALSE)) * (IF($B58=500, (Assumptions!$B$7)*12, IF((HLOOKUP(R$2,Earnings!$G$2:$BC$81,('Yearly Pension'!$A58)+1, FALSE)) &gt; R$1, (Assumptions!$B$8)*(R$1) + (Assumptions!$B$9)*MAX(0,  (HLOOKUP(R$2,Earnings!$G$2:$BC$81,('Yearly Pension'!$A58)+1, FALSE)) - R$1), ((Assumptions!$B$8)*'Yearly Pension'!R$1))))</f>
        <v>0</v>
      </c>
      <c r="S58" s="6">
        <f>(HLOOKUP('Yearly Pension'!S$2,'Credited Service'!$G$1:$BC$80,$A58+1,FALSE)) * (IF($B58=500, (Assumptions!$B$7)*12, IF((HLOOKUP(S$2,Earnings!$G$2:$BC$81,('Yearly Pension'!$A58)+1, FALSE)) &gt; S$1, (Assumptions!$B$8)*(S$1) + (Assumptions!$B$9)*MAX(0,  (HLOOKUP(S$2,Earnings!$G$2:$BC$81,('Yearly Pension'!$A58)+1, FALSE)) - S$1), ((Assumptions!$B$8)*'Yearly Pension'!S$1))))</f>
        <v>0</v>
      </c>
      <c r="T58" s="6">
        <f>(HLOOKUP('Yearly Pension'!T$2,'Credited Service'!$G$1:$BC$80,$A58+1,FALSE)) * (IF($B58=500, (Assumptions!$B$7)*12, IF((HLOOKUP(T$2,Earnings!$G$2:$BC$81,('Yearly Pension'!$A58)+1, FALSE)) &gt; T$1, (Assumptions!$B$8)*(T$1) + (Assumptions!$B$9)*MAX(0,  (HLOOKUP(T$2,Earnings!$G$2:$BC$81,('Yearly Pension'!$A58)+1, FALSE)) - T$1), ((Assumptions!$B$8)*'Yearly Pension'!T$1))))</f>
        <v>238.65025490833304</v>
      </c>
      <c r="U58" s="6">
        <f>(HLOOKUP('Yearly Pension'!U$2,'Credited Service'!$G$1:$BC$80,$A58+1,FALSE)) * (IF($B58=500, (Assumptions!$B$7)*12, IF((HLOOKUP(U$2,Earnings!$G$2:$BC$81,('Yearly Pension'!$A58)+1, FALSE)) &gt; U$1, (Assumptions!$B$8)*(U$1) + (Assumptions!$B$9)*MAX(0,  (HLOOKUP(U$2,Earnings!$G$2:$BC$81,('Yearly Pension'!$A58)+1, FALSE)) - U$1), ((Assumptions!$B$8)*'Yearly Pension'!U$1))))</f>
        <v>592.82943625119935</v>
      </c>
      <c r="V58" s="6">
        <f>(HLOOKUP('Yearly Pension'!V$2,'Credited Service'!$G$1:$BC$80,$A58+1,FALSE)) * (IF($B58=500, (Assumptions!$B$7)*12, IF((HLOOKUP(V$2,Earnings!$G$2:$BC$81,('Yearly Pension'!$A58)+1, FALSE)) &gt; V$1, (Assumptions!$B$8)*(V$1) + (Assumptions!$B$9)*MAX(0,  (HLOOKUP(V$2,Earnings!$G$2:$BC$81,('Yearly Pension'!$A58)+1, FALSE)) - V$1), ((Assumptions!$B$8)*'Yearly Pension'!V$1))))</f>
        <v>613.47061370124732</v>
      </c>
      <c r="W58" s="6">
        <f>(HLOOKUP('Yearly Pension'!W$2,'Credited Service'!$G$1:$BC$80,$A58+1,FALSE)) * (IF($B58=500, (Assumptions!$B$7)*12, IF((HLOOKUP(W$2,Earnings!$G$2:$BC$81,('Yearly Pension'!$A58)+1, FALSE)) &gt; W$1, (Assumptions!$B$8)*(W$1) + (Assumptions!$B$9)*MAX(0,  (HLOOKUP(W$2,Earnings!$G$2:$BC$81,('Yearly Pension'!$A58)+1, FALSE)) - W$1), ((Assumptions!$B$8)*'Yearly Pension'!W$1))))</f>
        <v>638.57263824929726</v>
      </c>
      <c r="X58" s="6">
        <f>(HLOOKUP('Yearly Pension'!X$2,'Credited Service'!$G$1:$BC$80,$A58+1,FALSE)) * (IF($B58=500, (Assumptions!$B$7)*12, IF((HLOOKUP(X$2,Earnings!$G$2:$BC$81,('Yearly Pension'!$A58)+1, FALSE)) &gt; X$1, (Assumptions!$B$8)*(X$1) + (Assumptions!$B$9)*MAX(0,  (HLOOKUP(X$2,Earnings!$G$2:$BC$81,('Yearly Pension'!$A58)+1, FALSE)) - X$1), ((Assumptions!$B$8)*'Yearly Pension'!X$1))))</f>
        <v>666.26594377926926</v>
      </c>
      <c r="Y58" s="6">
        <f>(HLOOKUP('Yearly Pension'!Y$2,'Credited Service'!$G$1:$BC$80,$A58+1,FALSE)) * (IF($B58=500, (Assumptions!$B$7)*12, IF((HLOOKUP(Y$2,Earnings!$G$2:$BC$81,('Yearly Pension'!$A58)+1, FALSE)) &gt; Y$1, (Assumptions!$B$8)*(Y$1) + (Assumptions!$B$9)*MAX(0,  (HLOOKUP(Y$2,Earnings!$G$2:$BC$81,('Yearly Pension'!$A58)+1, FALSE)) - Y$1), ((Assumptions!$B$8)*'Yearly Pension'!Y$1))))</f>
        <v>698.52298153044012</v>
      </c>
      <c r="Z58" s="6">
        <f>(HLOOKUP('Yearly Pension'!Z$2,'Credited Service'!$G$1:$BC$80,$A58+1,FALSE)) * (IF($B58=500, (Assumptions!$B$7)*12, IF((HLOOKUP(Z$2,Earnings!$G$2:$BC$81,('Yearly Pension'!$A58)+1, FALSE)) &gt; Z$1, (Assumptions!$B$8)*(Z$1) + (Assumptions!$B$9)*MAX(0,  (HLOOKUP(Z$2,Earnings!$G$2:$BC$81,('Yearly Pension'!$A58)+1, FALSE)) - Z$1), ((Assumptions!$B$8)*'Yearly Pension'!Z$1))))</f>
        <v>732.19830079165786</v>
      </c>
      <c r="AA58" s="6">
        <f>(HLOOKUP('Yearly Pension'!AA$2,'Credited Service'!$G$1:$BC$80,$A58+1,FALSE)) * (IF($B58=500, (Assumptions!$B$7)*12, IF((HLOOKUP(AA$2,Earnings!$G$2:$BC$81,('Yearly Pension'!$A58)+1, FALSE)) &gt; AA$1, (Assumptions!$B$8)*(AA$1) + (Assumptions!$B$9)*MAX(0,  (HLOOKUP(AA$2,Earnings!$G$2:$BC$81,('Yearly Pension'!$A58)+1, FALSE)) - AA$1), ((Assumptions!$B$8)*'Yearly Pension'!AA$1))))</f>
        <v>767.98863282332422</v>
      </c>
      <c r="AB58" s="6">
        <f>(HLOOKUP('Yearly Pension'!AB$2,'Credited Service'!$G$1:$BC$80,$A58+1,FALSE)) * (IF($B58=500, (Assumptions!$B$7)*12, IF((HLOOKUP(AB$2,Earnings!$G$2:$BC$81,('Yearly Pension'!$A58)+1, FALSE)) &gt; AB$1, (Assumptions!$B$8)*(AB$1) + (Assumptions!$B$9)*MAX(0,  (HLOOKUP(AB$2,Earnings!$G$2:$BC$81,('Yearly Pension'!$A58)+1, FALSE)) - AB$1), ((Assumptions!$B$8)*'Yearly Pension'!AB$1))))</f>
        <v>800.83297813625711</v>
      </c>
      <c r="AC58" s="6">
        <f>(HLOOKUP('Yearly Pension'!AC$2,'Credited Service'!$G$1:$BC$80,$A58+1,FALSE)) * (IF($B58=500, (Assumptions!$B$7)*12, IF((HLOOKUP(AC$2,Earnings!$G$2:$BC$81,('Yearly Pension'!$A58)+1, FALSE)) &gt; AC$1, (Assumptions!$B$8)*(AC$1) + (Assumptions!$B$9)*MAX(0,  (HLOOKUP(AC$2,Earnings!$G$2:$BC$81,('Yearly Pension'!$A58)+1, FALSE)) - AC$1), ((Assumptions!$B$8)*'Yearly Pension'!AC$1))))</f>
        <v>839.11269726170758</v>
      </c>
      <c r="AD58" s="6">
        <f>(HLOOKUP('Yearly Pension'!AD$2,'Credited Service'!$G$1:$BC$80,$A58+1,FALSE)) * (IF($B58=500, (Assumptions!$B$7)*12, IF((HLOOKUP(AD$2,Earnings!$G$2:$BC$81,('Yearly Pension'!$A58)+1, FALSE)) &gt; AD$1, (Assumptions!$B$8)*(AD$1) + (Assumptions!$B$9)*MAX(0,  (HLOOKUP(AD$2,Earnings!$G$2:$BC$81,('Yearly Pension'!$A58)+1, FALSE)) - AD$1), ((Assumptions!$B$8)*'Yearly Pension'!AD$1))))</f>
        <v>880.97160515217593</v>
      </c>
      <c r="AE58" s="6">
        <f>(HLOOKUP('Yearly Pension'!AE$2,'Credited Service'!$G$1:$BC$80,$A58+1,FALSE)) * (IF($B58=500, (Assumptions!$B$7)*12, IF((HLOOKUP(AE$2,Earnings!$G$2:$BC$81,('Yearly Pension'!$A58)+1, FALSE)) &gt; AE$1, (Assumptions!$B$8)*(AE$1) + (Assumptions!$B$9)*MAX(0,  (HLOOKUP(AE$2,Earnings!$G$2:$BC$81,('Yearly Pension'!$A58)+1, FALSE)) - AE$1), ((Assumptions!$B$8)*'Yearly Pension'!AE$1))))</f>
        <v>921.35606935826308</v>
      </c>
      <c r="AF58" s="6">
        <f>(HLOOKUP('Yearly Pension'!AF$2,'Credited Service'!$G$1:$BC$80,$A58+1,FALSE)) * (IF($B58=500, (Assumptions!$B$7)*12, IF((HLOOKUP(AF$2,Earnings!$G$2:$BC$81,('Yearly Pension'!$A58)+1, FALSE)) &gt; AF$1, (Assumptions!$B$8)*(AF$1) + (Assumptions!$B$9)*MAX(0,  (HLOOKUP(AF$2,Earnings!$G$2:$BC$81,('Yearly Pension'!$A58)+1, FALSE)) - AF$1), ((Assumptions!$B$8)*'Yearly Pension'!AF$1))))</f>
        <v>962.89511213259357</v>
      </c>
      <c r="AG58" s="6">
        <f>(HLOOKUP('Yearly Pension'!AG$2,'Credited Service'!$G$1:$BC$80,$A58+1,FALSE)) * (IF($B58=500, (Assumptions!$B$7)*12, IF((HLOOKUP(AG$2,Earnings!$G$2:$BC$81,('Yearly Pension'!$A58)+1, FALSE)) &gt; AG$1, (Assumptions!$B$8)*(AG$1) + (Assumptions!$B$9)*MAX(0,  (HLOOKUP(AG$2,Earnings!$G$2:$BC$81,('Yearly Pension'!$A58)+1, FALSE)) - AG$1), ((Assumptions!$B$8)*'Yearly Pension'!AG$1))))</f>
        <v>1006.3005166178973</v>
      </c>
      <c r="AH58" s="6">
        <f>(HLOOKUP('Yearly Pension'!AH$2,'Credited Service'!$G$1:$BC$80,$A58+1,FALSE)) * (IF($B58=500, (Assumptions!$B$7)*12, IF((HLOOKUP(AH$2,Earnings!$G$2:$BC$81,('Yearly Pension'!$A58)+1, FALSE)) &gt; AH$1, (Assumptions!$B$8)*(AH$1) + (Assumptions!$B$9)*MAX(0,  (HLOOKUP(AH$2,Earnings!$G$2:$BC$81,('Yearly Pension'!$A58)+1, FALSE)) - AH$1), ((Assumptions!$B$8)*'Yearly Pension'!AH$1))))</f>
        <v>1052.9269372826134</v>
      </c>
      <c r="AI58" s="6">
        <f>(HLOOKUP('Yearly Pension'!AI$2,'Credited Service'!$G$1:$BC$80,$A58+1,FALSE)) * (IF($B58=500, (Assumptions!$B$7)*12, IF((HLOOKUP(AI$2,Earnings!$G$2:$BC$81,('Yearly Pension'!$A58)+1, FALSE)) &gt; AI$1, (Assumptions!$B$8)*(AI$1) + (Assumptions!$B$9)*MAX(0,  (HLOOKUP(AI$2,Earnings!$G$2:$BC$81,('Yearly Pension'!$A58)+1, FALSE)) - AI$1), ((Assumptions!$B$8)*'Yearly Pension'!AI$1))))</f>
        <v>1101.572014773918</v>
      </c>
      <c r="AJ58" s="6">
        <f>(HLOOKUP('Yearly Pension'!AJ$2,'Credited Service'!$G$1:$BC$80,$A58+1,FALSE)) * (IF($B58=500, (Assumptions!$B$7)*12, IF((HLOOKUP(AJ$2,Earnings!$G$2:$BC$81,('Yearly Pension'!$A58)+1, FALSE)) &gt; AJ$1, (Assumptions!$B$8)*(AJ$1) + (Assumptions!$B$9)*MAX(0,  (HLOOKUP(AJ$2,Earnings!$G$2:$BC$81,('Yearly Pension'!$A58)+1, FALSE)) - AJ$1), ((Assumptions!$B$8)*'Yearly Pension'!AJ$1))))</f>
        <v>1149.7564953648748</v>
      </c>
      <c r="AK58" s="6">
        <f>(HLOOKUP('Yearly Pension'!AK$2,'Credited Service'!$G$1:$BC$80,$A58+1,FALSE)) * (IF($B58=500, (Assumptions!$B$7)*12, IF((HLOOKUP(AK$2,Earnings!$G$2:$BC$81,('Yearly Pension'!$A58)+1, FALSE)) &gt; AK$1, (Assumptions!$B$8)*(AK$1) + (Assumptions!$B$9)*MAX(0,  (HLOOKUP(AK$2,Earnings!$G$2:$BC$81,('Yearly Pension'!$A58)+1, FALSE)) - AK$1), ((Assumptions!$B$8)*'Yearly Pension'!AK$1))))</f>
        <v>1196.2843551794699</v>
      </c>
      <c r="AL58" s="6">
        <f>(HLOOKUP('Yearly Pension'!AL$2,'Credited Service'!$G$1:$BC$80,$A58+1,FALSE)) * (IF($B58=500, (Assumptions!$B$7)*12, IF((HLOOKUP(AL$2,Earnings!$G$2:$BC$81,('Yearly Pension'!$A58)+1, FALSE)) &gt; AL$1, (Assumptions!$B$8)*(AL$1) + (Assumptions!$B$9)*MAX(0,  (HLOOKUP(AL$2,Earnings!$G$2:$BC$81,('Yearly Pension'!$A58)+1, FALSE)) - AL$1), ((Assumptions!$B$8)*'Yearly Pension'!AL$1))))</f>
        <v>1247.6429293866488</v>
      </c>
      <c r="AM58" s="6">
        <f>(HLOOKUP('Yearly Pension'!AM$2,'Credited Service'!$G$1:$BC$80,$A58+1,FALSE)) * (IF($B58=500, (Assumptions!$B$7)*12, IF((HLOOKUP(AM$2,Earnings!$G$2:$BC$81,('Yearly Pension'!$A58)+1, FALSE)) &gt; AM$1, (Assumptions!$B$8)*(AM$1) + (Assumptions!$B$9)*MAX(0,  (HLOOKUP(AM$2,Earnings!$G$2:$BC$81,('Yearly Pension'!$A58)+1, FALSE)) - AM$1), ((Assumptions!$B$8)*'Yearly Pension'!AM$1))))</f>
        <v>1300.0830465621148</v>
      </c>
      <c r="AN58" s="6">
        <f>(HLOOKUP('Yearly Pension'!AN$2,'Credited Service'!$G$1:$BC$80,$A58+1,FALSE)) * (IF($B58=500, (Assumptions!$B$7)*12, IF((HLOOKUP(AN$2,Earnings!$G$2:$BC$81,('Yearly Pension'!$A58)+1, FALSE)) &gt; AN$1, (Assumptions!$B$8)*(AN$1) + (Assumptions!$B$9)*MAX(0,  (HLOOKUP(AN$2,Earnings!$G$2:$BC$81,('Yearly Pension'!$A58)+1, FALSE)) - AN$1), ((Assumptions!$B$8)*'Yearly Pension'!AN$1))))</f>
        <v>1358.1791684245995</v>
      </c>
      <c r="AO58" s="6">
        <f>(HLOOKUP('Yearly Pension'!AO$2,'Credited Service'!$G$1:$BC$80,$A58+1,FALSE)) * (IF($B58=500, (Assumptions!$B$7)*12, IF((HLOOKUP(AO$2,Earnings!$G$2:$BC$81,('Yearly Pension'!$A58)+1, FALSE)) &gt; AO$1, (Assumptions!$B$8)*(AO$1) + (Assumptions!$B$9)*MAX(0,  (HLOOKUP(AO$2,Earnings!$G$2:$BC$81,('Yearly Pension'!$A58)+1, FALSE)) - AO$1), ((Assumptions!$B$8)*'Yearly Pension'!AO$1))))</f>
        <v>1417.5495351615837</v>
      </c>
      <c r="AP58" s="6">
        <f>(HLOOKUP('Yearly Pension'!AP$2,'Credited Service'!$G$1:$BC$80,$A58+1,FALSE)) * (IF($B58=500, (Assumptions!$B$7)*12, IF((HLOOKUP(AP$2,Earnings!$G$2:$BC$81,('Yearly Pension'!$A58)+1, FALSE)) &gt; AP$1, (Assumptions!$B$8)*(AP$1) + (Assumptions!$B$9)*MAX(0,  (HLOOKUP(AP$2,Earnings!$G$2:$BC$81,('Yearly Pension'!$A58)+1, FALSE)) - AP$1), ((Assumptions!$B$8)*'Yearly Pension'!AP$1))))</f>
        <v>1475.0963165680471</v>
      </c>
      <c r="AQ58" s="6">
        <f>(HLOOKUP('Yearly Pension'!AQ$2,'Credited Service'!$G$1:$BC$80,$A58+1,FALSE)) * (IF($B58=500, (Assumptions!$B$7)*12, IF((HLOOKUP(AQ$2,Earnings!$G$2:$BC$81,('Yearly Pension'!$A58)+1, FALSE)) &gt; AQ$1, (Assumptions!$B$8)*(AQ$1) + (Assumptions!$B$9)*MAX(0,  (HLOOKUP(AQ$2,Earnings!$G$2:$BC$81,('Yearly Pension'!$A58)+1, FALSE)) - AQ$1), ((Assumptions!$B$8)*'Yearly Pension'!AQ$1))))</f>
        <v>1540.5257692307691</v>
      </c>
      <c r="AR58" s="6">
        <f>(HLOOKUP('Yearly Pension'!AR$2,'Credited Service'!$G$1:$BC$80,$A58+1,FALSE)) * (IF($B58=500, (Assumptions!$B$7)*12, IF((HLOOKUP(AR$2,Earnings!$G$2:$BC$81,('Yearly Pension'!$A58)+1, FALSE)) &gt; AR$1, (Assumptions!$B$8)*(AR$1) + (Assumptions!$B$9)*MAX(0,  (HLOOKUP(AR$2,Earnings!$G$2:$BC$81,('Yearly Pension'!$A58)+1, FALSE)) - AR$1), ((Assumptions!$B$8)*'Yearly Pension'!AR$1))))</f>
        <v>1606.2683999999999</v>
      </c>
      <c r="AS58" s="6">
        <f>(HLOOKUP('Yearly Pension'!AS$2,'Credited Service'!$G$1:$BC$80,$A58+1,FALSE)) * (IF($B58=500, (Assumptions!$B$7)*12, IF((HLOOKUP(AS$2,Earnings!$G$2:$BC$81,('Yearly Pension'!$A58)+1, FALSE)) &gt; AS$1, (Assumptions!$B$8)*(AS$1) + (Assumptions!$B$9)*MAX(0,  (HLOOKUP(AS$2,Earnings!$G$2:$BC$81,('Yearly Pension'!$A58)+1, FALSE)) - AS$1), ((Assumptions!$B$8)*'Yearly Pension'!AS$1))))</f>
        <v>1657.4964519999999</v>
      </c>
      <c r="AT58" s="6">
        <f>(HLOOKUP('Yearly Pension'!AT$2,'Credited Service'!$G$1:$BC$80,$A58+1,FALSE)) * (IF($B58=500, (Assumptions!$B$7)*12, IF((HLOOKUP(AT$2,Earnings!$G$2:$BC$81,('Yearly Pension'!$A58)+1, FALSE)) &gt; AT$1, (Assumptions!$B$8)*(AT$1) + (Assumptions!$B$9)*MAX(0,  (HLOOKUP(AT$2,Earnings!$G$2:$BC$81,('Yearly Pension'!$A58)+1, FALSE)) - AT$1), ((Assumptions!$B$8)*'Yearly Pension'!AT$1))))</f>
        <v>1709.1925455599999</v>
      </c>
      <c r="AU58" s="6">
        <f>(HLOOKUP('Yearly Pension'!AU$2,'Credited Service'!$G$1:$BC$80,$A58+1,FALSE)) * (IF($B58=500, (Assumptions!$B$7)*12, IF((HLOOKUP(AU$2,Earnings!$G$2:$BC$81,('Yearly Pension'!$A58)+1, FALSE)) &gt; AU$1, (Assumptions!$B$8)*(AU$1) + (Assumptions!$B$9)*MAX(0,  (HLOOKUP(AU$2,Earnings!$G$2:$BC$81,('Yearly Pension'!$A58)+1, FALSE)) - AU$1), ((Assumptions!$B$8)*'Yearly Pension'!AU$1))))</f>
        <v>1768.4491219268</v>
      </c>
      <c r="AV58" s="6">
        <f>(HLOOKUP('Yearly Pension'!AV$2,'Credited Service'!$G$1:$BC$80,$A58+1,FALSE)) * (IF($B58=500, (Assumptions!$B$7)*12, IF((HLOOKUP(AV$2,Earnings!$G$2:$BC$81,('Yearly Pension'!$A58)+1, FALSE)) &gt; AV$1, (Assumptions!$B$8)*(AV$1) + (Assumptions!$B$9)*MAX(0,  (HLOOKUP(AV$2,Earnings!$G$2:$BC$81,('Yearly Pension'!$A58)+1, FALSE)) - AV$1), ((Assumptions!$B$8)*'Yearly Pension'!AV$1))))</f>
        <v>1828.2801955846039</v>
      </c>
      <c r="AW58" s="6">
        <f>(HLOOKUP('Yearly Pension'!AW$2,'Credited Service'!$G$1:$BC$80,$A58+1,FALSE)) * (IF($B58=500, (Assumptions!$B$7)*12, IF((HLOOKUP(AW$2,Earnings!$G$2:$BC$81,('Yearly Pension'!$A58)+1, FALSE)) &gt; AW$1, (Assumptions!$B$8)*(AW$1) + (Assumptions!$B$9)*MAX(0,  (HLOOKUP(AW$2,Earnings!$G$2:$BC$81,('Yearly Pension'!$A58)+1, FALSE)) - AW$1), ((Assumptions!$B$8)*'Yearly Pension'!AW$1))))</f>
        <v>1884.2614014521423</v>
      </c>
      <c r="AX58" s="6">
        <f>(HLOOKUP('Yearly Pension'!AX$2,'Credited Service'!$G$1:$BC$80,$A58+1,FALSE)) * (IF($B58=500, (Assumptions!$B$7)*12, IF((HLOOKUP(AX$2,Earnings!$G$2:$BC$81,('Yearly Pension'!$A58)+1, FALSE)) &gt; AX$1, (Assumptions!$B$8)*(AX$1) + (Assumptions!$B$9)*MAX(0,  (HLOOKUP(AX$2,Earnings!$G$2:$BC$81,('Yearly Pension'!$A58)+1, FALSE)) - AX$1), ((Assumptions!$B$8)*'Yearly Pension'!AX$1))))</f>
        <v>1937.1156434957065</v>
      </c>
      <c r="AY58" s="6">
        <f>(HLOOKUP('Yearly Pension'!AY$2,'Credited Service'!$G$1:$BC$80,$A58+1,FALSE)) * (IF($B58=500, (Assumptions!$B$7)*12, IF((HLOOKUP(AY$2,Earnings!$G$2:$BC$81,('Yearly Pension'!$A58)+1, FALSE)) &gt; AY$1, (Assumptions!$B$8)*(AY$1) + (Assumptions!$B$9)*MAX(0,  (HLOOKUP(AY$2,Earnings!$G$2:$BC$81,('Yearly Pension'!$A58)+1, FALSE)) - AY$1), ((Assumptions!$B$8)*'Yearly Pension'!AY$1))))</f>
        <v>1991.4085688005778</v>
      </c>
      <c r="AZ58" s="6">
        <f>(HLOOKUP('Yearly Pension'!AZ$2,'Credited Service'!$G$1:$BC$80,$A58+1,FALSE)) * (IF($B58=500, (Assumptions!$B$7)*12, IF((HLOOKUP(AZ$2,Earnings!$G$2:$BC$81,('Yearly Pension'!$A58)+1, FALSE)) &gt; AZ$1, (Assumptions!$B$8)*(AZ$1) + (Assumptions!$B$9)*MAX(0,  (HLOOKUP(AZ$2,Earnings!$G$2:$BC$81,('Yearly Pension'!$A58)+1, FALSE)) - AZ$1), ((Assumptions!$B$8)*'Yearly Pension'!AZ$1))))</f>
        <v>2047.1774601045954</v>
      </c>
      <c r="BA58" s="6">
        <f>(HLOOKUP('Yearly Pension'!BA$2,'Credited Service'!$G$1:$BC$80,$A58+1,FALSE)) * (IF($B58=500, (Assumptions!$B$7)*12, IF((HLOOKUP(BA$2,Earnings!$G$2:$BC$81,('Yearly Pension'!$A58)+1, FALSE)) &gt; BA$1, (Assumptions!$B$8)*(BA$1) + (Assumptions!$B$9)*MAX(0,  (HLOOKUP(BA$2,Earnings!$G$2:$BC$81,('Yearly Pension'!$A58)+1, FALSE)) - BA$1), ((Assumptions!$B$8)*'Yearly Pension'!BA$1))))</f>
        <v>2104.4604835173332</v>
      </c>
      <c r="BB58" s="6">
        <f>(HLOOKUP('Yearly Pension'!BB$2,'Credited Service'!$G$1:$BC$80,$A58+1,FALSE)) * (IF($B58=500, (Assumptions!$B$7)*12, IF((HLOOKUP(BB$2,Earnings!$G$2:$BC$81,('Yearly Pension'!$A58)+1, FALSE)) &gt; BB$1, (Assumptions!$B$8)*(BB$1) + (Assumptions!$B$9)*MAX(0,  (HLOOKUP(BB$2,Earnings!$G$2:$BC$81,('Yearly Pension'!$A58)+1, FALSE)) - BB$1), ((Assumptions!$B$8)*'Yearly Pension'!BB$1))))</f>
        <v>2163.2967056168372</v>
      </c>
      <c r="BC58" s="6">
        <f>(HLOOKUP('Yearly Pension'!BC$2,'Credited Service'!$G$1:$BC$80,$A58+1,FALSE)) * (IF($B58=500, (Assumptions!$B$7)*12, IF((HLOOKUP(BC$2,Earnings!$G$2:$BC$81,('Yearly Pension'!$A58)+1, FALSE)) &gt; BC$1, (Assumptions!$B$8)*(BC$1) + (Assumptions!$B$9)*MAX(0,  (HLOOKUP(BC$2,Earnings!$G$2:$BC$81,('Yearly Pension'!$A58)+1, FALSE)) - BC$1), ((Assumptions!$B$8)*'Yearly Pension'!BC$1))))</f>
        <v>2223.7261106830856</v>
      </c>
    </row>
    <row r="59" spans="1:55" x14ac:dyDescent="0.25">
      <c r="A59" s="204">
        <v>57</v>
      </c>
      <c r="B59" s="1">
        <v>600</v>
      </c>
      <c r="C59" s="1">
        <v>625</v>
      </c>
      <c r="D59" s="3">
        <v>32923</v>
      </c>
      <c r="E59" s="3">
        <v>48000</v>
      </c>
      <c r="G59" s="6">
        <f>(HLOOKUP('Yearly Pension'!G$2,'Credited Service'!$G$1:$BC$80,$A59+1,FALSE)) * (IF($B59=500, (Assumptions!$B$7)*12, IF((HLOOKUP(G$2,Earnings!$G$2:$BC$81,('Yearly Pension'!$A59)+1, FALSE)) &gt; G$1, (Assumptions!$B$8)*(G$1) + (Assumptions!$B$9)*MAX(0,  (HLOOKUP(G$2,Earnings!$G$2:$BC$81,('Yearly Pension'!$A59)+1, FALSE)) - G$1), ((Assumptions!$B$8)*'Yearly Pension'!G$1))))</f>
        <v>0</v>
      </c>
      <c r="H59" s="6">
        <f>(HLOOKUP('Yearly Pension'!H$2,'Credited Service'!$G$1:$BC$80,$A59+1,FALSE)) * (IF($B59=500, (Assumptions!$B$7)*12, IF((HLOOKUP(H$2,Earnings!$G$2:$BC$81,('Yearly Pension'!$A59)+1, FALSE)) &gt; H$1, (Assumptions!$B$8)*(H$1) + (Assumptions!$B$9)*MAX(0,  (HLOOKUP(H$2,Earnings!$G$2:$BC$81,('Yearly Pension'!$A59)+1, FALSE)) - H$1), ((Assumptions!$B$8)*'Yearly Pension'!H$1))))</f>
        <v>0</v>
      </c>
      <c r="I59" s="6">
        <f>(HLOOKUP('Yearly Pension'!I$2,'Credited Service'!$G$1:$BC$80,$A59+1,FALSE)) * (IF($B59=500, (Assumptions!$B$7)*12, IF((HLOOKUP(I$2,Earnings!$G$2:$BC$81,('Yearly Pension'!$A59)+1, FALSE)) &gt; I$1, (Assumptions!$B$8)*(I$1) + (Assumptions!$B$9)*MAX(0,  (HLOOKUP(I$2,Earnings!$G$2:$BC$81,('Yearly Pension'!$A59)+1, FALSE)) - I$1), ((Assumptions!$B$8)*'Yearly Pension'!I$1))))</f>
        <v>0</v>
      </c>
      <c r="J59" s="6">
        <f>(HLOOKUP('Yearly Pension'!J$2,'Credited Service'!$G$1:$BC$80,$A59+1,FALSE)) * (IF($B59=500, (Assumptions!$B$7)*12, IF((HLOOKUP(J$2,Earnings!$G$2:$BC$81,('Yearly Pension'!$A59)+1, FALSE)) &gt; J$1, (Assumptions!$B$8)*(J$1) + (Assumptions!$B$9)*MAX(0,  (HLOOKUP(J$2,Earnings!$G$2:$BC$81,('Yearly Pension'!$A59)+1, FALSE)) - J$1), ((Assumptions!$B$8)*'Yearly Pension'!J$1))))</f>
        <v>0</v>
      </c>
      <c r="K59" s="6">
        <f>(HLOOKUP('Yearly Pension'!K$2,'Credited Service'!$G$1:$BC$80,$A59+1,FALSE)) * (IF($B59=500, (Assumptions!$B$7)*12, IF((HLOOKUP(K$2,Earnings!$G$2:$BC$81,('Yearly Pension'!$A59)+1, FALSE)) &gt; K$1, (Assumptions!$B$8)*(K$1) + (Assumptions!$B$9)*MAX(0,  (HLOOKUP(K$2,Earnings!$G$2:$BC$81,('Yearly Pension'!$A59)+1, FALSE)) - K$1), ((Assumptions!$B$8)*'Yearly Pension'!K$1))))</f>
        <v>0</v>
      </c>
      <c r="L59" s="6">
        <f>(HLOOKUP('Yearly Pension'!L$2,'Credited Service'!$G$1:$BC$80,$A59+1,FALSE)) * (IF($B59=500, (Assumptions!$B$7)*12, IF((HLOOKUP(L$2,Earnings!$G$2:$BC$81,('Yearly Pension'!$A59)+1, FALSE)) &gt; L$1, (Assumptions!$B$8)*(L$1) + (Assumptions!$B$9)*MAX(0,  (HLOOKUP(L$2,Earnings!$G$2:$BC$81,('Yearly Pension'!$A59)+1, FALSE)) - L$1), ((Assumptions!$B$8)*'Yearly Pension'!L$1))))</f>
        <v>0</v>
      </c>
      <c r="M59" s="6">
        <f>(HLOOKUP('Yearly Pension'!M$2,'Credited Service'!$G$1:$BC$80,$A59+1,FALSE)) * (IF($B59=500, (Assumptions!$B$7)*12, IF((HLOOKUP(M$2,Earnings!$G$2:$BC$81,('Yearly Pension'!$A59)+1, FALSE)) &gt; M$1, (Assumptions!$B$8)*(M$1) + (Assumptions!$B$9)*MAX(0,  (HLOOKUP(M$2,Earnings!$G$2:$BC$81,('Yearly Pension'!$A59)+1, FALSE)) - M$1), ((Assumptions!$B$8)*'Yearly Pension'!M$1))))</f>
        <v>0</v>
      </c>
      <c r="N59" s="6">
        <f>(HLOOKUP('Yearly Pension'!N$2,'Credited Service'!$G$1:$BC$80,$A59+1,FALSE)) * (IF($B59=500, (Assumptions!$B$7)*12, IF((HLOOKUP(N$2,Earnings!$G$2:$BC$81,('Yearly Pension'!$A59)+1, FALSE)) &gt; N$1, (Assumptions!$B$8)*(N$1) + (Assumptions!$B$9)*MAX(0,  (HLOOKUP(N$2,Earnings!$G$2:$BC$81,('Yearly Pension'!$A59)+1, FALSE)) - N$1), ((Assumptions!$B$8)*'Yearly Pension'!N$1))))</f>
        <v>0</v>
      </c>
      <c r="O59" s="6">
        <f>(HLOOKUP('Yearly Pension'!O$2,'Credited Service'!$G$1:$BC$80,$A59+1,FALSE)) * (IF($B59=500, (Assumptions!$B$7)*12, IF((HLOOKUP(O$2,Earnings!$G$2:$BC$81,('Yearly Pension'!$A59)+1, FALSE)) &gt; O$1, (Assumptions!$B$8)*(O$1) + (Assumptions!$B$9)*MAX(0,  (HLOOKUP(O$2,Earnings!$G$2:$BC$81,('Yearly Pension'!$A59)+1, FALSE)) - O$1), ((Assumptions!$B$8)*'Yearly Pension'!O$1))))</f>
        <v>0</v>
      </c>
      <c r="P59" s="6">
        <f>(HLOOKUP('Yearly Pension'!P$2,'Credited Service'!$G$1:$BC$80,$A59+1,FALSE)) * (IF($B59=500, (Assumptions!$B$7)*12, IF((HLOOKUP(P$2,Earnings!$G$2:$BC$81,('Yearly Pension'!$A59)+1, FALSE)) &gt; P$1, (Assumptions!$B$8)*(P$1) + (Assumptions!$B$9)*MAX(0,  (HLOOKUP(P$2,Earnings!$G$2:$BC$81,('Yearly Pension'!$A59)+1, FALSE)) - P$1), ((Assumptions!$B$8)*'Yearly Pension'!P$1))))</f>
        <v>0</v>
      </c>
      <c r="Q59" s="6">
        <f>(HLOOKUP('Yearly Pension'!Q$2,'Credited Service'!$G$1:$BC$80,$A59+1,FALSE)) * (IF($B59=500, (Assumptions!$B$7)*12, IF((HLOOKUP(Q$2,Earnings!$G$2:$BC$81,('Yearly Pension'!$A59)+1, FALSE)) &gt; Q$1, (Assumptions!$B$8)*(Q$1) + (Assumptions!$B$9)*MAX(0,  (HLOOKUP(Q$2,Earnings!$G$2:$BC$81,('Yearly Pension'!$A59)+1, FALSE)) - Q$1), ((Assumptions!$B$8)*'Yearly Pension'!Q$1))))</f>
        <v>0</v>
      </c>
      <c r="R59" s="6">
        <f>(HLOOKUP('Yearly Pension'!R$2,'Credited Service'!$G$1:$BC$80,$A59+1,FALSE)) * (IF($B59=500, (Assumptions!$B$7)*12, IF((HLOOKUP(R$2,Earnings!$G$2:$BC$81,('Yearly Pension'!$A59)+1, FALSE)) &gt; R$1, (Assumptions!$B$8)*(R$1) + (Assumptions!$B$9)*MAX(0,  (HLOOKUP(R$2,Earnings!$G$2:$BC$81,('Yearly Pension'!$A59)+1, FALSE)) - R$1), ((Assumptions!$B$8)*'Yearly Pension'!R$1))))</f>
        <v>0</v>
      </c>
      <c r="S59" s="6">
        <f>(HLOOKUP('Yearly Pension'!S$2,'Credited Service'!$G$1:$BC$80,$A59+1,FALSE)) * (IF($B59=500, (Assumptions!$B$7)*12, IF((HLOOKUP(S$2,Earnings!$G$2:$BC$81,('Yearly Pension'!$A59)+1, FALSE)) &gt; S$1, (Assumptions!$B$8)*(S$1) + (Assumptions!$B$9)*MAX(0,  (HLOOKUP(S$2,Earnings!$G$2:$BC$81,('Yearly Pension'!$A59)+1, FALSE)) - S$1), ((Assumptions!$B$8)*'Yearly Pension'!S$1))))</f>
        <v>0</v>
      </c>
      <c r="T59" s="6">
        <f>(HLOOKUP('Yearly Pension'!T$2,'Credited Service'!$G$1:$BC$80,$A59+1,FALSE)) * (IF($B59=500, (Assumptions!$B$7)*12, IF((HLOOKUP(T$2,Earnings!$G$2:$BC$81,('Yearly Pension'!$A59)+1, FALSE)) &gt; T$1, (Assumptions!$B$8)*(T$1) + (Assumptions!$B$9)*MAX(0,  (HLOOKUP(T$2,Earnings!$G$2:$BC$81,('Yearly Pension'!$A59)+1, FALSE)) - T$1), ((Assumptions!$B$8)*'Yearly Pension'!T$1))))</f>
        <v>482.66350972447526</v>
      </c>
      <c r="U59" s="6">
        <f>(HLOOKUP('Yearly Pension'!U$2,'Credited Service'!$G$1:$BC$80,$A59+1,FALSE)) * (IF($B59=500, (Assumptions!$B$7)*12, IF((HLOOKUP(U$2,Earnings!$G$2:$BC$81,('Yearly Pension'!$A59)+1, FALSE)) &gt; U$1, (Assumptions!$B$8)*(U$1) + (Assumptions!$B$9)*MAX(0,  (HLOOKUP(U$2,Earnings!$G$2:$BC$81,('Yearly Pension'!$A59)+1, FALSE)) - U$1), ((Assumptions!$B$8)*'Yearly Pension'!U$1))))</f>
        <v>599.52246013614513</v>
      </c>
      <c r="V59" s="6">
        <f>(HLOOKUP('Yearly Pension'!V$2,'Credited Service'!$G$1:$BC$80,$A59+1,FALSE)) * (IF($B59=500, (Assumptions!$B$7)*12, IF((HLOOKUP(V$2,Earnings!$G$2:$BC$81,('Yearly Pension'!$A59)+1, FALSE)) &gt; V$1, (Assumptions!$B$8)*(V$1) + (Assumptions!$B$9)*MAX(0,  (HLOOKUP(V$2,Earnings!$G$2:$BC$81,('Yearly Pension'!$A59)+1, FALSE)) - V$1), ((Assumptions!$B$8)*'Yearly Pension'!V$1))))</f>
        <v>620.43135854159095</v>
      </c>
      <c r="W59" s="6">
        <f>(HLOOKUP('Yearly Pension'!W$2,'Credited Service'!$G$1:$BC$80,$A59+1,FALSE)) * (IF($B59=500, (Assumptions!$B$7)*12, IF((HLOOKUP(W$2,Earnings!$G$2:$BC$81,('Yearly Pension'!$A59)+1, FALSE)) &gt; W$1, (Assumptions!$B$8)*(W$1) + (Assumptions!$B$9)*MAX(0,  (HLOOKUP(W$2,Earnings!$G$2:$BC$81,('Yearly Pension'!$A59)+1, FALSE)) - W$1), ((Assumptions!$B$8)*'Yearly Pension'!W$1))))</f>
        <v>645.81181288325467</v>
      </c>
      <c r="X59" s="6">
        <f>(HLOOKUP('Yearly Pension'!X$2,'Credited Service'!$G$1:$BC$80,$A59+1,FALSE)) * (IF($B59=500, (Assumptions!$B$7)*12, IF((HLOOKUP(X$2,Earnings!$G$2:$BC$81,('Yearly Pension'!$A59)+1, FALSE)) &gt; X$1, (Assumptions!$B$8)*(X$1) + (Assumptions!$B$9)*MAX(0,  (HLOOKUP(X$2,Earnings!$G$2:$BC$81,('Yearly Pension'!$A59)+1, FALSE)) - X$1), ((Assumptions!$B$8)*'Yearly Pension'!X$1))))</f>
        <v>673.79468539858499</v>
      </c>
      <c r="Y59" s="6">
        <f>(HLOOKUP('Yearly Pension'!Y$2,'Credited Service'!$G$1:$BC$80,$A59+1,FALSE)) * (IF($B59=500, (Assumptions!$B$7)*12, IF((HLOOKUP(Y$2,Earnings!$G$2:$BC$81,('Yearly Pension'!$A59)+1, FALSE)) &gt; Y$1, (Assumptions!$B$8)*(Y$1) + (Assumptions!$B$9)*MAX(0,  (HLOOKUP(Y$2,Earnings!$G$2:$BC$81,('Yearly Pension'!$A59)+1, FALSE)) - Y$1), ((Assumptions!$B$8)*'Yearly Pension'!Y$1))))</f>
        <v>706.35287281452838</v>
      </c>
      <c r="Z59" s="6">
        <f>(HLOOKUP('Yearly Pension'!Z$2,'Credited Service'!$G$1:$BC$80,$A59+1,FALSE)) * (IF($B59=500, (Assumptions!$B$7)*12, IF((HLOOKUP(Z$2,Earnings!$G$2:$BC$81,('Yearly Pension'!$A59)+1, FALSE)) &gt; Z$1, (Assumptions!$B$8)*(Z$1) + (Assumptions!$B$9)*MAX(0,  (HLOOKUP(Z$2,Earnings!$G$2:$BC$81,('Yearly Pension'!$A59)+1, FALSE)) - Z$1), ((Assumptions!$B$8)*'Yearly Pension'!Z$1))))</f>
        <v>740.34138772710958</v>
      </c>
      <c r="AA59" s="6">
        <f>(HLOOKUP('Yearly Pension'!AA$2,'Credited Service'!$G$1:$BC$80,$A59+1,FALSE)) * (IF($B59=500, (Assumptions!$B$7)*12, IF((HLOOKUP(AA$2,Earnings!$G$2:$BC$81,('Yearly Pension'!$A59)+1, FALSE)) &gt; AA$1, (Assumptions!$B$8)*(AA$1) + (Assumptions!$B$9)*MAX(0,  (HLOOKUP(AA$2,Earnings!$G$2:$BC$81,('Yearly Pension'!$A59)+1, FALSE)) - AA$1), ((Assumptions!$B$8)*'Yearly Pension'!AA$1))))</f>
        <v>776.45744323619397</v>
      </c>
      <c r="AB59" s="6">
        <f>(HLOOKUP('Yearly Pension'!AB$2,'Credited Service'!$G$1:$BC$80,$A59+1,FALSE)) * (IF($B59=500, (Assumptions!$B$7)*12, IF((HLOOKUP(AB$2,Earnings!$G$2:$BC$81,('Yearly Pension'!$A59)+1, FALSE)) &gt; AB$1, (Assumptions!$B$8)*(AB$1) + (Assumptions!$B$9)*MAX(0,  (HLOOKUP(AB$2,Earnings!$G$2:$BC$81,('Yearly Pension'!$A59)+1, FALSE)) - AB$1), ((Assumptions!$B$8)*'Yearly Pension'!AB$1))))</f>
        <v>809.64054096564166</v>
      </c>
      <c r="AC59" s="6">
        <f>(HLOOKUP('Yearly Pension'!AC$2,'Credited Service'!$G$1:$BC$80,$A59+1,FALSE)) * (IF($B59=500, (Assumptions!$B$7)*12, IF((HLOOKUP(AC$2,Earnings!$G$2:$BC$81,('Yearly Pension'!$A59)+1, FALSE)) &gt; AC$1, (Assumptions!$B$8)*(AC$1) + (Assumptions!$B$9)*MAX(0,  (HLOOKUP(AC$2,Earnings!$G$2:$BC$81,('Yearly Pension'!$A59)+1, FALSE)) - AC$1), ((Assumptions!$B$8)*'Yearly Pension'!AC$1))))</f>
        <v>848.27256260426748</v>
      </c>
      <c r="AD59" s="6">
        <f>(HLOOKUP('Yearly Pension'!AD$2,'Credited Service'!$G$1:$BC$80,$A59+1,FALSE)) * (IF($B59=500, (Assumptions!$B$7)*12, IF((HLOOKUP(AD$2,Earnings!$G$2:$BC$81,('Yearly Pension'!$A59)+1, FALSE)) &gt; AD$1, (Assumptions!$B$8)*(AD$1) + (Assumptions!$B$9)*MAX(0,  (HLOOKUP(AD$2,Earnings!$G$2:$BC$81,('Yearly Pension'!$A59)+1, FALSE)) - AD$1), ((Assumptions!$B$8)*'Yearly Pension'!AD$1))))</f>
        <v>890.49786510843808</v>
      </c>
      <c r="AE59" s="6">
        <f>(HLOOKUP('Yearly Pension'!AE$2,'Credited Service'!$G$1:$BC$80,$A59+1,FALSE)) * (IF($B59=500, (Assumptions!$B$7)*12, IF((HLOOKUP(AE$2,Earnings!$G$2:$BC$81,('Yearly Pension'!$A59)+1, FALSE)) &gt; AE$1, (Assumptions!$B$8)*(AE$1) + (Assumptions!$B$9)*MAX(0,  (HLOOKUP(AE$2,Earnings!$G$2:$BC$81,('Yearly Pension'!$A59)+1, FALSE)) - AE$1), ((Assumptions!$B$8)*'Yearly Pension'!AE$1))))</f>
        <v>931.26337971277565</v>
      </c>
      <c r="AF59" s="6">
        <f>(HLOOKUP('Yearly Pension'!AF$2,'Credited Service'!$G$1:$BC$80,$A59+1,FALSE)) * (IF($B59=500, (Assumptions!$B$7)*12, IF((HLOOKUP(AF$2,Earnings!$G$2:$BC$81,('Yearly Pension'!$A59)+1, FALSE)) &gt; AF$1, (Assumptions!$B$8)*(AF$1) + (Assumptions!$B$9)*MAX(0,  (HLOOKUP(AF$2,Earnings!$G$2:$BC$81,('Yearly Pension'!$A59)+1, FALSE)) - AF$1), ((Assumptions!$B$8)*'Yearly Pension'!AF$1))))</f>
        <v>973.19871490128673</v>
      </c>
      <c r="AG59" s="6">
        <f>(HLOOKUP('Yearly Pension'!AG$2,'Credited Service'!$G$1:$BC$80,$A59+1,FALSE)) * (IF($B59=500, (Assumptions!$B$7)*12, IF((HLOOKUP(AG$2,Earnings!$G$2:$BC$81,('Yearly Pension'!$A59)+1, FALSE)) &gt; AG$1, (Assumptions!$B$8)*(AG$1) + (Assumptions!$B$9)*MAX(0,  (HLOOKUP(AG$2,Earnings!$G$2:$BC$81,('Yearly Pension'!$A59)+1, FALSE)) - AG$1), ((Assumptions!$B$8)*'Yearly Pension'!AG$1))))</f>
        <v>1017.0162634973383</v>
      </c>
      <c r="AH59" s="6">
        <f>(HLOOKUP('Yearly Pension'!AH$2,'Credited Service'!$G$1:$BC$80,$A59+1,FALSE)) * (IF($B59=500, (Assumptions!$B$7)*12, IF((HLOOKUP(AH$2,Earnings!$G$2:$BC$81,('Yearly Pension'!$A59)+1, FALSE)) &gt; AH$1, (Assumptions!$B$8)*(AH$1) + (Assumptions!$B$9)*MAX(0,  (HLOOKUP(AH$2,Earnings!$G$2:$BC$81,('Yearly Pension'!$A59)+1, FALSE)) - AH$1), ((Assumptions!$B$8)*'Yearly Pension'!AH$1))))</f>
        <v>1064.0713140372318</v>
      </c>
      <c r="AI59" s="6">
        <f>(HLOOKUP('Yearly Pension'!AI$2,'Credited Service'!$G$1:$BC$80,$A59+1,FALSE)) * (IF($B59=500, (Assumptions!$B$7)*12, IF((HLOOKUP(AI$2,Earnings!$G$2:$BC$81,('Yearly Pension'!$A59)+1, FALSE)) &gt; AI$1, (Assumptions!$B$8)*(AI$1) + (Assumptions!$B$9)*MAX(0,  (HLOOKUP(AI$2,Earnings!$G$2:$BC$81,('Yearly Pension'!$A59)+1, FALSE)) - AI$1), ((Assumptions!$B$8)*'Yearly Pension'!AI$1))))</f>
        <v>1113.1621665987211</v>
      </c>
      <c r="AJ59" s="6">
        <f>(HLOOKUP('Yearly Pension'!AJ$2,'Credited Service'!$G$1:$BC$80,$A59+1,FALSE)) * (IF($B59=500, (Assumptions!$B$7)*12, IF((HLOOKUP(AJ$2,Earnings!$G$2:$BC$81,('Yearly Pension'!$A59)+1, FALSE)) &gt; AJ$1, (Assumptions!$B$8)*(AJ$1) + (Assumptions!$B$9)*MAX(0,  (HLOOKUP(AJ$2,Earnings!$G$2:$BC$81,('Yearly Pension'!$A59)+1, FALSE)) - AJ$1), ((Assumptions!$B$8)*'Yearly Pension'!AJ$1))))</f>
        <v>1161.8102532626699</v>
      </c>
      <c r="AK59" s="6">
        <f>(HLOOKUP('Yearly Pension'!AK$2,'Credited Service'!$G$1:$BC$80,$A59+1,FALSE)) * (IF($B59=500, (Assumptions!$B$7)*12, IF((HLOOKUP(AK$2,Earnings!$G$2:$BC$81,('Yearly Pension'!$A59)+1, FALSE)) &gt; AK$1, (Assumptions!$B$8)*(AK$1) + (Assumptions!$B$9)*MAX(0,  (HLOOKUP(AK$2,Earnings!$G$2:$BC$81,('Yearly Pension'!$A59)+1, FALSE)) - AK$1), ((Assumptions!$B$8)*'Yearly Pension'!AK$1))))</f>
        <v>1208.8202633931769</v>
      </c>
      <c r="AL59" s="6">
        <f>(HLOOKUP('Yearly Pension'!AL$2,'Credited Service'!$G$1:$BC$80,$A59+1,FALSE)) * (IF($B59=500, (Assumptions!$B$7)*12, IF((HLOOKUP(AL$2,Earnings!$G$2:$BC$81,('Yearly Pension'!$A59)+1, FALSE)) &gt; AL$1, (Assumptions!$B$8)*(AL$1) + (Assumptions!$B$9)*MAX(0,  (HLOOKUP(AL$2,Earnings!$G$2:$BC$81,('Yearly Pension'!$A59)+1, FALSE)) - AL$1), ((Assumptions!$B$8)*'Yearly Pension'!AL$1))))</f>
        <v>1260.6802739289042</v>
      </c>
      <c r="AM59" s="6">
        <f>(HLOOKUP('Yearly Pension'!AM$2,'Credited Service'!$G$1:$BC$80,$A59+1,FALSE)) * (IF($B59=500, (Assumptions!$B$7)*12, IF((HLOOKUP(AM$2,Earnings!$G$2:$BC$81,('Yearly Pension'!$A59)+1, FALSE)) &gt; AM$1, (Assumptions!$B$8)*(AM$1) + (Assumptions!$B$9)*MAX(0,  (HLOOKUP(AM$2,Earnings!$G$2:$BC$81,('Yearly Pension'!$A59)+1, FALSE)) - AM$1), ((Assumptions!$B$8)*'Yearly Pension'!AM$1))))</f>
        <v>1313.6418848860603</v>
      </c>
      <c r="AN59" s="6">
        <f>(HLOOKUP('Yearly Pension'!AN$2,'Credited Service'!$G$1:$BC$80,$A59+1,FALSE)) * (IF($B59=500, (Assumptions!$B$7)*12, IF((HLOOKUP(AN$2,Earnings!$G$2:$BC$81,('Yearly Pension'!$A59)+1, FALSE)) &gt; AN$1, (Assumptions!$B$8)*(AN$1) + (Assumptions!$B$9)*MAX(0,  (HLOOKUP(AN$2,Earnings!$G$2:$BC$81,('Yearly Pension'!$A59)+1, FALSE)) - AN$1), ((Assumptions!$B$8)*'Yearly Pension'!AN$1))))</f>
        <v>1372.2803602815029</v>
      </c>
      <c r="AO59" s="6">
        <f>(HLOOKUP('Yearly Pension'!AO$2,'Credited Service'!$G$1:$BC$80,$A59+1,FALSE)) * (IF($B59=500, (Assumptions!$B$7)*12, IF((HLOOKUP(AO$2,Earnings!$G$2:$BC$81,('Yearly Pension'!$A59)+1, FALSE)) &gt; AO$1, (Assumptions!$B$8)*(AO$1) + (Assumptions!$B$9)*MAX(0,  (HLOOKUP(AO$2,Earnings!$G$2:$BC$81,('Yearly Pension'!$A59)+1, FALSE)) - AO$1), ((Assumptions!$B$8)*'Yearly Pension'!AO$1))))</f>
        <v>1432.2147746927631</v>
      </c>
      <c r="AP59" s="6">
        <f>(HLOOKUP('Yearly Pension'!AP$2,'Credited Service'!$G$1:$BC$80,$A59+1,FALSE)) * (IF($B59=500, (Assumptions!$B$7)*12, IF((HLOOKUP(AP$2,Earnings!$G$2:$BC$81,('Yearly Pension'!$A59)+1, FALSE)) &gt; AP$1, (Assumptions!$B$8)*(AP$1) + (Assumptions!$B$9)*MAX(0,  (HLOOKUP(AP$2,Earnings!$G$2:$BC$81,('Yearly Pension'!$A59)+1, FALSE)) - AP$1), ((Assumptions!$B$8)*'Yearly Pension'!AP$1))))</f>
        <v>1490.3481656804738</v>
      </c>
      <c r="AQ59" s="6">
        <f>(HLOOKUP('Yearly Pension'!AQ$2,'Credited Service'!$G$1:$BC$80,$A59+1,FALSE)) * (IF($B59=500, (Assumptions!$B$7)*12, IF((HLOOKUP(AQ$2,Earnings!$G$2:$BC$81,('Yearly Pension'!$A59)+1, FALSE)) &gt; AQ$1, (Assumptions!$B$8)*(AQ$1) + (Assumptions!$B$9)*MAX(0,  (HLOOKUP(AQ$2,Earnings!$G$2:$BC$81,('Yearly Pension'!$A59)+1, FALSE)) - AQ$1), ((Assumptions!$B$8)*'Yearly Pension'!AQ$1))))</f>
        <v>1556.3876923076923</v>
      </c>
      <c r="AR59" s="6">
        <f>(HLOOKUP('Yearly Pension'!AR$2,'Credited Service'!$G$1:$BC$80,$A59+1,FALSE)) * (IF($B59=500, (Assumptions!$B$7)*12, IF((HLOOKUP(AR$2,Earnings!$G$2:$BC$81,('Yearly Pension'!$A59)+1, FALSE)) &gt; AR$1, (Assumptions!$B$8)*(AR$1) + (Assumptions!$B$9)*MAX(0,  (HLOOKUP(AR$2,Earnings!$G$2:$BC$81,('Yearly Pension'!$A59)+1, FALSE)) - AR$1), ((Assumptions!$B$8)*'Yearly Pension'!AR$1))))</f>
        <v>1622.7648000000002</v>
      </c>
      <c r="AS59" s="6">
        <f>(HLOOKUP('Yearly Pension'!AS$2,'Credited Service'!$G$1:$BC$80,$A59+1,FALSE)) * (IF($B59=500, (Assumptions!$B$7)*12, IF((HLOOKUP(AS$2,Earnings!$G$2:$BC$81,('Yearly Pension'!$A59)+1, FALSE)) &gt; AS$1, (Assumptions!$B$8)*(AS$1) + (Assumptions!$B$9)*MAX(0,  (HLOOKUP(AS$2,Earnings!$G$2:$BC$81,('Yearly Pension'!$A59)+1, FALSE)) - AS$1), ((Assumptions!$B$8)*'Yearly Pension'!AS$1))))</f>
        <v>1674.487744</v>
      </c>
      <c r="AT59" s="6">
        <f>(HLOOKUP('Yearly Pension'!AT$2,'Credited Service'!$G$1:$BC$80,$A59+1,FALSE)) * (IF($B59=500, (Assumptions!$B$7)*12, IF((HLOOKUP(AT$2,Earnings!$G$2:$BC$81,('Yearly Pension'!$A59)+1, FALSE)) &gt; AT$1, (Assumptions!$B$8)*(AT$1) + (Assumptions!$B$9)*MAX(0,  (HLOOKUP(AT$2,Earnings!$G$2:$BC$81,('Yearly Pension'!$A59)+1, FALSE)) - AT$1), ((Assumptions!$B$8)*'Yearly Pension'!AT$1))))</f>
        <v>1726.6935763200004</v>
      </c>
      <c r="AU59" s="6">
        <f>(HLOOKUP('Yearly Pension'!AU$2,'Credited Service'!$G$1:$BC$80,$A59+1,FALSE)) * (IF($B59=500, (Assumptions!$B$7)*12, IF((HLOOKUP(AU$2,Earnings!$G$2:$BC$81,('Yearly Pension'!$A59)+1, FALSE)) &gt; AU$1, (Assumptions!$B$8)*(AU$1) + (Assumptions!$B$9)*MAX(0,  (HLOOKUP(AU$2,Earnings!$G$2:$BC$81,('Yearly Pension'!$A59)+1, FALSE)) - AU$1), ((Assumptions!$B$8)*'Yearly Pension'!AU$1))))</f>
        <v>1786.4751836096002</v>
      </c>
      <c r="AV59" s="6">
        <f>(HLOOKUP('Yearly Pension'!AV$2,'Credited Service'!$G$1:$BC$80,$A59+1,FALSE)) * (IF($B59=500, (Assumptions!$B$7)*12, IF((HLOOKUP(AV$2,Earnings!$G$2:$BC$81,('Yearly Pension'!$A59)+1, FALSE)) &gt; AV$1, (Assumptions!$B$8)*(AV$1) + (Assumptions!$B$9)*MAX(0,  (HLOOKUP(AV$2,Earnings!$G$2:$BC$81,('Yearly Pension'!$A59)+1, FALSE)) - AV$1), ((Assumptions!$B$8)*'Yearly Pension'!AV$1))))</f>
        <v>1846.8470391178885</v>
      </c>
      <c r="AW59" s="6">
        <f>(HLOOKUP('Yearly Pension'!AW$2,'Credited Service'!$G$1:$BC$80,$A59+1,FALSE)) * (IF($B59=500, (Assumptions!$B$7)*12, IF((HLOOKUP(AW$2,Earnings!$G$2:$BC$81,('Yearly Pension'!$A59)+1, FALSE)) &gt; AW$1, (Assumptions!$B$8)*(AW$1) + (Assumptions!$B$9)*MAX(0,  (HLOOKUP(AW$2,Earnings!$G$2:$BC$81,('Yearly Pension'!$A59)+1, FALSE)) - AW$1), ((Assumptions!$B$8)*'Yearly Pension'!AW$1))))</f>
        <v>1903.3852502914256</v>
      </c>
      <c r="AX59" s="6">
        <f>(HLOOKUP('Yearly Pension'!AX$2,'Credited Service'!$G$1:$BC$80,$A59+1,FALSE)) * (IF($B59=500, (Assumptions!$B$7)*12, IF((HLOOKUP(AX$2,Earnings!$G$2:$BC$81,('Yearly Pension'!$A59)+1, FALSE)) &gt; AX$1, (Assumptions!$B$8)*(AX$1) + (Assumptions!$B$9)*MAX(0,  (HLOOKUP(AX$2,Earnings!$G$2:$BC$81,('Yearly Pension'!$A59)+1, FALSE)) - AX$1), ((Assumptions!$B$8)*'Yearly Pension'!AX$1))))</f>
        <v>1956.8132078001681</v>
      </c>
      <c r="AY59" s="6">
        <f>(HLOOKUP('Yearly Pension'!AY$2,'Credited Service'!$G$1:$BC$80,$A59+1,FALSE)) * (IF($B59=500, (Assumptions!$B$7)*12, IF((HLOOKUP(AY$2,Earnings!$G$2:$BC$81,('Yearly Pension'!$A59)+1, FALSE)) &gt; AY$1, (Assumptions!$B$8)*(AY$1) + (Assumptions!$B$9)*MAX(0,  (HLOOKUP(AY$2,Earnings!$G$2:$BC$81,('Yearly Pension'!$A59)+1, FALSE)) - AY$1), ((Assumptions!$B$8)*'Yearly Pension'!AY$1))))</f>
        <v>2011.6970600341733</v>
      </c>
      <c r="AZ59" s="6">
        <f>(HLOOKUP('Yearly Pension'!AZ$2,'Credited Service'!$G$1:$BC$80,$A59+1,FALSE)) * (IF($B59=500, (Assumptions!$B$7)*12, IF((HLOOKUP(AZ$2,Earnings!$G$2:$BC$81,('Yearly Pension'!$A59)+1, FALSE)) &gt; AZ$1, (Assumptions!$B$8)*(AZ$1) + (Assumptions!$B$9)*MAX(0,  (HLOOKUP(AZ$2,Earnings!$G$2:$BC$81,('Yearly Pension'!$A59)+1, FALSE)) - AZ$1), ((Assumptions!$B$8)*'Yearly Pension'!AZ$1))))</f>
        <v>2068.0746060751985</v>
      </c>
      <c r="BA59" s="6">
        <f>(HLOOKUP('Yearly Pension'!BA$2,'Credited Service'!$G$1:$BC$80,$A59+1,FALSE)) * (IF($B59=500, (Assumptions!$B$7)*12, IF((HLOOKUP(BA$2,Earnings!$G$2:$BC$81,('Yearly Pension'!$A59)+1, FALSE)) &gt; BA$1, (Assumptions!$B$8)*(BA$1) + (Assumptions!$B$9)*MAX(0,  (HLOOKUP(BA$2,Earnings!$G$2:$BC$81,('Yearly Pension'!$A59)+1, FALSE)) - BA$1), ((Assumptions!$B$8)*'Yearly Pension'!BA$1))))</f>
        <v>2125.9845438670545</v>
      </c>
      <c r="BB59" s="6">
        <f>(HLOOKUP('Yearly Pension'!BB$2,'Credited Service'!$G$1:$BC$80,$A59+1,FALSE)) * (IF($B59=500, (Assumptions!$B$7)*12, IF((HLOOKUP(BB$2,Earnings!$G$2:$BC$81,('Yearly Pension'!$A59)+1, FALSE)) &gt; BB$1, (Assumptions!$B$8)*(BB$1) + (Assumptions!$B$9)*MAX(0,  (HLOOKUP(BB$2,Earnings!$G$2:$BC$81,('Yearly Pension'!$A59)+1, FALSE)) - BB$1), ((Assumptions!$B$8)*'Yearly Pension'!BB$1))))</f>
        <v>2185.4664877770501</v>
      </c>
      <c r="BC59" s="6">
        <f>(HLOOKUP('Yearly Pension'!BC$2,'Credited Service'!$G$1:$BC$80,$A59+1,FALSE)) * (IF($B59=500, (Assumptions!$B$7)*12, IF((HLOOKUP(BC$2,Earnings!$G$2:$BC$81,('Yearly Pension'!$A59)+1, FALSE)) &gt; BC$1, (Assumptions!$B$8)*(BC$1) + (Assumptions!$B$9)*MAX(0,  (HLOOKUP(BC$2,Earnings!$G$2:$BC$81,('Yearly Pension'!$A59)+1, FALSE)) - BC$1), ((Assumptions!$B$8)*'Yearly Pension'!BC$1))))</f>
        <v>2246.5609863081045</v>
      </c>
    </row>
    <row r="60" spans="1:55" x14ac:dyDescent="0.25">
      <c r="A60" s="204">
        <v>58</v>
      </c>
      <c r="B60" s="1">
        <v>600</v>
      </c>
      <c r="C60" s="1">
        <v>624</v>
      </c>
      <c r="D60" s="3">
        <v>32905</v>
      </c>
      <c r="E60" s="3">
        <v>44682</v>
      </c>
      <c r="G60" s="6">
        <f>(HLOOKUP('Yearly Pension'!G$2,'Credited Service'!$G$1:$BC$80,$A60+1,FALSE)) * (IF($B60=500, (Assumptions!$B$7)*12, IF((HLOOKUP(G$2,Earnings!$G$2:$BC$81,('Yearly Pension'!$A60)+1, FALSE)) &gt; G$1, (Assumptions!$B$8)*(G$1) + (Assumptions!$B$9)*MAX(0,  (HLOOKUP(G$2,Earnings!$G$2:$BC$81,('Yearly Pension'!$A60)+1, FALSE)) - G$1), ((Assumptions!$B$8)*'Yearly Pension'!G$1))))</f>
        <v>0</v>
      </c>
      <c r="H60" s="6">
        <f>(HLOOKUP('Yearly Pension'!H$2,'Credited Service'!$G$1:$BC$80,$A60+1,FALSE)) * (IF($B60=500, (Assumptions!$B$7)*12, IF((HLOOKUP(H$2,Earnings!$G$2:$BC$81,('Yearly Pension'!$A60)+1, FALSE)) &gt; H$1, (Assumptions!$B$8)*(H$1) + (Assumptions!$B$9)*MAX(0,  (HLOOKUP(H$2,Earnings!$G$2:$BC$81,('Yearly Pension'!$A60)+1, FALSE)) - H$1), ((Assumptions!$B$8)*'Yearly Pension'!H$1))))</f>
        <v>0</v>
      </c>
      <c r="I60" s="6">
        <f>(HLOOKUP('Yearly Pension'!I$2,'Credited Service'!$G$1:$BC$80,$A60+1,FALSE)) * (IF($B60=500, (Assumptions!$B$7)*12, IF((HLOOKUP(I$2,Earnings!$G$2:$BC$81,('Yearly Pension'!$A60)+1, FALSE)) &gt; I$1, (Assumptions!$B$8)*(I$1) + (Assumptions!$B$9)*MAX(0,  (HLOOKUP(I$2,Earnings!$G$2:$BC$81,('Yearly Pension'!$A60)+1, FALSE)) - I$1), ((Assumptions!$B$8)*'Yearly Pension'!I$1))))</f>
        <v>0</v>
      </c>
      <c r="J60" s="6">
        <f>(HLOOKUP('Yearly Pension'!J$2,'Credited Service'!$G$1:$BC$80,$A60+1,FALSE)) * (IF($B60=500, (Assumptions!$B$7)*12, IF((HLOOKUP(J$2,Earnings!$G$2:$BC$81,('Yearly Pension'!$A60)+1, FALSE)) &gt; J$1, (Assumptions!$B$8)*(J$1) + (Assumptions!$B$9)*MAX(0,  (HLOOKUP(J$2,Earnings!$G$2:$BC$81,('Yearly Pension'!$A60)+1, FALSE)) - J$1), ((Assumptions!$B$8)*'Yearly Pension'!J$1))))</f>
        <v>0</v>
      </c>
      <c r="K60" s="6">
        <f>(HLOOKUP('Yearly Pension'!K$2,'Credited Service'!$G$1:$BC$80,$A60+1,FALSE)) * (IF($B60=500, (Assumptions!$B$7)*12, IF((HLOOKUP(K$2,Earnings!$G$2:$BC$81,('Yearly Pension'!$A60)+1, FALSE)) &gt; K$1, (Assumptions!$B$8)*(K$1) + (Assumptions!$B$9)*MAX(0,  (HLOOKUP(K$2,Earnings!$G$2:$BC$81,('Yearly Pension'!$A60)+1, FALSE)) - K$1), ((Assumptions!$B$8)*'Yearly Pension'!K$1))))</f>
        <v>0</v>
      </c>
      <c r="L60" s="6">
        <f>(HLOOKUP('Yearly Pension'!L$2,'Credited Service'!$G$1:$BC$80,$A60+1,FALSE)) * (IF($B60=500, (Assumptions!$B$7)*12, IF((HLOOKUP(L$2,Earnings!$G$2:$BC$81,('Yearly Pension'!$A60)+1, FALSE)) &gt; L$1, (Assumptions!$B$8)*(L$1) + (Assumptions!$B$9)*MAX(0,  (HLOOKUP(L$2,Earnings!$G$2:$BC$81,('Yearly Pension'!$A60)+1, FALSE)) - L$1), ((Assumptions!$B$8)*'Yearly Pension'!L$1))))</f>
        <v>0</v>
      </c>
      <c r="M60" s="6">
        <f>(HLOOKUP('Yearly Pension'!M$2,'Credited Service'!$G$1:$BC$80,$A60+1,FALSE)) * (IF($B60=500, (Assumptions!$B$7)*12, IF((HLOOKUP(M$2,Earnings!$G$2:$BC$81,('Yearly Pension'!$A60)+1, FALSE)) &gt; M$1, (Assumptions!$B$8)*(M$1) + (Assumptions!$B$9)*MAX(0,  (HLOOKUP(M$2,Earnings!$G$2:$BC$81,('Yearly Pension'!$A60)+1, FALSE)) - M$1), ((Assumptions!$B$8)*'Yearly Pension'!M$1))))</f>
        <v>0</v>
      </c>
      <c r="N60" s="6">
        <f>(HLOOKUP('Yearly Pension'!N$2,'Credited Service'!$G$1:$BC$80,$A60+1,FALSE)) * (IF($B60=500, (Assumptions!$B$7)*12, IF((HLOOKUP(N$2,Earnings!$G$2:$BC$81,('Yearly Pension'!$A60)+1, FALSE)) &gt; N$1, (Assumptions!$B$8)*(N$1) + (Assumptions!$B$9)*MAX(0,  (HLOOKUP(N$2,Earnings!$G$2:$BC$81,('Yearly Pension'!$A60)+1, FALSE)) - N$1), ((Assumptions!$B$8)*'Yearly Pension'!N$1))))</f>
        <v>0</v>
      </c>
      <c r="O60" s="6">
        <f>(HLOOKUP('Yearly Pension'!O$2,'Credited Service'!$G$1:$BC$80,$A60+1,FALSE)) * (IF($B60=500, (Assumptions!$B$7)*12, IF((HLOOKUP(O$2,Earnings!$G$2:$BC$81,('Yearly Pension'!$A60)+1, FALSE)) &gt; O$1, (Assumptions!$B$8)*(O$1) + (Assumptions!$B$9)*MAX(0,  (HLOOKUP(O$2,Earnings!$G$2:$BC$81,('Yearly Pension'!$A60)+1, FALSE)) - O$1), ((Assumptions!$B$8)*'Yearly Pension'!O$1))))</f>
        <v>0</v>
      </c>
      <c r="P60" s="6">
        <f>(HLOOKUP('Yearly Pension'!P$2,'Credited Service'!$G$1:$BC$80,$A60+1,FALSE)) * (IF($B60=500, (Assumptions!$B$7)*12, IF((HLOOKUP(P$2,Earnings!$G$2:$BC$81,('Yearly Pension'!$A60)+1, FALSE)) &gt; P$1, (Assumptions!$B$8)*(P$1) + (Assumptions!$B$9)*MAX(0,  (HLOOKUP(P$2,Earnings!$G$2:$BC$81,('Yearly Pension'!$A60)+1, FALSE)) - P$1), ((Assumptions!$B$8)*'Yearly Pension'!P$1))))</f>
        <v>0</v>
      </c>
      <c r="Q60" s="6">
        <f>(HLOOKUP('Yearly Pension'!Q$2,'Credited Service'!$G$1:$BC$80,$A60+1,FALSE)) * (IF($B60=500, (Assumptions!$B$7)*12, IF((HLOOKUP(Q$2,Earnings!$G$2:$BC$81,('Yearly Pension'!$A60)+1, FALSE)) &gt; Q$1, (Assumptions!$B$8)*(Q$1) + (Assumptions!$B$9)*MAX(0,  (HLOOKUP(Q$2,Earnings!$G$2:$BC$81,('Yearly Pension'!$A60)+1, FALSE)) - Q$1), ((Assumptions!$B$8)*'Yearly Pension'!Q$1))))</f>
        <v>0</v>
      </c>
      <c r="R60" s="6">
        <f>(HLOOKUP('Yearly Pension'!R$2,'Credited Service'!$G$1:$BC$80,$A60+1,FALSE)) * (IF($B60=500, (Assumptions!$B$7)*12, IF((HLOOKUP(R$2,Earnings!$G$2:$BC$81,('Yearly Pension'!$A60)+1, FALSE)) &gt; R$1, (Assumptions!$B$8)*(R$1) + (Assumptions!$B$9)*MAX(0,  (HLOOKUP(R$2,Earnings!$G$2:$BC$81,('Yearly Pension'!$A60)+1, FALSE)) - R$1), ((Assumptions!$B$8)*'Yearly Pension'!R$1))))</f>
        <v>0</v>
      </c>
      <c r="S60" s="6">
        <f>(HLOOKUP('Yearly Pension'!S$2,'Credited Service'!$G$1:$BC$80,$A60+1,FALSE)) * (IF($B60=500, (Assumptions!$B$7)*12, IF((HLOOKUP(S$2,Earnings!$G$2:$BC$81,('Yearly Pension'!$A60)+1, FALSE)) &gt; S$1, (Assumptions!$B$8)*(S$1) + (Assumptions!$B$9)*MAX(0,  (HLOOKUP(S$2,Earnings!$G$2:$BC$81,('Yearly Pension'!$A60)+1, FALSE)) - S$1), ((Assumptions!$B$8)*'Yearly Pension'!S$1))))</f>
        <v>0</v>
      </c>
      <c r="T60" s="6">
        <f>(HLOOKUP('Yearly Pension'!T$2,'Credited Service'!$G$1:$BC$80,$A60+1,FALSE)) * (IF($B60=500, (Assumptions!$B$7)*12, IF((HLOOKUP(T$2,Earnings!$G$2:$BC$81,('Yearly Pension'!$A60)+1, FALSE)) &gt; T$1, (Assumptions!$B$8)*(T$1) + (Assumptions!$B$9)*MAX(0,  (HLOOKUP(T$2,Earnings!$G$2:$BC$81,('Yearly Pension'!$A60)+1, FALSE)) - T$1), ((Assumptions!$B$8)*'Yearly Pension'!T$1))))</f>
        <v>536.82908907324168</v>
      </c>
      <c r="U60" s="6">
        <f>(HLOOKUP('Yearly Pension'!U$2,'Credited Service'!$G$1:$BC$80,$A60+1,FALSE)) * (IF($B60=500, (Assumptions!$B$7)*12, IF((HLOOKUP(U$2,Earnings!$G$2:$BC$81,('Yearly Pension'!$A60)+1, FALSE)) &gt; U$1, (Assumptions!$B$8)*(U$1) + (Assumptions!$B$9)*MAX(0,  (HLOOKUP(U$2,Earnings!$G$2:$BC$81,('Yearly Pension'!$A60)+1, FALSE)) - U$1), ((Assumptions!$B$8)*'Yearly Pension'!U$1))))</f>
        <v>606.21540287582332</v>
      </c>
      <c r="V60" s="6">
        <f>(HLOOKUP('Yearly Pension'!V$2,'Credited Service'!$G$1:$BC$80,$A60+1,FALSE)) * (IF($B60=500, (Assumptions!$B$7)*12, IF((HLOOKUP(V$2,Earnings!$G$2:$BC$81,('Yearly Pension'!$A60)+1, FALSE)) &gt; V$1, (Assumptions!$B$8)*(V$1) + (Assumptions!$B$9)*MAX(0,  (HLOOKUP(V$2,Earnings!$G$2:$BC$81,('Yearly Pension'!$A60)+1, FALSE)) - V$1), ((Assumptions!$B$8)*'Yearly Pension'!V$1))))</f>
        <v>627.39201899085629</v>
      </c>
      <c r="W60" s="6">
        <f>(HLOOKUP('Yearly Pension'!W$2,'Credited Service'!$G$1:$BC$80,$A60+1,FALSE)) * (IF($B60=500, (Assumptions!$B$7)*12, IF((HLOOKUP(W$2,Earnings!$G$2:$BC$81,('Yearly Pension'!$A60)+1, FALSE)) &gt; W$1, (Assumptions!$B$8)*(W$1) + (Assumptions!$B$9)*MAX(0,  (HLOOKUP(W$2,Earnings!$G$2:$BC$81,('Yearly Pension'!$A60)+1, FALSE)) - W$1), ((Assumptions!$B$8)*'Yearly Pension'!W$1))))</f>
        <v>653.05089975049054</v>
      </c>
      <c r="X60" s="6">
        <f>(HLOOKUP('Yearly Pension'!X$2,'Credited Service'!$G$1:$BC$80,$A60+1,FALSE)) * (IF($B60=500, (Assumptions!$B$7)*12, IF((HLOOKUP(X$2,Earnings!$G$2:$BC$81,('Yearly Pension'!$A60)+1, FALSE)) &gt; X$1, (Assumptions!$B$8)*(X$1) + (Assumptions!$B$9)*MAX(0,  (HLOOKUP(X$2,Earnings!$G$2:$BC$81,('Yearly Pension'!$A60)+1, FALSE)) - X$1), ((Assumptions!$B$8)*'Yearly Pension'!X$1))))</f>
        <v>681.3233357405104</v>
      </c>
      <c r="Y60" s="6">
        <f>(HLOOKUP('Yearly Pension'!Y$2,'Credited Service'!$G$1:$BC$80,$A60+1,FALSE)) * (IF($B60=500, (Assumptions!$B$7)*12, IF((HLOOKUP(Y$2,Earnings!$G$2:$BC$81,('Yearly Pension'!$A60)+1, FALSE)) &gt; Y$1, (Assumptions!$B$8)*(Y$1) + (Assumptions!$B$9)*MAX(0,  (HLOOKUP(Y$2,Earnings!$G$2:$BC$81,('Yearly Pension'!$A60)+1, FALSE)) - Y$1), ((Assumptions!$B$8)*'Yearly Pension'!Y$1))))</f>
        <v>714.18266917013079</v>
      </c>
      <c r="Z60" s="6">
        <f>(HLOOKUP('Yearly Pension'!Z$2,'Credited Service'!$G$1:$BC$80,$A60+1,FALSE)) * (IF($B60=500, (Assumptions!$B$7)*12, IF((HLOOKUP(Z$2,Earnings!$G$2:$BC$81,('Yearly Pension'!$A60)+1, FALSE)) &gt; Z$1, (Assumptions!$B$8)*(Z$1) + (Assumptions!$B$9)*MAX(0,  (HLOOKUP(Z$2,Earnings!$G$2:$BC$81,('Yearly Pension'!$A60)+1, FALSE)) - Z$1), ((Assumptions!$B$8)*'Yearly Pension'!Z$1))))</f>
        <v>748.4843759369362</v>
      </c>
      <c r="AA60" s="6">
        <f>(HLOOKUP('Yearly Pension'!AA$2,'Credited Service'!$G$1:$BC$80,$A60+1,FALSE)) * (IF($B60=500, (Assumptions!$B$7)*12, IF((HLOOKUP(AA$2,Earnings!$G$2:$BC$81,('Yearly Pension'!$A60)+1, FALSE)) &gt; AA$1, (Assumptions!$B$8)*(AA$1) + (Assumptions!$B$9)*MAX(0,  (HLOOKUP(AA$2,Earnings!$G$2:$BC$81,('Yearly Pension'!$A60)+1, FALSE)) - AA$1), ((Assumptions!$B$8)*'Yearly Pension'!AA$1))))</f>
        <v>784.92615097441353</v>
      </c>
      <c r="AB60" s="6">
        <f>(HLOOKUP('Yearly Pension'!AB$2,'Credited Service'!$G$1:$BC$80,$A60+1,FALSE)) * (IF($B60=500, (Assumptions!$B$7)*12, IF((HLOOKUP(AB$2,Earnings!$G$2:$BC$81,('Yearly Pension'!$A60)+1, FALSE)) &gt; AB$1, (Assumptions!$B$8)*(AB$1) + (Assumptions!$B$9)*MAX(0,  (HLOOKUP(AB$2,Earnings!$G$2:$BC$81,('Yearly Pension'!$A60)+1, FALSE)) - AB$1), ((Assumptions!$B$8)*'Yearly Pension'!AB$1))))</f>
        <v>818.44799701339025</v>
      </c>
      <c r="AC60" s="6">
        <f>(HLOOKUP('Yearly Pension'!AC$2,'Credited Service'!$G$1:$BC$80,$A60+1,FALSE)) * (IF($B60=500, (Assumptions!$B$7)*12, IF((HLOOKUP(AC$2,Earnings!$G$2:$BC$81,('Yearly Pension'!$A60)+1, FALSE)) &gt; AC$1, (Assumptions!$B$8)*(AC$1) + (Assumptions!$B$9)*MAX(0,  (HLOOKUP(AC$2,Earnings!$G$2:$BC$81,('Yearly Pension'!$A60)+1, FALSE)) - AC$1), ((Assumptions!$B$8)*'Yearly Pension'!AC$1))))</f>
        <v>857.43231689392587</v>
      </c>
      <c r="AD60" s="6">
        <f>(HLOOKUP('Yearly Pension'!AD$2,'Credited Service'!$G$1:$BC$80,$A60+1,FALSE)) * (IF($B60=500, (Assumptions!$B$7)*12, IF((HLOOKUP(AD$2,Earnings!$G$2:$BC$81,('Yearly Pension'!$A60)+1, FALSE)) &gt; AD$1, (Assumptions!$B$8)*(AD$1) + (Assumptions!$B$9)*MAX(0,  (HLOOKUP(AD$2,Earnings!$G$2:$BC$81,('Yearly Pension'!$A60)+1, FALSE)) - AD$1), ((Assumptions!$B$8)*'Yearly Pension'!AD$1))))</f>
        <v>900.0240095696829</v>
      </c>
      <c r="AE60" s="6">
        <f>(HLOOKUP('Yearly Pension'!AE$2,'Credited Service'!$G$1:$BC$80,$A60+1,FALSE)) * (IF($B60=500, (Assumptions!$B$7)*12, IF((HLOOKUP(AE$2,Earnings!$G$2:$BC$81,('Yearly Pension'!$A60)+1, FALSE)) &gt; AE$1, (Assumptions!$B$8)*(AE$1) + (Assumptions!$B$9)*MAX(0,  (HLOOKUP(AE$2,Earnings!$G$2:$BC$81,('Yearly Pension'!$A60)+1, FALSE)) - AE$1), ((Assumptions!$B$8)*'Yearly Pension'!AE$1))))</f>
        <v>941.17056995247037</v>
      </c>
      <c r="AF60" s="6">
        <f>(HLOOKUP('Yearly Pension'!AF$2,'Credited Service'!$G$1:$BC$80,$A60+1,FALSE)) * (IF($B60=500, (Assumptions!$B$7)*12, IF((HLOOKUP(AF$2,Earnings!$G$2:$BC$81,('Yearly Pension'!$A60)+1, FALSE)) &gt; AF$1, (Assumptions!$B$8)*(AF$1) + (Assumptions!$B$9)*MAX(0,  (HLOOKUP(AF$2,Earnings!$G$2:$BC$81,('Yearly Pension'!$A60)+1, FALSE)) - AF$1), ((Assumptions!$B$8)*'Yearly Pension'!AF$1))))</f>
        <v>983.50219275056929</v>
      </c>
      <c r="AG60" s="6">
        <f>(HLOOKUP('Yearly Pension'!AG$2,'Credited Service'!$G$1:$BC$80,$A60+1,FALSE)) * (IF($B60=500, (Assumptions!$B$7)*12, IF((HLOOKUP(AG$2,Earnings!$G$2:$BC$81,('Yearly Pension'!$A60)+1, FALSE)) &gt; AG$1, (Assumptions!$B$8)*(AG$1) + (Assumptions!$B$9)*MAX(0,  (HLOOKUP(AG$2,Earnings!$G$2:$BC$81,('Yearly Pension'!$A60)+1, FALSE)) - AG$1), ((Assumptions!$B$8)*'Yearly Pension'!AG$1))))</f>
        <v>1027.731880460592</v>
      </c>
      <c r="AH60" s="6">
        <f>(HLOOKUP('Yearly Pension'!AH$2,'Credited Service'!$G$1:$BC$80,$A60+1,FALSE)) * (IF($B60=500, (Assumptions!$B$7)*12, IF((HLOOKUP(AH$2,Earnings!$G$2:$BC$81,('Yearly Pension'!$A60)+1, FALSE)) &gt; AH$1, (Assumptions!$B$8)*(AH$1) + (Assumptions!$B$9)*MAX(0,  (HLOOKUP(AH$2,Earnings!$G$2:$BC$81,('Yearly Pension'!$A60)+1, FALSE)) - AH$1), ((Assumptions!$B$8)*'Yearly Pension'!AH$1))))</f>
        <v>1075.2155556790158</v>
      </c>
      <c r="AI60" s="6">
        <f>(HLOOKUP('Yearly Pension'!AI$2,'Credited Service'!$G$1:$BC$80,$A60+1,FALSE)) * (IF($B60=500, (Assumptions!$B$7)*12, IF((HLOOKUP(AI$2,Earnings!$G$2:$BC$81,('Yearly Pension'!$A60)+1, FALSE)) &gt; AI$1, (Assumptions!$B$8)*(AI$1) + (Assumptions!$B$9)*MAX(0,  (HLOOKUP(AI$2,Earnings!$G$2:$BC$81,('Yearly Pension'!$A60)+1, FALSE)) - AI$1), ((Assumptions!$B$8)*'Yearly Pension'!AI$1))))</f>
        <v>1124.7521779061763</v>
      </c>
      <c r="AJ60" s="6">
        <f>(HLOOKUP('Yearly Pension'!AJ$2,'Credited Service'!$G$1:$BC$80,$A60+1,FALSE)) * (IF($B60=500, (Assumptions!$B$7)*12, IF((HLOOKUP(AJ$2,Earnings!$G$2:$BC$81,('Yearly Pension'!$A60)+1, FALSE)) &gt; AJ$1, (Assumptions!$B$8)*(AJ$1) + (Assumptions!$B$9)*MAX(0,  (HLOOKUP(AJ$2,Earnings!$G$2:$BC$81,('Yearly Pension'!$A60)+1, FALSE)) - AJ$1), ((Assumptions!$B$8)*'Yearly Pension'!AJ$1))))</f>
        <v>1173.8638650224234</v>
      </c>
      <c r="AK60" s="6">
        <f>(HLOOKUP('Yearly Pension'!AK$2,'Credited Service'!$G$1:$BC$80,$A60+1,FALSE)) * (IF($B60=500, (Assumptions!$B$7)*12, IF((HLOOKUP(AK$2,Earnings!$G$2:$BC$81,('Yearly Pension'!$A60)+1, FALSE)) &gt; AK$1, (Assumptions!$B$8)*(AK$1) + (Assumptions!$B$9)*MAX(0,  (HLOOKUP(AK$2,Earnings!$G$2:$BC$81,('Yearly Pension'!$A60)+1, FALSE)) - AK$1), ((Assumptions!$B$8)*'Yearly Pension'!AK$1))))</f>
        <v>1221.3560196233207</v>
      </c>
      <c r="AL60" s="6">
        <f>(HLOOKUP('Yearly Pension'!AL$2,'Credited Service'!$G$1:$BC$80,$A60+1,FALSE)) * (IF($B60=500, (Assumptions!$B$7)*12, IF((HLOOKUP(AL$2,Earnings!$G$2:$BC$81,('Yearly Pension'!$A60)+1, FALSE)) &gt; AL$1, (Assumptions!$B$8)*(AL$1) + (Assumptions!$B$9)*MAX(0,  (HLOOKUP(AL$2,Earnings!$G$2:$BC$81,('Yearly Pension'!$A60)+1, FALSE)) - AL$1), ((Assumptions!$B$8)*'Yearly Pension'!AL$1))))</f>
        <v>1273.7174604082534</v>
      </c>
      <c r="AM60" s="6">
        <f>(HLOOKUP('Yearly Pension'!AM$2,'Credited Service'!$G$1:$BC$80,$A60+1,FALSE)) * (IF($B60=500, (Assumptions!$B$7)*12, IF((HLOOKUP(AM$2,Earnings!$G$2:$BC$81,('Yearly Pension'!$A60)+1, FALSE)) &gt; AM$1, (Assumptions!$B$8)*(AM$1) + (Assumptions!$B$9)*MAX(0,  (HLOOKUP(AM$2,Earnings!$G$2:$BC$81,('Yearly Pension'!$A60)+1, FALSE)) - AM$1), ((Assumptions!$B$8)*'Yearly Pension'!AM$1))))</f>
        <v>1327.2005588245838</v>
      </c>
      <c r="AN60" s="6">
        <f>(HLOOKUP('Yearly Pension'!AN$2,'Credited Service'!$G$1:$BC$80,$A60+1,FALSE)) * (IF($B60=500, (Assumptions!$B$7)*12, IF((HLOOKUP(AN$2,Earnings!$G$2:$BC$81,('Yearly Pension'!$A60)+1, FALSE)) &gt; AN$1, (Assumptions!$B$8)*(AN$1) + (Assumptions!$B$9)*MAX(0,  (HLOOKUP(AN$2,Earnings!$G$2:$BC$81,('Yearly Pension'!$A60)+1, FALSE)) - AN$1), ((Assumptions!$B$8)*'Yearly Pension'!AN$1))))</f>
        <v>1386.3813811775672</v>
      </c>
      <c r="AO60" s="6">
        <f>(HLOOKUP('Yearly Pension'!AO$2,'Credited Service'!$G$1:$BC$80,$A60+1,FALSE)) * (IF($B60=500, (Assumptions!$B$7)*12, IF((HLOOKUP(AO$2,Earnings!$G$2:$BC$81,('Yearly Pension'!$A60)+1, FALSE)) &gt; AO$1, (Assumptions!$B$8)*(AO$1) + (Assumptions!$B$9)*MAX(0,  (HLOOKUP(AO$2,Earnings!$G$2:$BC$81,('Yearly Pension'!$A60)+1, FALSE)) - AO$1), ((Assumptions!$B$8)*'Yearly Pension'!AO$1))))</f>
        <v>1446.87983642467</v>
      </c>
      <c r="AP60" s="6">
        <f>(HLOOKUP('Yearly Pension'!AP$2,'Credited Service'!$G$1:$BC$80,$A60+1,FALSE)) * (IF($B60=500, (Assumptions!$B$7)*12, IF((HLOOKUP(AP$2,Earnings!$G$2:$BC$81,('Yearly Pension'!$A60)+1, FALSE)) &gt; AP$1, (Assumptions!$B$8)*(AP$1) + (Assumptions!$B$9)*MAX(0,  (HLOOKUP(AP$2,Earnings!$G$2:$BC$81,('Yearly Pension'!$A60)+1, FALSE)) - AP$1), ((Assumptions!$B$8)*'Yearly Pension'!AP$1))))</f>
        <v>1505.5998298816571</v>
      </c>
      <c r="AQ60" s="6">
        <f>(HLOOKUP('Yearly Pension'!AQ$2,'Credited Service'!$G$1:$BC$80,$A60+1,FALSE)) * (IF($B60=500, (Assumptions!$B$7)*12, IF((HLOOKUP(AQ$2,Earnings!$G$2:$BC$81,('Yearly Pension'!$A60)+1, FALSE)) &gt; AQ$1, (Assumptions!$B$8)*(AQ$1) + (Assumptions!$B$9)*MAX(0,  (HLOOKUP(AQ$2,Earnings!$G$2:$BC$81,('Yearly Pension'!$A60)+1, FALSE)) - AQ$1), ((Assumptions!$B$8)*'Yearly Pension'!AQ$1))))</f>
        <v>1572.249423076923</v>
      </c>
      <c r="AR60" s="6">
        <f>(HLOOKUP('Yearly Pension'!AR$2,'Credited Service'!$G$1:$BC$80,$A60+1,FALSE)) * (IF($B60=500, (Assumptions!$B$7)*12, IF((HLOOKUP(AR$2,Earnings!$G$2:$BC$81,('Yearly Pension'!$A60)+1, FALSE)) &gt; AR$1, (Assumptions!$B$8)*(AR$1) + (Assumptions!$B$9)*MAX(0,  (HLOOKUP(AR$2,Earnings!$G$2:$BC$81,('Yearly Pension'!$A60)+1, FALSE)) - AR$1), ((Assumptions!$B$8)*'Yearly Pension'!AR$1))))</f>
        <v>1639.261</v>
      </c>
      <c r="AS60" s="6">
        <f>(HLOOKUP('Yearly Pension'!AS$2,'Credited Service'!$G$1:$BC$80,$A60+1,FALSE)) * (IF($B60=500, (Assumptions!$B$7)*12, IF((HLOOKUP(AS$2,Earnings!$G$2:$BC$81,('Yearly Pension'!$A60)+1, FALSE)) &gt; AS$1, (Assumptions!$B$8)*(AS$1) + (Assumptions!$B$9)*MAX(0,  (HLOOKUP(AS$2,Earnings!$G$2:$BC$81,('Yearly Pension'!$A60)+1, FALSE)) - AS$1), ((Assumptions!$B$8)*'Yearly Pension'!AS$1))))</f>
        <v>1691.47883</v>
      </c>
      <c r="AT60" s="6">
        <f>(HLOOKUP('Yearly Pension'!AT$2,'Credited Service'!$G$1:$BC$80,$A60+1,FALSE)) * (IF($B60=500, (Assumptions!$B$7)*12, IF((HLOOKUP(AT$2,Earnings!$G$2:$BC$81,('Yearly Pension'!$A60)+1, FALSE)) &gt; AT$1, (Assumptions!$B$8)*(AT$1) + (Assumptions!$B$9)*MAX(0,  (HLOOKUP(AT$2,Earnings!$G$2:$BC$81,('Yearly Pension'!$A60)+1, FALSE)) - AT$1), ((Assumptions!$B$8)*'Yearly Pension'!AT$1))))</f>
        <v>1744.1943949000001</v>
      </c>
      <c r="AU60" s="6">
        <f>(HLOOKUP('Yearly Pension'!AU$2,'Credited Service'!$G$1:$BC$80,$A60+1,FALSE)) * (IF($B60=500, (Assumptions!$B$7)*12, IF((HLOOKUP(AU$2,Earnings!$G$2:$BC$81,('Yearly Pension'!$A60)+1, FALSE)) &gt; AU$1, (Assumptions!$B$8)*(AU$1) + (Assumptions!$B$9)*MAX(0,  (HLOOKUP(AU$2,Earnings!$G$2:$BC$81,('Yearly Pension'!$A60)+1, FALSE)) - AU$1), ((Assumptions!$B$8)*'Yearly Pension'!AU$1))))</f>
        <v>1804.5010267470002</v>
      </c>
      <c r="AV60" s="6">
        <f>(HLOOKUP('Yearly Pension'!AV$2,'Credited Service'!$G$1:$BC$80,$A60+1,FALSE)) * (IF($B60=500, (Assumptions!$B$7)*12, IF((HLOOKUP(AV$2,Earnings!$G$2:$BC$81,('Yearly Pension'!$A60)+1, FALSE)) &gt; AV$1, (Assumptions!$B$8)*(AV$1) + (Assumptions!$B$9)*MAX(0,  (HLOOKUP(AV$2,Earnings!$G$2:$BC$81,('Yearly Pension'!$A60)+1, FALSE)) - AV$1), ((Assumptions!$B$8)*'Yearly Pension'!AV$1))))</f>
        <v>1865.4136575494103</v>
      </c>
      <c r="AW60" s="6">
        <f>(HLOOKUP('Yearly Pension'!AW$2,'Credited Service'!$G$1:$BC$80,$A60+1,FALSE)) * (IF($B60=500, (Assumptions!$B$7)*12, IF((HLOOKUP(AW$2,Earnings!$G$2:$BC$81,('Yearly Pension'!$A60)+1, FALSE)) &gt; AW$1, (Assumptions!$B$8)*(AW$1) + (Assumptions!$B$9)*MAX(0,  (HLOOKUP(AW$2,Earnings!$G$2:$BC$81,('Yearly Pension'!$A60)+1, FALSE)) - AW$1), ((Assumptions!$B$8)*'Yearly Pension'!AW$1))))</f>
        <v>1922.5088672758925</v>
      </c>
      <c r="AX60" s="6">
        <f>(HLOOKUP('Yearly Pension'!AX$2,'Credited Service'!$G$1:$BC$80,$A60+1,FALSE)) * (IF($B60=500, (Assumptions!$B$7)*12, IF((HLOOKUP(AX$2,Earnings!$G$2:$BC$81,('Yearly Pension'!$A60)+1, FALSE)) &gt; AX$1, (Assumptions!$B$8)*(AX$1) + (Assumptions!$B$9)*MAX(0,  (HLOOKUP(AX$2,Earnings!$G$2:$BC$81,('Yearly Pension'!$A60)+1, FALSE)) - AX$1), ((Assumptions!$B$8)*'Yearly Pension'!AX$1))))</f>
        <v>1976.5105332941698</v>
      </c>
      <c r="AY60" s="6">
        <f>(HLOOKUP('Yearly Pension'!AY$2,'Credited Service'!$G$1:$BC$80,$A60+1,FALSE)) * (IF($B60=500, (Assumptions!$B$7)*12, IF((HLOOKUP(AY$2,Earnings!$G$2:$BC$81,('Yearly Pension'!$A60)+1, FALSE)) &gt; AY$1, (Assumptions!$B$8)*(AY$1) + (Assumptions!$B$9)*MAX(0,  (HLOOKUP(AY$2,Earnings!$G$2:$BC$81,('Yearly Pension'!$A60)+1, FALSE)) - AY$1), ((Assumptions!$B$8)*'Yearly Pension'!AY$1))))</f>
        <v>2031.9853052929946</v>
      </c>
      <c r="AZ60" s="6">
        <f>(HLOOKUP('Yearly Pension'!AZ$2,'Credited Service'!$G$1:$BC$80,$A60+1,FALSE)) * (IF($B60=500, (Assumptions!$B$7)*12, IF((HLOOKUP(AZ$2,Earnings!$G$2:$BC$81,('Yearly Pension'!$A60)+1, FALSE)) &gt; AZ$1, (Assumptions!$B$8)*(AZ$1) + (Assumptions!$B$9)*MAX(0,  (HLOOKUP(AZ$2,Earnings!$G$2:$BC$81,('Yearly Pension'!$A60)+1, FALSE)) - AZ$1), ((Assumptions!$B$8)*'Yearly Pension'!AZ$1))))</f>
        <v>696.32383289726135</v>
      </c>
      <c r="BA60" s="6">
        <f>(HLOOKUP('Yearly Pension'!BA$2,'Credited Service'!$G$1:$BC$80,$A60+1,FALSE)) * (IF($B60=500, (Assumptions!$B$7)*12, IF((HLOOKUP(BA$2,Earnings!$G$2:$BC$81,('Yearly Pension'!$A60)+1, FALSE)) &gt; BA$1, (Assumptions!$B$8)*(BA$1) + (Assumptions!$B$9)*MAX(0,  (HLOOKUP(BA$2,Earnings!$G$2:$BC$81,('Yearly Pension'!$A60)+1, FALSE)) - BA$1), ((Assumptions!$B$8)*'Yearly Pension'!BA$1))))</f>
        <v>0</v>
      </c>
      <c r="BB60" s="6">
        <f>(HLOOKUP('Yearly Pension'!BB$2,'Credited Service'!$G$1:$BC$80,$A60+1,FALSE)) * (IF($B60=500, (Assumptions!$B$7)*12, IF((HLOOKUP(BB$2,Earnings!$G$2:$BC$81,('Yearly Pension'!$A60)+1, FALSE)) &gt; BB$1, (Assumptions!$B$8)*(BB$1) + (Assumptions!$B$9)*MAX(0,  (HLOOKUP(BB$2,Earnings!$G$2:$BC$81,('Yearly Pension'!$A60)+1, FALSE)) - BB$1), ((Assumptions!$B$8)*'Yearly Pension'!BB$1))))</f>
        <v>0</v>
      </c>
      <c r="BC60" s="6">
        <f>(HLOOKUP('Yearly Pension'!BC$2,'Credited Service'!$G$1:$BC$80,$A60+1,FALSE)) * (IF($B60=500, (Assumptions!$B$7)*12, IF((HLOOKUP(BC$2,Earnings!$G$2:$BC$81,('Yearly Pension'!$A60)+1, FALSE)) &gt; BC$1, (Assumptions!$B$8)*(BC$1) + (Assumptions!$B$9)*MAX(0,  (HLOOKUP(BC$2,Earnings!$G$2:$BC$81,('Yearly Pension'!$A60)+1, FALSE)) - BC$1), ((Assumptions!$B$8)*'Yearly Pension'!BC$1))))</f>
        <v>0</v>
      </c>
    </row>
    <row r="61" spans="1:55" x14ac:dyDescent="0.25">
      <c r="A61" s="204">
        <v>59</v>
      </c>
      <c r="B61" s="1">
        <v>600</v>
      </c>
      <c r="C61" s="1">
        <v>620</v>
      </c>
      <c r="D61" s="3">
        <v>32818</v>
      </c>
      <c r="E61" s="3">
        <v>49766</v>
      </c>
      <c r="G61" s="6">
        <f>(HLOOKUP('Yearly Pension'!G$2,'Credited Service'!$G$1:$BC$80,$A61+1,FALSE)) * (IF($B61=500, (Assumptions!$B$7)*12, IF((HLOOKUP(G$2,Earnings!$G$2:$BC$81,('Yearly Pension'!$A61)+1, FALSE)) &gt; G$1, (Assumptions!$B$8)*(G$1) + (Assumptions!$B$9)*MAX(0,  (HLOOKUP(G$2,Earnings!$G$2:$BC$81,('Yearly Pension'!$A61)+1, FALSE)) - G$1), ((Assumptions!$B$8)*'Yearly Pension'!G$1))))</f>
        <v>0</v>
      </c>
      <c r="H61" s="6">
        <f>(HLOOKUP('Yearly Pension'!H$2,'Credited Service'!$G$1:$BC$80,$A61+1,FALSE)) * (IF($B61=500, (Assumptions!$B$7)*12, IF((HLOOKUP(H$2,Earnings!$G$2:$BC$81,('Yearly Pension'!$A61)+1, FALSE)) &gt; H$1, (Assumptions!$B$8)*(H$1) + (Assumptions!$B$9)*MAX(0,  (HLOOKUP(H$2,Earnings!$G$2:$BC$81,('Yearly Pension'!$A61)+1, FALSE)) - H$1), ((Assumptions!$B$8)*'Yearly Pension'!H$1))))</f>
        <v>0</v>
      </c>
      <c r="I61" s="6">
        <f>(HLOOKUP('Yearly Pension'!I$2,'Credited Service'!$G$1:$BC$80,$A61+1,FALSE)) * (IF($B61=500, (Assumptions!$B$7)*12, IF((HLOOKUP(I$2,Earnings!$G$2:$BC$81,('Yearly Pension'!$A61)+1, FALSE)) &gt; I$1, (Assumptions!$B$8)*(I$1) + (Assumptions!$B$9)*MAX(0,  (HLOOKUP(I$2,Earnings!$G$2:$BC$81,('Yearly Pension'!$A61)+1, FALSE)) - I$1), ((Assumptions!$B$8)*'Yearly Pension'!I$1))))</f>
        <v>0</v>
      </c>
      <c r="J61" s="6">
        <f>(HLOOKUP('Yearly Pension'!J$2,'Credited Service'!$G$1:$BC$80,$A61+1,FALSE)) * (IF($B61=500, (Assumptions!$B$7)*12, IF((HLOOKUP(J$2,Earnings!$G$2:$BC$81,('Yearly Pension'!$A61)+1, FALSE)) &gt; J$1, (Assumptions!$B$8)*(J$1) + (Assumptions!$B$9)*MAX(0,  (HLOOKUP(J$2,Earnings!$G$2:$BC$81,('Yearly Pension'!$A61)+1, FALSE)) - J$1), ((Assumptions!$B$8)*'Yearly Pension'!J$1))))</f>
        <v>0</v>
      </c>
      <c r="K61" s="6">
        <f>(HLOOKUP('Yearly Pension'!K$2,'Credited Service'!$G$1:$BC$80,$A61+1,FALSE)) * (IF($B61=500, (Assumptions!$B$7)*12, IF((HLOOKUP(K$2,Earnings!$G$2:$BC$81,('Yearly Pension'!$A61)+1, FALSE)) &gt; K$1, (Assumptions!$B$8)*(K$1) + (Assumptions!$B$9)*MAX(0,  (HLOOKUP(K$2,Earnings!$G$2:$BC$81,('Yearly Pension'!$A61)+1, FALSE)) - K$1), ((Assumptions!$B$8)*'Yearly Pension'!K$1))))</f>
        <v>0</v>
      </c>
      <c r="L61" s="6">
        <f>(HLOOKUP('Yearly Pension'!L$2,'Credited Service'!$G$1:$BC$80,$A61+1,FALSE)) * (IF($B61=500, (Assumptions!$B$7)*12, IF((HLOOKUP(L$2,Earnings!$G$2:$BC$81,('Yearly Pension'!$A61)+1, FALSE)) &gt; L$1, (Assumptions!$B$8)*(L$1) + (Assumptions!$B$9)*MAX(0,  (HLOOKUP(L$2,Earnings!$G$2:$BC$81,('Yearly Pension'!$A61)+1, FALSE)) - L$1), ((Assumptions!$B$8)*'Yearly Pension'!L$1))))</f>
        <v>0</v>
      </c>
      <c r="M61" s="6">
        <f>(HLOOKUP('Yearly Pension'!M$2,'Credited Service'!$G$1:$BC$80,$A61+1,FALSE)) * (IF($B61=500, (Assumptions!$B$7)*12, IF((HLOOKUP(M$2,Earnings!$G$2:$BC$81,('Yearly Pension'!$A61)+1, FALSE)) &gt; M$1, (Assumptions!$B$8)*(M$1) + (Assumptions!$B$9)*MAX(0,  (HLOOKUP(M$2,Earnings!$G$2:$BC$81,('Yearly Pension'!$A61)+1, FALSE)) - M$1), ((Assumptions!$B$8)*'Yearly Pension'!M$1))))</f>
        <v>0</v>
      </c>
      <c r="N61" s="6">
        <f>(HLOOKUP('Yearly Pension'!N$2,'Credited Service'!$G$1:$BC$80,$A61+1,FALSE)) * (IF($B61=500, (Assumptions!$B$7)*12, IF((HLOOKUP(N$2,Earnings!$G$2:$BC$81,('Yearly Pension'!$A61)+1, FALSE)) &gt; N$1, (Assumptions!$B$8)*(N$1) + (Assumptions!$B$9)*MAX(0,  (HLOOKUP(N$2,Earnings!$G$2:$BC$81,('Yearly Pension'!$A61)+1, FALSE)) - N$1), ((Assumptions!$B$8)*'Yearly Pension'!N$1))))</f>
        <v>0</v>
      </c>
      <c r="O61" s="6">
        <f>(HLOOKUP('Yearly Pension'!O$2,'Credited Service'!$G$1:$BC$80,$A61+1,FALSE)) * (IF($B61=500, (Assumptions!$B$7)*12, IF((HLOOKUP(O$2,Earnings!$G$2:$BC$81,('Yearly Pension'!$A61)+1, FALSE)) &gt; O$1, (Assumptions!$B$8)*(O$1) + (Assumptions!$B$9)*MAX(0,  (HLOOKUP(O$2,Earnings!$G$2:$BC$81,('Yearly Pension'!$A61)+1, FALSE)) - O$1), ((Assumptions!$B$8)*'Yearly Pension'!O$1))))</f>
        <v>0</v>
      </c>
      <c r="P61" s="6">
        <f>(HLOOKUP('Yearly Pension'!P$2,'Credited Service'!$G$1:$BC$80,$A61+1,FALSE)) * (IF($B61=500, (Assumptions!$B$7)*12, IF((HLOOKUP(P$2,Earnings!$G$2:$BC$81,('Yearly Pension'!$A61)+1, FALSE)) &gt; P$1, (Assumptions!$B$8)*(P$1) + (Assumptions!$B$9)*MAX(0,  (HLOOKUP(P$2,Earnings!$G$2:$BC$81,('Yearly Pension'!$A61)+1, FALSE)) - P$1), ((Assumptions!$B$8)*'Yearly Pension'!P$1))))</f>
        <v>0</v>
      </c>
      <c r="Q61" s="6">
        <f>(HLOOKUP('Yearly Pension'!Q$2,'Credited Service'!$G$1:$BC$80,$A61+1,FALSE)) * (IF($B61=500, (Assumptions!$B$7)*12, IF((HLOOKUP(Q$2,Earnings!$G$2:$BC$81,('Yearly Pension'!$A61)+1, FALSE)) &gt; Q$1, (Assumptions!$B$8)*(Q$1) + (Assumptions!$B$9)*MAX(0,  (HLOOKUP(Q$2,Earnings!$G$2:$BC$81,('Yearly Pension'!$A61)+1, FALSE)) - Q$1), ((Assumptions!$B$8)*'Yearly Pension'!Q$1))))</f>
        <v>0</v>
      </c>
      <c r="R61" s="6">
        <f>(HLOOKUP('Yearly Pension'!R$2,'Credited Service'!$G$1:$BC$80,$A61+1,FALSE)) * (IF($B61=500, (Assumptions!$B$7)*12, IF((HLOOKUP(R$2,Earnings!$G$2:$BC$81,('Yearly Pension'!$A61)+1, FALSE)) &gt; R$1, (Assumptions!$B$8)*(R$1) + (Assumptions!$B$9)*MAX(0,  (HLOOKUP(R$2,Earnings!$G$2:$BC$81,('Yearly Pension'!$A61)+1, FALSE)) - R$1), ((Assumptions!$B$8)*'Yearly Pension'!R$1))))</f>
        <v>0</v>
      </c>
      <c r="S61" s="6">
        <f>(HLOOKUP('Yearly Pension'!S$2,'Credited Service'!$G$1:$BC$80,$A61+1,FALSE)) * (IF($B61=500, (Assumptions!$B$7)*12, IF((HLOOKUP(S$2,Earnings!$G$2:$BC$81,('Yearly Pension'!$A61)+1, FALSE)) &gt; S$1, (Assumptions!$B$8)*(S$1) + (Assumptions!$B$9)*MAX(0,  (HLOOKUP(S$2,Earnings!$G$2:$BC$81,('Yearly Pension'!$A61)+1, FALSE)) - S$1), ((Assumptions!$B$8)*'Yearly Pension'!S$1))))</f>
        <v>47.488465977525721</v>
      </c>
      <c r="T61" s="6">
        <f>(HLOOKUP('Yearly Pension'!T$2,'Credited Service'!$G$1:$BC$80,$A61+1,FALSE)) * (IF($B61=500, (Assumptions!$B$7)*12, IF((HLOOKUP(T$2,Earnings!$G$2:$BC$81,('Yearly Pension'!$A61)+1, FALSE)) &gt; T$1, (Assumptions!$B$8)*(T$1) + (Assumptions!$B$9)*MAX(0,  (HLOOKUP(T$2,Earnings!$G$2:$BC$81,('Yearly Pension'!$A61)+1, FALSE)) - T$1), ((Assumptions!$B$8)*'Yearly Pension'!T$1))))</f>
        <v>592.06725539952106</v>
      </c>
      <c r="U61" s="6">
        <f>(HLOOKUP('Yearly Pension'!U$2,'Credited Service'!$G$1:$BC$80,$A61+1,FALSE)) * (IF($B61=500, (Assumptions!$B$7)*12, IF((HLOOKUP(U$2,Earnings!$G$2:$BC$81,('Yearly Pension'!$A61)+1, FALSE)) &gt; U$1, (Assumptions!$B$8)*(U$1) + (Assumptions!$B$9)*MAX(0,  (HLOOKUP(U$2,Earnings!$G$2:$BC$81,('Yearly Pension'!$A61)+1, FALSE)) - U$1), ((Assumptions!$B$8)*'Yearly Pension'!U$1))))</f>
        <v>612.90834561550184</v>
      </c>
      <c r="V61" s="6">
        <f>(HLOOKUP('Yearly Pension'!V$2,'Credited Service'!$G$1:$BC$80,$A61+1,FALSE)) * (IF($B61=500, (Assumptions!$B$7)*12, IF((HLOOKUP(V$2,Earnings!$G$2:$BC$81,('Yearly Pension'!$A61)+1, FALSE)) &gt; V$1, (Assumptions!$B$8)*(V$1) + (Assumptions!$B$9)*MAX(0,  (HLOOKUP(V$2,Earnings!$G$2:$BC$81,('Yearly Pension'!$A61)+1, FALSE)) - V$1), ((Assumptions!$B$8)*'Yearly Pension'!V$1))))</f>
        <v>634.35267944012196</v>
      </c>
      <c r="W61" s="6">
        <f>(HLOOKUP('Yearly Pension'!W$2,'Credited Service'!$G$1:$BC$80,$A61+1,FALSE)) * (IF($B61=500, (Assumptions!$B$7)*12, IF((HLOOKUP(W$2,Earnings!$G$2:$BC$81,('Yearly Pension'!$A61)+1, FALSE)) &gt; W$1, (Assumptions!$B$8)*(W$1) + (Assumptions!$B$9)*MAX(0,  (HLOOKUP(W$2,Earnings!$G$2:$BC$81,('Yearly Pension'!$A61)+1, FALSE)) - W$1), ((Assumptions!$B$8)*'Yearly Pension'!W$1))))</f>
        <v>660.28998661772698</v>
      </c>
      <c r="X61" s="6">
        <f>(HLOOKUP('Yearly Pension'!X$2,'Credited Service'!$G$1:$BC$80,$A61+1,FALSE)) * (IF($B61=500, (Assumptions!$B$7)*12, IF((HLOOKUP(X$2,Earnings!$G$2:$BC$81,('Yearly Pension'!$A61)+1, FALSE)) &gt; X$1, (Assumptions!$B$8)*(X$1) + (Assumptions!$B$9)*MAX(0,  (HLOOKUP(X$2,Earnings!$G$2:$BC$81,('Yearly Pension'!$A61)+1, FALSE)) - X$1), ((Assumptions!$B$8)*'Yearly Pension'!X$1))))</f>
        <v>688.85198608243604</v>
      </c>
      <c r="Y61" s="6">
        <f>(HLOOKUP('Yearly Pension'!Y$2,'Credited Service'!$G$1:$BC$80,$A61+1,FALSE)) * (IF($B61=500, (Assumptions!$B$7)*12, IF((HLOOKUP(Y$2,Earnings!$G$2:$BC$81,('Yearly Pension'!$A61)+1, FALSE)) &gt; Y$1, (Assumptions!$B$8)*(Y$1) + (Assumptions!$B$9)*MAX(0,  (HLOOKUP(Y$2,Earnings!$G$2:$BC$81,('Yearly Pension'!$A61)+1, FALSE)) - Y$1), ((Assumptions!$B$8)*'Yearly Pension'!Y$1))))</f>
        <v>722.01246552573355</v>
      </c>
      <c r="Z61" s="6">
        <f>(HLOOKUP('Yearly Pension'!Z$2,'Credited Service'!$G$1:$BC$80,$A61+1,FALSE)) * (IF($B61=500, (Assumptions!$B$7)*12, IF((HLOOKUP(Z$2,Earnings!$G$2:$BC$81,('Yearly Pension'!$A61)+1, FALSE)) &gt; Z$1, (Assumptions!$B$8)*(Z$1) + (Assumptions!$B$9)*MAX(0,  (HLOOKUP(Z$2,Earnings!$G$2:$BC$81,('Yearly Pension'!$A61)+1, FALSE)) - Z$1), ((Assumptions!$B$8)*'Yearly Pension'!Z$1))))</f>
        <v>756.62736414676306</v>
      </c>
      <c r="AA61" s="6">
        <f>(HLOOKUP('Yearly Pension'!AA$2,'Credited Service'!$G$1:$BC$80,$A61+1,FALSE)) * (IF($B61=500, (Assumptions!$B$7)*12, IF((HLOOKUP(AA$2,Earnings!$G$2:$BC$81,('Yearly Pension'!$A61)+1, FALSE)) &gt; AA$1, (Assumptions!$B$8)*(AA$1) + (Assumptions!$B$9)*MAX(0,  (HLOOKUP(AA$2,Earnings!$G$2:$BC$81,('Yearly Pension'!$A61)+1, FALSE)) - AA$1), ((Assumptions!$B$8)*'Yearly Pension'!AA$1))))</f>
        <v>793.39485871263355</v>
      </c>
      <c r="AB61" s="6">
        <f>(HLOOKUP('Yearly Pension'!AB$2,'Credited Service'!$G$1:$BC$80,$A61+1,FALSE)) * (IF($B61=500, (Assumptions!$B$7)*12, IF((HLOOKUP(AB$2,Earnings!$G$2:$BC$81,('Yearly Pension'!$A61)+1, FALSE)) &gt; AB$1, (Assumptions!$B$8)*(AB$1) + (Assumptions!$B$9)*MAX(0,  (HLOOKUP(AB$2,Earnings!$G$2:$BC$81,('Yearly Pension'!$A61)+1, FALSE)) - AB$1), ((Assumptions!$B$8)*'Yearly Pension'!AB$1))))</f>
        <v>827.25545306113895</v>
      </c>
      <c r="AC61" s="6">
        <f>(HLOOKUP('Yearly Pension'!AC$2,'Credited Service'!$G$1:$BC$80,$A61+1,FALSE)) * (IF($B61=500, (Assumptions!$B$7)*12, IF((HLOOKUP(AC$2,Earnings!$G$2:$BC$81,('Yearly Pension'!$A61)+1, FALSE)) &gt; AC$1, (Assumptions!$B$8)*(AC$1) + (Assumptions!$B$9)*MAX(0,  (HLOOKUP(AC$2,Earnings!$G$2:$BC$81,('Yearly Pension'!$A61)+1, FALSE)) - AC$1), ((Assumptions!$B$8)*'Yearly Pension'!AC$1))))</f>
        <v>866.59207118358461</v>
      </c>
      <c r="AD61" s="6">
        <f>(HLOOKUP('Yearly Pension'!AD$2,'Credited Service'!$G$1:$BC$80,$A61+1,FALSE)) * (IF($B61=500, (Assumptions!$B$7)*12, IF((HLOOKUP(AD$2,Earnings!$G$2:$BC$81,('Yearly Pension'!$A61)+1, FALSE)) &gt; AD$1, (Assumptions!$B$8)*(AD$1) + (Assumptions!$B$9)*MAX(0,  (HLOOKUP(AD$2,Earnings!$G$2:$BC$81,('Yearly Pension'!$A61)+1, FALSE)) - AD$1), ((Assumptions!$B$8)*'Yearly Pension'!AD$1))))</f>
        <v>909.55015403092807</v>
      </c>
      <c r="AE61" s="6">
        <f>(HLOOKUP('Yearly Pension'!AE$2,'Credited Service'!$G$1:$BC$80,$A61+1,FALSE)) * (IF($B61=500, (Assumptions!$B$7)*12, IF((HLOOKUP(AE$2,Earnings!$G$2:$BC$81,('Yearly Pension'!$A61)+1, FALSE)) &gt; AE$1, (Assumptions!$B$8)*(AE$1) + (Assumptions!$B$9)*MAX(0,  (HLOOKUP(AE$2,Earnings!$G$2:$BC$81,('Yearly Pension'!$A61)+1, FALSE)) - AE$1), ((Assumptions!$B$8)*'Yearly Pension'!AE$1))))</f>
        <v>951.07776019216533</v>
      </c>
      <c r="AF61" s="6">
        <f>(HLOOKUP('Yearly Pension'!AF$2,'Credited Service'!$G$1:$BC$80,$A61+1,FALSE)) * (IF($B61=500, (Assumptions!$B$7)*12, IF((HLOOKUP(AF$2,Earnings!$G$2:$BC$81,('Yearly Pension'!$A61)+1, FALSE)) &gt; AF$1, (Assumptions!$B$8)*(AF$1) + (Assumptions!$B$9)*MAX(0,  (HLOOKUP(AF$2,Earnings!$G$2:$BC$81,('Yearly Pension'!$A61)+1, FALSE)) - AF$1), ((Assumptions!$B$8)*'Yearly Pension'!AF$1))))</f>
        <v>993.80567059985196</v>
      </c>
      <c r="AG61" s="6">
        <f>(HLOOKUP('Yearly Pension'!AG$2,'Credited Service'!$G$1:$BC$80,$A61+1,FALSE)) * (IF($B61=500, (Assumptions!$B$7)*12, IF((HLOOKUP(AG$2,Earnings!$G$2:$BC$81,('Yearly Pension'!$A61)+1, FALSE)) &gt; AG$1, (Assumptions!$B$8)*(AG$1) + (Assumptions!$B$9)*MAX(0,  (HLOOKUP(AG$2,Earnings!$G$2:$BC$81,('Yearly Pension'!$A61)+1, FALSE)) - AG$1), ((Assumptions!$B$8)*'Yearly Pension'!AG$1))))</f>
        <v>1038.4474974238462</v>
      </c>
      <c r="AH61" s="6">
        <f>(HLOOKUP('Yearly Pension'!AH$2,'Credited Service'!$G$1:$BC$80,$A61+1,FALSE)) * (IF($B61=500, (Assumptions!$B$7)*12, IF((HLOOKUP(AH$2,Earnings!$G$2:$BC$81,('Yearly Pension'!$A61)+1, FALSE)) &gt; AH$1, (Assumptions!$B$8)*(AH$1) + (Assumptions!$B$9)*MAX(0,  (HLOOKUP(AH$2,Earnings!$G$2:$BC$81,('Yearly Pension'!$A61)+1, FALSE)) - AH$1), ((Assumptions!$B$8)*'Yearly Pension'!AH$1))))</f>
        <v>1086.3597973208002</v>
      </c>
      <c r="AI61" s="6">
        <f>(HLOOKUP('Yearly Pension'!AI$2,'Credited Service'!$G$1:$BC$80,$A61+1,FALSE)) * (IF($B61=500, (Assumptions!$B$7)*12, IF((HLOOKUP(AI$2,Earnings!$G$2:$BC$81,('Yearly Pension'!$A61)+1, FALSE)) &gt; AI$1, (Assumptions!$B$8)*(AI$1) + (Assumptions!$B$9)*MAX(0,  (HLOOKUP(AI$2,Earnings!$G$2:$BC$81,('Yearly Pension'!$A61)+1, FALSE)) - AI$1), ((Assumptions!$B$8)*'Yearly Pension'!AI$1))))</f>
        <v>1136.3421892136321</v>
      </c>
      <c r="AJ61" s="6">
        <f>(HLOOKUP('Yearly Pension'!AJ$2,'Credited Service'!$G$1:$BC$80,$A61+1,FALSE)) * (IF($B61=500, (Assumptions!$B$7)*12, IF((HLOOKUP(AJ$2,Earnings!$G$2:$BC$81,('Yearly Pension'!$A61)+1, FALSE)) &gt; AJ$1, (Assumptions!$B$8)*(AJ$1) + (Assumptions!$B$9)*MAX(0,  (HLOOKUP(AJ$2,Earnings!$G$2:$BC$81,('Yearly Pension'!$A61)+1, FALSE)) - AJ$1), ((Assumptions!$B$8)*'Yearly Pension'!AJ$1))))</f>
        <v>1185.9174767821773</v>
      </c>
      <c r="AK61" s="6">
        <f>(HLOOKUP('Yearly Pension'!AK$2,'Credited Service'!$G$1:$BC$80,$A61+1,FALSE)) * (IF($B61=500, (Assumptions!$B$7)*12, IF((HLOOKUP(AK$2,Earnings!$G$2:$BC$81,('Yearly Pension'!$A61)+1, FALSE)) &gt; AK$1, (Assumptions!$B$8)*(AK$1) + (Assumptions!$B$9)*MAX(0,  (HLOOKUP(AK$2,Earnings!$G$2:$BC$81,('Yearly Pension'!$A61)+1, FALSE)) - AK$1), ((Assumptions!$B$8)*'Yearly Pension'!AK$1))))</f>
        <v>1233.8917758534644</v>
      </c>
      <c r="AL61" s="6">
        <f>(HLOOKUP('Yearly Pension'!AL$2,'Credited Service'!$G$1:$BC$80,$A61+1,FALSE)) * (IF($B61=500, (Assumptions!$B$7)*12, IF((HLOOKUP(AL$2,Earnings!$G$2:$BC$81,('Yearly Pension'!$A61)+1, FALSE)) &gt; AL$1, (Assumptions!$B$8)*(AL$1) + (Assumptions!$B$9)*MAX(0,  (HLOOKUP(AL$2,Earnings!$G$2:$BC$81,('Yearly Pension'!$A61)+1, FALSE)) - AL$1), ((Assumptions!$B$8)*'Yearly Pension'!AL$1))))</f>
        <v>1286.754646887603</v>
      </c>
      <c r="AM61" s="6">
        <f>(HLOOKUP('Yearly Pension'!AM$2,'Credited Service'!$G$1:$BC$80,$A61+1,FALSE)) * (IF($B61=500, (Assumptions!$B$7)*12, IF((HLOOKUP(AM$2,Earnings!$G$2:$BC$81,('Yearly Pension'!$A61)+1, FALSE)) &gt; AM$1, (Assumptions!$B$8)*(AM$1) + (Assumptions!$B$9)*MAX(0,  (HLOOKUP(AM$2,Earnings!$G$2:$BC$81,('Yearly Pension'!$A61)+1, FALSE)) - AM$1), ((Assumptions!$B$8)*'Yearly Pension'!AM$1))))</f>
        <v>1340.7592327631073</v>
      </c>
      <c r="AN61" s="6">
        <f>(HLOOKUP('Yearly Pension'!AN$2,'Credited Service'!$G$1:$BC$80,$A61+1,FALSE)) * (IF($B61=500, (Assumptions!$B$7)*12, IF((HLOOKUP(AN$2,Earnings!$G$2:$BC$81,('Yearly Pension'!$A61)+1, FALSE)) &gt; AN$1, (Assumptions!$B$8)*(AN$1) + (Assumptions!$B$9)*MAX(0,  (HLOOKUP(AN$2,Earnings!$G$2:$BC$81,('Yearly Pension'!$A61)+1, FALSE)) - AN$1), ((Assumptions!$B$8)*'Yearly Pension'!AN$1))))</f>
        <v>1400.4824020736314</v>
      </c>
      <c r="AO61" s="6">
        <f>(HLOOKUP('Yearly Pension'!AO$2,'Credited Service'!$G$1:$BC$80,$A61+1,FALSE)) * (IF($B61=500, (Assumptions!$B$7)*12, IF((HLOOKUP(AO$2,Earnings!$G$2:$BC$81,('Yearly Pension'!$A61)+1, FALSE)) &gt; AO$1, (Assumptions!$B$8)*(AO$1) + (Assumptions!$B$9)*MAX(0,  (HLOOKUP(AO$2,Earnings!$G$2:$BC$81,('Yearly Pension'!$A61)+1, FALSE)) - AO$1), ((Assumptions!$B$8)*'Yearly Pension'!AO$1))))</f>
        <v>1461.5448981565769</v>
      </c>
      <c r="AP61" s="6">
        <f>(HLOOKUP('Yearly Pension'!AP$2,'Credited Service'!$G$1:$BC$80,$A61+1,FALSE)) * (IF($B61=500, (Assumptions!$B$7)*12, IF((HLOOKUP(AP$2,Earnings!$G$2:$BC$81,('Yearly Pension'!$A61)+1, FALSE)) &gt; AP$1, (Assumptions!$B$8)*(AP$1) + (Assumptions!$B$9)*MAX(0,  (HLOOKUP(AP$2,Earnings!$G$2:$BC$81,('Yearly Pension'!$A61)+1, FALSE)) - AP$1), ((Assumptions!$B$8)*'Yearly Pension'!AP$1))))</f>
        <v>1520.8514940828404</v>
      </c>
      <c r="AQ61" s="6">
        <f>(HLOOKUP('Yearly Pension'!AQ$2,'Credited Service'!$G$1:$BC$80,$A61+1,FALSE)) * (IF($B61=500, (Assumptions!$B$7)*12, IF((HLOOKUP(AQ$2,Earnings!$G$2:$BC$81,('Yearly Pension'!$A61)+1, FALSE)) &gt; AQ$1, (Assumptions!$B$8)*(AQ$1) + (Assumptions!$B$9)*MAX(0,  (HLOOKUP(AQ$2,Earnings!$G$2:$BC$81,('Yearly Pension'!$A61)+1, FALSE)) - AQ$1), ((Assumptions!$B$8)*'Yearly Pension'!AQ$1))))</f>
        <v>1588.1111538461537</v>
      </c>
      <c r="AR61" s="6">
        <f>(HLOOKUP('Yearly Pension'!AR$2,'Credited Service'!$G$1:$BC$80,$A61+1,FALSE)) * (IF($B61=500, (Assumptions!$B$7)*12, IF((HLOOKUP(AR$2,Earnings!$G$2:$BC$81,('Yearly Pension'!$A61)+1, FALSE)) &gt; AR$1, (Assumptions!$B$8)*(AR$1) + (Assumptions!$B$9)*MAX(0,  (HLOOKUP(AR$2,Earnings!$G$2:$BC$81,('Yearly Pension'!$A61)+1, FALSE)) - AR$1), ((Assumptions!$B$8)*'Yearly Pension'!AR$1))))</f>
        <v>1655.7572</v>
      </c>
      <c r="AS61" s="6">
        <f>(HLOOKUP('Yearly Pension'!AS$2,'Credited Service'!$G$1:$BC$80,$A61+1,FALSE)) * (IF($B61=500, (Assumptions!$B$7)*12, IF((HLOOKUP(AS$2,Earnings!$G$2:$BC$81,('Yearly Pension'!$A61)+1, FALSE)) &gt; AS$1, (Assumptions!$B$8)*(AS$1) + (Assumptions!$B$9)*MAX(0,  (HLOOKUP(AS$2,Earnings!$G$2:$BC$81,('Yearly Pension'!$A61)+1, FALSE)) - AS$1), ((Assumptions!$B$8)*'Yearly Pension'!AS$1))))</f>
        <v>1708.469916</v>
      </c>
      <c r="AT61" s="6">
        <f>(HLOOKUP('Yearly Pension'!AT$2,'Credited Service'!$G$1:$BC$80,$A61+1,FALSE)) * (IF($B61=500, (Assumptions!$B$7)*12, IF((HLOOKUP(AT$2,Earnings!$G$2:$BC$81,('Yearly Pension'!$A61)+1, FALSE)) &gt; AT$1, (Assumptions!$B$8)*(AT$1) + (Assumptions!$B$9)*MAX(0,  (HLOOKUP(AT$2,Earnings!$G$2:$BC$81,('Yearly Pension'!$A61)+1, FALSE)) - AT$1), ((Assumptions!$B$8)*'Yearly Pension'!AT$1))))</f>
        <v>1761.6952134800001</v>
      </c>
      <c r="AU61" s="6">
        <f>(HLOOKUP('Yearly Pension'!AU$2,'Credited Service'!$G$1:$BC$80,$A61+1,FALSE)) * (IF($B61=500, (Assumptions!$B$7)*12, IF((HLOOKUP(AU$2,Earnings!$G$2:$BC$81,('Yearly Pension'!$A61)+1, FALSE)) &gt; AU$1, (Assumptions!$B$8)*(AU$1) + (Assumptions!$B$9)*MAX(0,  (HLOOKUP(AU$2,Earnings!$G$2:$BC$81,('Yearly Pension'!$A61)+1, FALSE)) - AU$1), ((Assumptions!$B$8)*'Yearly Pension'!AU$1))))</f>
        <v>1822.5268698844002</v>
      </c>
      <c r="AV61" s="6">
        <f>(HLOOKUP('Yearly Pension'!AV$2,'Credited Service'!$G$1:$BC$80,$A61+1,FALSE)) * (IF($B61=500, (Assumptions!$B$7)*12, IF((HLOOKUP(AV$2,Earnings!$G$2:$BC$81,('Yearly Pension'!$A61)+1, FALSE)) &gt; AV$1, (Assumptions!$B$8)*(AV$1) + (Assumptions!$B$9)*MAX(0,  (HLOOKUP(AV$2,Earnings!$G$2:$BC$81,('Yearly Pension'!$A61)+1, FALSE)) - AV$1), ((Assumptions!$B$8)*'Yearly Pension'!AV$1))))</f>
        <v>1883.9802759809324</v>
      </c>
      <c r="AW61" s="6">
        <f>(HLOOKUP('Yearly Pension'!AW$2,'Credited Service'!$G$1:$BC$80,$A61+1,FALSE)) * (IF($B61=500, (Assumptions!$B$7)*12, IF((HLOOKUP(AW$2,Earnings!$G$2:$BC$81,('Yearly Pension'!$A61)+1, FALSE)) &gt; AW$1, (Assumptions!$B$8)*(AW$1) + (Assumptions!$B$9)*MAX(0,  (HLOOKUP(AW$2,Earnings!$G$2:$BC$81,('Yearly Pension'!$A61)+1, FALSE)) - AW$1), ((Assumptions!$B$8)*'Yearly Pension'!AW$1))))</f>
        <v>1941.6324842603603</v>
      </c>
      <c r="AX61" s="6">
        <f>(HLOOKUP('Yearly Pension'!AX$2,'Credited Service'!$G$1:$BC$80,$A61+1,FALSE)) * (IF($B61=500, (Assumptions!$B$7)*12, IF((HLOOKUP(AX$2,Earnings!$G$2:$BC$81,('Yearly Pension'!$A61)+1, FALSE)) &gt; AX$1, (Assumptions!$B$8)*(AX$1) + (Assumptions!$B$9)*MAX(0,  (HLOOKUP(AX$2,Earnings!$G$2:$BC$81,('Yearly Pension'!$A61)+1, FALSE)) - AX$1), ((Assumptions!$B$8)*'Yearly Pension'!AX$1))))</f>
        <v>1996.2078587881711</v>
      </c>
      <c r="AY61" s="6">
        <f>(HLOOKUP('Yearly Pension'!AY$2,'Credited Service'!$G$1:$BC$80,$A61+1,FALSE)) * (IF($B61=500, (Assumptions!$B$7)*12, IF((HLOOKUP(AY$2,Earnings!$G$2:$BC$81,('Yearly Pension'!$A61)+1, FALSE)) &gt; AY$1, (Assumptions!$B$8)*(AY$1) + (Assumptions!$B$9)*MAX(0,  (HLOOKUP(AY$2,Earnings!$G$2:$BC$81,('Yearly Pension'!$A61)+1, FALSE)) - AY$1), ((Assumptions!$B$8)*'Yearly Pension'!AY$1))))</f>
        <v>2052.2735505518162</v>
      </c>
      <c r="AZ61" s="6">
        <f>(HLOOKUP('Yearly Pension'!AZ$2,'Credited Service'!$G$1:$BC$80,$A61+1,FALSE)) * (IF($B61=500, (Assumptions!$B$7)*12, IF((HLOOKUP(AZ$2,Earnings!$G$2:$BC$81,('Yearly Pension'!$A61)+1, FALSE)) &gt; AZ$1, (Assumptions!$B$8)*(AZ$1) + (Assumptions!$B$9)*MAX(0,  (HLOOKUP(AZ$2,Earnings!$G$2:$BC$81,('Yearly Pension'!$A61)+1, FALSE)) - AZ$1), ((Assumptions!$B$8)*'Yearly Pension'!AZ$1))))</f>
        <v>2109.868391308371</v>
      </c>
      <c r="BA61" s="6">
        <f>(HLOOKUP('Yearly Pension'!BA$2,'Credited Service'!$G$1:$BC$80,$A61+1,FALSE)) * (IF($B61=500, (Assumptions!$B$7)*12, IF((HLOOKUP(BA$2,Earnings!$G$2:$BC$81,('Yearly Pension'!$A61)+1, FALSE)) &gt; BA$1, (Assumptions!$B$8)*(BA$1) + (Assumptions!$B$9)*MAX(0,  (HLOOKUP(BA$2,Earnings!$G$2:$BC$81,('Yearly Pension'!$A61)+1, FALSE)) - BA$1), ((Assumptions!$B$8)*'Yearly Pension'!BA$1))))</f>
        <v>2169.0321426572223</v>
      </c>
      <c r="BB61" s="6">
        <f>(HLOOKUP('Yearly Pension'!BB$2,'Credited Service'!$G$1:$BC$80,$A61+1,FALSE)) * (IF($B61=500, (Assumptions!$B$7)*12, IF((HLOOKUP(BB$2,Earnings!$G$2:$BC$81,('Yearly Pension'!$A61)+1, FALSE)) &gt; BB$1, (Assumptions!$B$8)*(BB$1) + (Assumptions!$B$9)*MAX(0,  (HLOOKUP(BB$2,Earnings!$G$2:$BC$81,('Yearly Pension'!$A61)+1, FALSE)) - BB$1), ((Assumptions!$B$8)*'Yearly Pension'!BB$1))))</f>
        <v>2229.8055145309231</v>
      </c>
      <c r="BC61" s="6">
        <f>(HLOOKUP('Yearly Pension'!BC$2,'Credited Service'!$G$1:$BC$80,$A61+1,FALSE)) * (IF($B61=500, (Assumptions!$B$7)*12, IF((HLOOKUP(BC$2,Earnings!$G$2:$BC$81,('Yearly Pension'!$A61)+1, FALSE)) &gt; BC$1, (Assumptions!$B$8)*(BC$1) + (Assumptions!$B$9)*MAX(0,  (HLOOKUP(BC$2,Earnings!$G$2:$BC$81,('Yearly Pension'!$A61)+1, FALSE)) - BC$1), ((Assumptions!$B$8)*'Yearly Pension'!BC$1))))</f>
        <v>2292.230183864594</v>
      </c>
    </row>
    <row r="62" spans="1:55" x14ac:dyDescent="0.25">
      <c r="A62" s="204">
        <v>60</v>
      </c>
      <c r="B62" s="1">
        <v>600</v>
      </c>
      <c r="C62" s="1">
        <v>588</v>
      </c>
      <c r="D62" s="3">
        <v>32370</v>
      </c>
      <c r="E62" s="3">
        <v>45658</v>
      </c>
      <c r="G62" s="6">
        <f>(HLOOKUP('Yearly Pension'!G$2,'Credited Service'!$G$1:$BC$80,$A62+1,FALSE)) * (IF($B62=500, (Assumptions!$B$7)*12, IF((HLOOKUP(G$2,Earnings!$G$2:$BC$81,('Yearly Pension'!$A62)+1, FALSE)) &gt; G$1, (Assumptions!$B$8)*(G$1) + (Assumptions!$B$9)*MAX(0,  (HLOOKUP(G$2,Earnings!$G$2:$BC$81,('Yearly Pension'!$A62)+1, FALSE)) - G$1), ((Assumptions!$B$8)*'Yearly Pension'!G$1))))</f>
        <v>0</v>
      </c>
      <c r="H62" s="6">
        <f>(HLOOKUP('Yearly Pension'!H$2,'Credited Service'!$G$1:$BC$80,$A62+1,FALSE)) * (IF($B62=500, (Assumptions!$B$7)*12, IF((HLOOKUP(H$2,Earnings!$G$2:$BC$81,('Yearly Pension'!$A62)+1, FALSE)) &gt; H$1, (Assumptions!$B$8)*(H$1) + (Assumptions!$B$9)*MAX(0,  (HLOOKUP(H$2,Earnings!$G$2:$BC$81,('Yearly Pension'!$A62)+1, FALSE)) - H$1), ((Assumptions!$B$8)*'Yearly Pension'!H$1))))</f>
        <v>0</v>
      </c>
      <c r="I62" s="6">
        <f>(HLOOKUP('Yearly Pension'!I$2,'Credited Service'!$G$1:$BC$80,$A62+1,FALSE)) * (IF($B62=500, (Assumptions!$B$7)*12, IF((HLOOKUP(I$2,Earnings!$G$2:$BC$81,('Yearly Pension'!$A62)+1, FALSE)) &gt; I$1, (Assumptions!$B$8)*(I$1) + (Assumptions!$B$9)*MAX(0,  (HLOOKUP(I$2,Earnings!$G$2:$BC$81,('Yearly Pension'!$A62)+1, FALSE)) - I$1), ((Assumptions!$B$8)*'Yearly Pension'!I$1))))</f>
        <v>0</v>
      </c>
      <c r="J62" s="6">
        <f>(HLOOKUP('Yearly Pension'!J$2,'Credited Service'!$G$1:$BC$80,$A62+1,FALSE)) * (IF($B62=500, (Assumptions!$B$7)*12, IF((HLOOKUP(J$2,Earnings!$G$2:$BC$81,('Yearly Pension'!$A62)+1, FALSE)) &gt; J$1, (Assumptions!$B$8)*(J$1) + (Assumptions!$B$9)*MAX(0,  (HLOOKUP(J$2,Earnings!$G$2:$BC$81,('Yearly Pension'!$A62)+1, FALSE)) - J$1), ((Assumptions!$B$8)*'Yearly Pension'!J$1))))</f>
        <v>0</v>
      </c>
      <c r="K62" s="6">
        <f>(HLOOKUP('Yearly Pension'!K$2,'Credited Service'!$G$1:$BC$80,$A62+1,FALSE)) * (IF($B62=500, (Assumptions!$B$7)*12, IF((HLOOKUP(K$2,Earnings!$G$2:$BC$81,('Yearly Pension'!$A62)+1, FALSE)) &gt; K$1, (Assumptions!$B$8)*(K$1) + (Assumptions!$B$9)*MAX(0,  (HLOOKUP(K$2,Earnings!$G$2:$BC$81,('Yearly Pension'!$A62)+1, FALSE)) - K$1), ((Assumptions!$B$8)*'Yearly Pension'!K$1))))</f>
        <v>0</v>
      </c>
      <c r="L62" s="6">
        <f>(HLOOKUP('Yearly Pension'!L$2,'Credited Service'!$G$1:$BC$80,$A62+1,FALSE)) * (IF($B62=500, (Assumptions!$B$7)*12, IF((HLOOKUP(L$2,Earnings!$G$2:$BC$81,('Yearly Pension'!$A62)+1, FALSE)) &gt; L$1, (Assumptions!$B$8)*(L$1) + (Assumptions!$B$9)*MAX(0,  (HLOOKUP(L$2,Earnings!$G$2:$BC$81,('Yearly Pension'!$A62)+1, FALSE)) - L$1), ((Assumptions!$B$8)*'Yearly Pension'!L$1))))</f>
        <v>0</v>
      </c>
      <c r="M62" s="6">
        <f>(HLOOKUP('Yearly Pension'!M$2,'Credited Service'!$G$1:$BC$80,$A62+1,FALSE)) * (IF($B62=500, (Assumptions!$B$7)*12, IF((HLOOKUP(M$2,Earnings!$G$2:$BC$81,('Yearly Pension'!$A62)+1, FALSE)) &gt; M$1, (Assumptions!$B$8)*(M$1) + (Assumptions!$B$9)*MAX(0,  (HLOOKUP(M$2,Earnings!$G$2:$BC$81,('Yearly Pension'!$A62)+1, FALSE)) - M$1), ((Assumptions!$B$8)*'Yearly Pension'!M$1))))</f>
        <v>0</v>
      </c>
      <c r="N62" s="6">
        <f>(HLOOKUP('Yearly Pension'!N$2,'Credited Service'!$G$1:$BC$80,$A62+1,FALSE)) * (IF($B62=500, (Assumptions!$B$7)*12, IF((HLOOKUP(N$2,Earnings!$G$2:$BC$81,('Yearly Pension'!$A62)+1, FALSE)) &gt; N$1, (Assumptions!$B$8)*(N$1) + (Assumptions!$B$9)*MAX(0,  (HLOOKUP(N$2,Earnings!$G$2:$BC$81,('Yearly Pension'!$A62)+1, FALSE)) - N$1), ((Assumptions!$B$8)*'Yearly Pension'!N$1))))</f>
        <v>0</v>
      </c>
      <c r="O62" s="6">
        <f>(HLOOKUP('Yearly Pension'!O$2,'Credited Service'!$G$1:$BC$80,$A62+1,FALSE)) * (IF($B62=500, (Assumptions!$B$7)*12, IF((HLOOKUP(O$2,Earnings!$G$2:$BC$81,('Yearly Pension'!$A62)+1, FALSE)) &gt; O$1, (Assumptions!$B$8)*(O$1) + (Assumptions!$B$9)*MAX(0,  (HLOOKUP(O$2,Earnings!$G$2:$BC$81,('Yearly Pension'!$A62)+1, FALSE)) - O$1), ((Assumptions!$B$8)*'Yearly Pension'!O$1))))</f>
        <v>0</v>
      </c>
      <c r="P62" s="6">
        <f>(HLOOKUP('Yearly Pension'!P$2,'Credited Service'!$G$1:$BC$80,$A62+1,FALSE)) * (IF($B62=500, (Assumptions!$B$7)*12, IF((HLOOKUP(P$2,Earnings!$G$2:$BC$81,('Yearly Pension'!$A62)+1, FALSE)) &gt; P$1, (Assumptions!$B$8)*(P$1) + (Assumptions!$B$9)*MAX(0,  (HLOOKUP(P$2,Earnings!$G$2:$BC$81,('Yearly Pension'!$A62)+1, FALSE)) - P$1), ((Assumptions!$B$8)*'Yearly Pension'!P$1))))</f>
        <v>0</v>
      </c>
      <c r="Q62" s="6">
        <f>(HLOOKUP('Yearly Pension'!Q$2,'Credited Service'!$G$1:$BC$80,$A62+1,FALSE)) * (IF($B62=500, (Assumptions!$B$7)*12, IF((HLOOKUP(Q$2,Earnings!$G$2:$BC$81,('Yearly Pension'!$A62)+1, FALSE)) &gt; Q$1, (Assumptions!$B$8)*(Q$1) + (Assumptions!$B$9)*MAX(0,  (HLOOKUP(Q$2,Earnings!$G$2:$BC$81,('Yearly Pension'!$A62)+1, FALSE)) - Q$1), ((Assumptions!$B$8)*'Yearly Pension'!Q$1))))</f>
        <v>0</v>
      </c>
      <c r="R62" s="6">
        <f>(HLOOKUP('Yearly Pension'!R$2,'Credited Service'!$G$1:$BC$80,$A62+1,FALSE)) * (IF($B62=500, (Assumptions!$B$7)*12, IF((HLOOKUP(R$2,Earnings!$G$2:$BC$81,('Yearly Pension'!$A62)+1, FALSE)) &gt; R$1, (Assumptions!$B$8)*(R$1) + (Assumptions!$B$9)*MAX(0,  (HLOOKUP(R$2,Earnings!$G$2:$BC$81,('Yearly Pension'!$A62)+1, FALSE)) - R$1), ((Assumptions!$B$8)*'Yearly Pension'!R$1))))</f>
        <v>186.90181741677981</v>
      </c>
      <c r="S62" s="6">
        <f>(HLOOKUP('Yearly Pension'!S$2,'Credited Service'!$G$1:$BC$80,$A62+1,FALSE)) * (IF($B62=500, (Assumptions!$B$7)*12, IF((HLOOKUP(S$2,Earnings!$G$2:$BC$81,('Yearly Pension'!$A62)+1, FALSE)) &gt; S$1, (Assumptions!$B$8)*(S$1) + (Assumptions!$B$9)*MAX(0,  (HLOOKUP(S$2,Earnings!$G$2:$BC$81,('Yearly Pension'!$A62)+1, FALSE)) - S$1), ((Assumptions!$B$8)*'Yearly Pension'!S$1))))</f>
        <v>582.23767034035302</v>
      </c>
      <c r="T62" s="6">
        <f>(HLOOKUP('Yearly Pension'!T$2,'Credited Service'!$G$1:$BC$80,$A62+1,FALSE)) * (IF($B62=500, (Assumptions!$B$7)*12, IF((HLOOKUP(T$2,Earnings!$G$2:$BC$81,('Yearly Pension'!$A62)+1, FALSE)) &gt; T$1, (Assumptions!$B$8)*(T$1) + (Assumptions!$B$9)*MAX(0,  (HLOOKUP(T$2,Earnings!$G$2:$BC$81,('Yearly Pension'!$A62)+1, FALSE)) - T$1), ((Assumptions!$B$8)*'Yearly Pension'!T$1))))</f>
        <v>604.93837715396717</v>
      </c>
      <c r="U62" s="6">
        <f>(HLOOKUP('Yearly Pension'!U$2,'Credited Service'!$G$1:$BC$80,$A62+1,FALSE)) * (IF($B62=500, (Assumptions!$B$7)*12, IF((HLOOKUP(U$2,Earnings!$G$2:$BC$81,('Yearly Pension'!$A62)+1, FALSE)) &gt; U$1, (Assumptions!$B$8)*(U$1) + (Assumptions!$B$9)*MAX(0,  (HLOOKUP(U$2,Earnings!$G$2:$BC$81,('Yearly Pension'!$A62)+1, FALSE)) - U$1), ((Assumptions!$B$8)*'Yearly Pension'!U$1))))</f>
        <v>626.29431224012581</v>
      </c>
      <c r="V62" s="6">
        <f>(HLOOKUP('Yearly Pension'!V$2,'Credited Service'!$G$1:$BC$80,$A62+1,FALSE)) * (IF($B62=500, (Assumptions!$B$7)*12, IF((HLOOKUP(V$2,Earnings!$G$2:$BC$81,('Yearly Pension'!$A62)+1, FALSE)) &gt; V$1, (Assumptions!$B$8)*(V$1) + (Assumptions!$B$9)*MAX(0,  (HLOOKUP(V$2,Earnings!$G$2:$BC$81,('Yearly Pension'!$A62)+1, FALSE)) - V$1), ((Assumptions!$B$8)*'Yearly Pension'!V$1))))</f>
        <v>648.27408472973093</v>
      </c>
      <c r="W62" s="6">
        <f>(HLOOKUP('Yearly Pension'!W$2,'Credited Service'!$G$1:$BC$80,$A62+1,FALSE)) * (IF($B62=500, (Assumptions!$B$7)*12, IF((HLOOKUP(W$2,Earnings!$G$2:$BC$81,('Yearly Pension'!$A62)+1, FALSE)) &gt; W$1, (Assumptions!$B$8)*(W$1) + (Assumptions!$B$9)*MAX(0,  (HLOOKUP(W$2,Earnings!$G$2:$BC$81,('Yearly Pension'!$A62)+1, FALSE)) - W$1), ((Assumptions!$B$8)*'Yearly Pension'!W$1))))</f>
        <v>674.76824811892016</v>
      </c>
      <c r="X62" s="6">
        <f>(HLOOKUP('Yearly Pension'!X$2,'Credited Service'!$G$1:$BC$80,$A62+1,FALSE)) * (IF($B62=500, (Assumptions!$B$7)*12, IF((HLOOKUP(X$2,Earnings!$G$2:$BC$81,('Yearly Pension'!$A62)+1, FALSE)) &gt; X$1, (Assumptions!$B$8)*(X$1) + (Assumptions!$B$9)*MAX(0,  (HLOOKUP(X$2,Earnings!$G$2:$BC$81,('Yearly Pension'!$A62)+1, FALSE)) - X$1), ((Assumptions!$B$8)*'Yearly Pension'!X$1))))</f>
        <v>703.90937804367695</v>
      </c>
      <c r="Y62" s="6">
        <f>(HLOOKUP('Yearly Pension'!Y$2,'Credited Service'!$G$1:$BC$80,$A62+1,FALSE)) * (IF($B62=500, (Assumptions!$B$7)*12, IF((HLOOKUP(Y$2,Earnings!$G$2:$BC$81,('Yearly Pension'!$A62)+1, FALSE)) &gt; Y$1, (Assumptions!$B$8)*(Y$1) + (Assumptions!$B$9)*MAX(0,  (HLOOKUP(Y$2,Earnings!$G$2:$BC$81,('Yearly Pension'!$A62)+1, FALSE)) - Y$1), ((Assumptions!$B$8)*'Yearly Pension'!Y$1))))</f>
        <v>737.67215316542411</v>
      </c>
      <c r="Z62" s="6">
        <f>(HLOOKUP('Yearly Pension'!Z$2,'Credited Service'!$G$1:$BC$80,$A62+1,FALSE)) * (IF($B62=500, (Assumptions!$B$7)*12, IF((HLOOKUP(Z$2,Earnings!$G$2:$BC$81,('Yearly Pension'!$A62)+1, FALSE)) &gt; Z$1, (Assumptions!$B$8)*(Z$1) + (Assumptions!$B$9)*MAX(0,  (HLOOKUP(Z$2,Earnings!$G$2:$BC$81,('Yearly Pension'!$A62)+1, FALSE)) - Z$1), ((Assumptions!$B$8)*'Yearly Pension'!Z$1))))</f>
        <v>772.91343929204118</v>
      </c>
      <c r="AA62" s="6">
        <f>(HLOOKUP('Yearly Pension'!AA$2,'Credited Service'!$G$1:$BC$80,$A62+1,FALSE)) * (IF($B62=500, (Assumptions!$B$7)*12, IF((HLOOKUP(AA$2,Earnings!$G$2:$BC$81,('Yearly Pension'!$A62)+1, FALSE)) &gt; AA$1, (Assumptions!$B$8)*(AA$1) + (Assumptions!$B$9)*MAX(0,  (HLOOKUP(AA$2,Earnings!$G$2:$BC$81,('Yearly Pension'!$A62)+1, FALSE)) - AA$1), ((Assumptions!$B$8)*'Yearly Pension'!AA$1))))</f>
        <v>810.33237686372286</v>
      </c>
      <c r="AB62" s="6">
        <f>(HLOOKUP('Yearly Pension'!AB$2,'Credited Service'!$G$1:$BC$80,$A62+1,FALSE)) * (IF($B62=500, (Assumptions!$B$7)*12, IF((HLOOKUP(AB$2,Earnings!$G$2:$BC$81,('Yearly Pension'!$A62)+1, FALSE)) &gt; AB$1, (Assumptions!$B$8)*(AB$1) + (Assumptions!$B$9)*MAX(0,  (HLOOKUP(AB$2,Earnings!$G$2:$BC$81,('Yearly Pension'!$A62)+1, FALSE)) - AB$1), ((Assumptions!$B$8)*'Yearly Pension'!AB$1))))</f>
        <v>844.87047193827175</v>
      </c>
      <c r="AC62" s="6">
        <f>(HLOOKUP('Yearly Pension'!AC$2,'Credited Service'!$G$1:$BC$80,$A62+1,FALSE)) * (IF($B62=500, (Assumptions!$B$7)*12, IF((HLOOKUP(AC$2,Earnings!$G$2:$BC$81,('Yearly Pension'!$A62)+1, FALSE)) &gt; AC$1, (Assumptions!$B$8)*(AC$1) + (Assumptions!$B$9)*MAX(0,  (HLOOKUP(AC$2,Earnings!$G$2:$BC$81,('Yearly Pension'!$A62)+1, FALSE)) - AC$1), ((Assumptions!$B$8)*'Yearly Pension'!AC$1))))</f>
        <v>884.91169081580279</v>
      </c>
      <c r="AD62" s="6">
        <f>(HLOOKUP('Yearly Pension'!AD$2,'Credited Service'!$G$1:$BC$80,$A62+1,FALSE)) * (IF($B62=500, (Assumptions!$B$7)*12, IF((HLOOKUP(AD$2,Earnings!$G$2:$BC$81,('Yearly Pension'!$A62)+1, FALSE)) &gt; AD$1, (Assumptions!$B$8)*(AD$1) + (Assumptions!$B$9)*MAX(0,  (HLOOKUP(AD$2,Earnings!$G$2:$BC$81,('Yearly Pension'!$A62)+1, FALSE)) - AD$1), ((Assumptions!$B$8)*'Yearly Pension'!AD$1))))</f>
        <v>928.60255844843482</v>
      </c>
      <c r="AE62" s="6">
        <f>(HLOOKUP('Yearly Pension'!AE$2,'Credited Service'!$G$1:$BC$80,$A62+1,FALSE)) * (IF($B62=500, (Assumptions!$B$7)*12, IF((HLOOKUP(AE$2,Earnings!$G$2:$BC$81,('Yearly Pension'!$A62)+1, FALSE)) &gt; AE$1, (Assumptions!$B$8)*(AE$1) + (Assumptions!$B$9)*MAX(0,  (HLOOKUP(AE$2,Earnings!$G$2:$BC$81,('Yearly Pension'!$A62)+1, FALSE)) - AE$1), ((Assumptions!$B$8)*'Yearly Pension'!AE$1))))</f>
        <v>970.89226078637239</v>
      </c>
      <c r="AF62" s="6">
        <f>(HLOOKUP('Yearly Pension'!AF$2,'Credited Service'!$G$1:$BC$80,$A62+1,FALSE)) * (IF($B62=500, (Assumptions!$B$7)*12, IF((HLOOKUP(AF$2,Earnings!$G$2:$BC$81,('Yearly Pension'!$A62)+1, FALSE)) &gt; AF$1, (Assumptions!$B$8)*(AF$1) + (Assumptions!$B$9)*MAX(0,  (HLOOKUP(AF$2,Earnings!$G$2:$BC$81,('Yearly Pension'!$A62)+1, FALSE)) - AF$1), ((Assumptions!$B$8)*'Yearly Pension'!AF$1))))</f>
        <v>1014.4127512178272</v>
      </c>
      <c r="AG62" s="6">
        <f>(HLOOKUP('Yearly Pension'!AG$2,'Credited Service'!$G$1:$BC$80,$A62+1,FALSE)) * (IF($B62=500, (Assumptions!$B$7)*12, IF((HLOOKUP(AG$2,Earnings!$G$2:$BC$81,('Yearly Pension'!$A62)+1, FALSE)) &gt; AG$1, (Assumptions!$B$8)*(AG$1) + (Assumptions!$B$9)*MAX(0,  (HLOOKUP(AG$2,Earnings!$G$2:$BC$81,('Yearly Pension'!$A62)+1, FALSE)) - AG$1), ((Assumptions!$B$8)*'Yearly Pension'!AG$1))))</f>
        <v>1059.8788612665405</v>
      </c>
      <c r="AH62" s="6">
        <f>(HLOOKUP('Yearly Pension'!AH$2,'Credited Service'!$G$1:$BC$80,$A62+1,FALSE)) * (IF($B62=500, (Assumptions!$B$7)*12, IF((HLOOKUP(AH$2,Earnings!$G$2:$BC$81,('Yearly Pension'!$A62)+1, FALSE)) &gt; AH$1, (Assumptions!$B$8)*(AH$1) + (Assumptions!$B$9)*MAX(0,  (HLOOKUP(AH$2,Earnings!$G$2:$BC$81,('Yearly Pension'!$A62)+1, FALSE)) - AH$1), ((Assumptions!$B$8)*'Yearly Pension'!AH$1))))</f>
        <v>1108.6484157172019</v>
      </c>
      <c r="AI62" s="6">
        <f>(HLOOKUP('Yearly Pension'!AI$2,'Credited Service'!$G$1:$BC$80,$A62+1,FALSE)) * (IF($B62=500, (Assumptions!$B$7)*12, IF((HLOOKUP(AI$2,Earnings!$G$2:$BC$81,('Yearly Pension'!$A62)+1, FALSE)) &gt; AI$1, (Assumptions!$B$8)*(AI$1) + (Assumptions!$B$9)*MAX(0,  (HLOOKUP(AI$2,Earnings!$G$2:$BC$81,('Yearly Pension'!$A62)+1, FALSE)) - AI$1), ((Assumptions!$B$8)*'Yearly Pension'!AI$1))))</f>
        <v>1159.5223523458903</v>
      </c>
      <c r="AJ62" s="6">
        <f>(HLOOKUP('Yearly Pension'!AJ$2,'Credited Service'!$G$1:$BC$80,$A62+1,FALSE)) * (IF($B62=500, (Assumptions!$B$7)*12, IF((HLOOKUP(AJ$2,Earnings!$G$2:$BC$81,('Yearly Pension'!$A62)+1, FALSE)) &gt; AJ$1, (Assumptions!$B$8)*(AJ$1) + (Assumptions!$B$9)*MAX(0,  (HLOOKUP(AJ$2,Earnings!$G$2:$BC$81,('Yearly Pension'!$A62)+1, FALSE)) - AJ$1), ((Assumptions!$B$8)*'Yearly Pension'!AJ$1))))</f>
        <v>1210.0248464397259</v>
      </c>
      <c r="AK62" s="6">
        <f>(HLOOKUP('Yearly Pension'!AK$2,'Credited Service'!$G$1:$BC$80,$A62+1,FALSE)) * (IF($B62=500, (Assumptions!$B$7)*12, IF((HLOOKUP(AK$2,Earnings!$G$2:$BC$81,('Yearly Pension'!$A62)+1, FALSE)) &gt; AK$1, (Assumptions!$B$8)*(AK$1) + (Assumptions!$B$9)*MAX(0,  (HLOOKUP(AK$2,Earnings!$G$2:$BC$81,('Yearly Pension'!$A62)+1, FALSE)) - AK$1), ((Assumptions!$B$8)*'Yearly Pension'!AK$1))))</f>
        <v>1258.9634402973149</v>
      </c>
      <c r="AL62" s="6">
        <f>(HLOOKUP('Yearly Pension'!AL$2,'Credited Service'!$G$1:$BC$80,$A62+1,FALSE)) * (IF($B62=500, (Assumptions!$B$7)*12, IF((HLOOKUP(AL$2,Earnings!$G$2:$BC$81,('Yearly Pension'!$A62)+1, FALSE)) &gt; AL$1, (Assumptions!$B$8)*(AL$1) + (Assumptions!$B$9)*MAX(0,  (HLOOKUP(AL$2,Earnings!$G$2:$BC$81,('Yearly Pension'!$A62)+1, FALSE)) - AL$1), ((Assumptions!$B$8)*'Yearly Pension'!AL$1))))</f>
        <v>1312.8291779092076</v>
      </c>
      <c r="AM62" s="6">
        <f>(HLOOKUP('Yearly Pension'!AM$2,'Credited Service'!$G$1:$BC$80,$A62+1,FALSE)) * (IF($B62=500, (Assumptions!$B$7)*12, IF((HLOOKUP(AM$2,Earnings!$G$2:$BC$81,('Yearly Pension'!$A62)+1, FALSE)) &gt; AM$1, (Assumptions!$B$8)*(AM$1) + (Assumptions!$B$9)*MAX(0,  (HLOOKUP(AM$2,Earnings!$G$2:$BC$81,('Yearly Pension'!$A62)+1, FALSE)) - AM$1), ((Assumptions!$B$8)*'Yearly Pension'!AM$1))))</f>
        <v>1367.8767450255759</v>
      </c>
      <c r="AN62" s="6">
        <f>(HLOOKUP('Yearly Pension'!AN$2,'Credited Service'!$G$1:$BC$80,$A62+1,FALSE)) * (IF($B62=500, (Assumptions!$B$7)*12, IF((HLOOKUP(AN$2,Earnings!$G$2:$BC$81,('Yearly Pension'!$A62)+1, FALSE)) &gt; AN$1, (Assumptions!$B$8)*(AN$1) + (Assumptions!$B$9)*MAX(0,  (HLOOKUP(AN$2,Earnings!$G$2:$BC$81,('Yearly Pension'!$A62)+1, FALSE)) - AN$1), ((Assumptions!$B$8)*'Yearly Pension'!AN$1))))</f>
        <v>1428.684614826599</v>
      </c>
      <c r="AO62" s="6">
        <f>(HLOOKUP('Yearly Pension'!AO$2,'Credited Service'!$G$1:$BC$80,$A62+1,FALSE)) * (IF($B62=500, (Assumptions!$B$7)*12, IF((HLOOKUP(AO$2,Earnings!$G$2:$BC$81,('Yearly Pension'!$A62)+1, FALSE)) &gt; AO$1, (Assumptions!$B$8)*(AO$1) + (Assumptions!$B$9)*MAX(0,  (HLOOKUP(AO$2,Earnings!$G$2:$BC$81,('Yearly Pension'!$A62)+1, FALSE)) - AO$1), ((Assumptions!$B$8)*'Yearly Pension'!AO$1))))</f>
        <v>1490.8751994196632</v>
      </c>
      <c r="AP62" s="6">
        <f>(HLOOKUP('Yearly Pension'!AP$2,'Credited Service'!$G$1:$BC$80,$A62+1,FALSE)) * (IF($B62=500, (Assumptions!$B$7)*12, IF((HLOOKUP(AP$2,Earnings!$G$2:$BC$81,('Yearly Pension'!$A62)+1, FALSE)) &gt; AP$1, (Assumptions!$B$8)*(AP$1) + (Assumptions!$B$9)*MAX(0,  (HLOOKUP(AP$2,Earnings!$G$2:$BC$81,('Yearly Pension'!$A62)+1, FALSE)) - AP$1), ((Assumptions!$B$8)*'Yearly Pension'!AP$1))))</f>
        <v>1551.3550073964498</v>
      </c>
      <c r="AQ62" s="6">
        <f>(HLOOKUP('Yearly Pension'!AQ$2,'Credited Service'!$G$1:$BC$80,$A62+1,FALSE)) * (IF($B62=500, (Assumptions!$B$7)*12, IF((HLOOKUP(AQ$2,Earnings!$G$2:$BC$81,('Yearly Pension'!$A62)+1, FALSE)) &gt; AQ$1, (Assumptions!$B$8)*(AQ$1) + (Assumptions!$B$9)*MAX(0,  (HLOOKUP(AQ$2,Earnings!$G$2:$BC$81,('Yearly Pension'!$A62)+1, FALSE)) - AQ$1), ((Assumptions!$B$8)*'Yearly Pension'!AQ$1))))</f>
        <v>1619.8348076923078</v>
      </c>
      <c r="AR62" s="6">
        <f>(HLOOKUP('Yearly Pension'!AR$2,'Credited Service'!$G$1:$BC$80,$A62+1,FALSE)) * (IF($B62=500, (Assumptions!$B$7)*12, IF((HLOOKUP(AR$2,Earnings!$G$2:$BC$81,('Yearly Pension'!$A62)+1, FALSE)) &gt; AR$1, (Assumptions!$B$8)*(AR$1) + (Assumptions!$B$9)*MAX(0,  (HLOOKUP(AR$2,Earnings!$G$2:$BC$81,('Yearly Pension'!$A62)+1, FALSE)) - AR$1), ((Assumptions!$B$8)*'Yearly Pension'!AR$1))))</f>
        <v>1688.7498000000001</v>
      </c>
      <c r="AS62" s="6">
        <f>(HLOOKUP('Yearly Pension'!AS$2,'Credited Service'!$G$1:$BC$80,$A62+1,FALSE)) * (IF($B62=500, (Assumptions!$B$7)*12, IF((HLOOKUP(AS$2,Earnings!$G$2:$BC$81,('Yearly Pension'!$A62)+1, FALSE)) &gt; AS$1, (Assumptions!$B$8)*(AS$1) + (Assumptions!$B$9)*MAX(0,  (HLOOKUP(AS$2,Earnings!$G$2:$BC$81,('Yearly Pension'!$A62)+1, FALSE)) - AS$1), ((Assumptions!$B$8)*'Yearly Pension'!AS$1))))</f>
        <v>1742.4522940000002</v>
      </c>
      <c r="AT62" s="6">
        <f>(HLOOKUP('Yearly Pension'!AT$2,'Credited Service'!$G$1:$BC$80,$A62+1,FALSE)) * (IF($B62=500, (Assumptions!$B$7)*12, IF((HLOOKUP(AT$2,Earnings!$G$2:$BC$81,('Yearly Pension'!$A62)+1, FALSE)) &gt; AT$1, (Assumptions!$B$8)*(AT$1) + (Assumptions!$B$9)*MAX(0,  (HLOOKUP(AT$2,Earnings!$G$2:$BC$81,('Yearly Pension'!$A62)+1, FALSE)) - AT$1), ((Assumptions!$B$8)*'Yearly Pension'!AT$1))))</f>
        <v>1796.6970628200002</v>
      </c>
      <c r="AU62" s="6">
        <f>(HLOOKUP('Yearly Pension'!AU$2,'Credited Service'!$G$1:$BC$80,$A62+1,FALSE)) * (IF($B62=500, (Assumptions!$B$7)*12, IF((HLOOKUP(AU$2,Earnings!$G$2:$BC$81,('Yearly Pension'!$A62)+1, FALSE)) &gt; AU$1, (Assumptions!$B$8)*(AU$1) + (Assumptions!$B$9)*MAX(0,  (HLOOKUP(AU$2,Earnings!$G$2:$BC$81,('Yearly Pension'!$A62)+1, FALSE)) - AU$1), ((Assumptions!$B$8)*'Yearly Pension'!AU$1))))</f>
        <v>1858.5787747046002</v>
      </c>
      <c r="AV62" s="6">
        <f>(HLOOKUP('Yearly Pension'!AV$2,'Credited Service'!$G$1:$BC$80,$A62+1,FALSE)) * (IF($B62=500, (Assumptions!$B$7)*12, IF((HLOOKUP(AV$2,Earnings!$G$2:$BC$81,('Yearly Pension'!$A62)+1, FALSE)) &gt; AV$1, (Assumptions!$B$8)*(AV$1) + (Assumptions!$B$9)*MAX(0,  (HLOOKUP(AV$2,Earnings!$G$2:$BC$81,('Yearly Pension'!$A62)+1, FALSE)) - AV$1), ((Assumptions!$B$8)*'Yearly Pension'!AV$1))))</f>
        <v>1921.1137379457382</v>
      </c>
      <c r="AW62" s="6">
        <f>(HLOOKUP('Yearly Pension'!AW$2,'Credited Service'!$G$1:$BC$80,$A62+1,FALSE)) * (IF($B62=500, (Assumptions!$B$7)*12, IF((HLOOKUP(AW$2,Earnings!$G$2:$BC$81,('Yearly Pension'!$A62)+1, FALSE)) &gt; AW$1, (Assumptions!$B$8)*(AW$1) + (Assumptions!$B$9)*MAX(0,  (HLOOKUP(AW$2,Earnings!$G$2:$BC$81,('Yearly Pension'!$A62)+1, FALSE)) - AW$1), ((Assumptions!$B$8)*'Yearly Pension'!AW$1))))</f>
        <v>1979.8799500841105</v>
      </c>
      <c r="AX62" s="6">
        <f>(HLOOKUP('Yearly Pension'!AX$2,'Credited Service'!$G$1:$BC$80,$A62+1,FALSE)) * (IF($B62=500, (Assumptions!$B$7)*12, IF((HLOOKUP(AX$2,Earnings!$G$2:$BC$81,('Yearly Pension'!$A62)+1, FALSE)) &gt; AX$1, (Assumptions!$B$8)*(AX$1) + (Assumptions!$B$9)*MAX(0,  (HLOOKUP(AX$2,Earnings!$G$2:$BC$81,('Yearly Pension'!$A62)+1, FALSE)) - AX$1), ((Assumptions!$B$8)*'Yearly Pension'!AX$1))))</f>
        <v>2035.6027485866334</v>
      </c>
      <c r="AY62" s="6">
        <f>(HLOOKUP('Yearly Pension'!AY$2,'Credited Service'!$G$1:$BC$80,$A62+1,FALSE)) * (IF($B62=500, (Assumptions!$B$7)*12, IF((HLOOKUP(AY$2,Earnings!$G$2:$BC$81,('Yearly Pension'!$A62)+1, FALSE)) &gt; AY$1, (Assumptions!$B$8)*(AY$1) + (Assumptions!$B$9)*MAX(0,  (HLOOKUP(AY$2,Earnings!$G$2:$BC$81,('Yearly Pension'!$A62)+1, FALSE)) - AY$1), ((Assumptions!$B$8)*'Yearly Pension'!AY$1))))</f>
        <v>2092.8502870442326</v>
      </c>
      <c r="AZ62" s="6">
        <f>(HLOOKUP('Yearly Pension'!AZ$2,'Credited Service'!$G$1:$BC$80,$A62+1,FALSE)) * (IF($B62=500, (Assumptions!$B$7)*12, IF((HLOOKUP(AZ$2,Earnings!$G$2:$BC$81,('Yearly Pension'!$A62)+1, FALSE)) &gt; AZ$1, (Assumptions!$B$8)*(AZ$1) + (Assumptions!$B$9)*MAX(0,  (HLOOKUP(AZ$2,Earnings!$G$2:$BC$81,('Yearly Pension'!$A62)+1, FALSE)) - AZ$1), ((Assumptions!$B$8)*'Yearly Pension'!AZ$1))))</f>
        <v>2151.6624298955594</v>
      </c>
      <c r="BA62" s="6">
        <f>(HLOOKUP('Yearly Pension'!BA$2,'Credited Service'!$G$1:$BC$80,$A62+1,FALSE)) * (IF($B62=500, (Assumptions!$B$7)*12, IF((HLOOKUP(BA$2,Earnings!$G$2:$BC$81,('Yearly Pension'!$A62)+1, FALSE)) &gt; BA$1, (Assumptions!$B$8)*(BA$1) + (Assumptions!$B$9)*MAX(0,  (HLOOKUP(BA$2,Earnings!$G$2:$BC$81,('Yearly Pension'!$A62)+1, FALSE)) - BA$1), ((Assumptions!$B$8)*'Yearly Pension'!BA$1))))</f>
        <v>2212.0800024020264</v>
      </c>
      <c r="BB62" s="6">
        <f>(HLOOKUP('Yearly Pension'!BB$2,'Credited Service'!$G$1:$BC$80,$A62+1,FALSE)) * (IF($B62=500, (Assumptions!$B$7)*12, IF((HLOOKUP(BB$2,Earnings!$G$2:$BC$81,('Yearly Pension'!$A62)+1, FALSE)) &gt; BB$1, (Assumptions!$B$8)*(BB$1) + (Assumptions!$B$9)*MAX(0,  (HLOOKUP(BB$2,Earnings!$G$2:$BC$81,('Yearly Pension'!$A62)+1, FALSE)) - BB$1), ((Assumptions!$B$8)*'Yearly Pension'!BB$1))))</f>
        <v>2274.1448100680714</v>
      </c>
      <c r="BC62" s="6">
        <f>(HLOOKUP('Yearly Pension'!BC$2,'Credited Service'!$G$1:$BC$80,$A62+1,FALSE)) * (IF($B62=500, (Assumptions!$B$7)*12, IF((HLOOKUP(BC$2,Earnings!$G$2:$BC$81,('Yearly Pension'!$A62)+1, FALSE)) &gt; BC$1, (Assumptions!$B$8)*(BC$1) + (Assumptions!$B$9)*MAX(0,  (HLOOKUP(BC$2,Earnings!$G$2:$BC$81,('Yearly Pension'!$A62)+1, FALSE)) - BC$1), ((Assumptions!$B$8)*'Yearly Pension'!BC$1))))</f>
        <v>0</v>
      </c>
    </row>
    <row r="63" spans="1:55" x14ac:dyDescent="0.25">
      <c r="A63" s="204">
        <v>61</v>
      </c>
      <c r="B63" s="1">
        <v>600</v>
      </c>
      <c r="C63" s="1">
        <v>584</v>
      </c>
      <c r="D63" s="3">
        <v>32335</v>
      </c>
      <c r="E63" s="3">
        <v>45536</v>
      </c>
      <c r="G63" s="6">
        <f>(HLOOKUP('Yearly Pension'!G$2,'Credited Service'!$G$1:$BC$80,$A63+1,FALSE)) * (IF($B63=500, (Assumptions!$B$7)*12, IF((HLOOKUP(G$2,Earnings!$G$2:$BC$81,('Yearly Pension'!$A63)+1, FALSE)) &gt; G$1, (Assumptions!$B$8)*(G$1) + (Assumptions!$B$9)*MAX(0,  (HLOOKUP(G$2,Earnings!$G$2:$BC$81,('Yearly Pension'!$A63)+1, FALSE)) - G$1), ((Assumptions!$B$8)*'Yearly Pension'!G$1))))</f>
        <v>0</v>
      </c>
      <c r="H63" s="6">
        <f>(HLOOKUP('Yearly Pension'!H$2,'Credited Service'!$G$1:$BC$80,$A63+1,FALSE)) * (IF($B63=500, (Assumptions!$B$7)*12, IF((HLOOKUP(H$2,Earnings!$G$2:$BC$81,('Yearly Pension'!$A63)+1, FALSE)) &gt; H$1, (Assumptions!$B$8)*(H$1) + (Assumptions!$B$9)*MAX(0,  (HLOOKUP(H$2,Earnings!$G$2:$BC$81,('Yearly Pension'!$A63)+1, FALSE)) - H$1), ((Assumptions!$B$8)*'Yearly Pension'!H$1))))</f>
        <v>0</v>
      </c>
      <c r="I63" s="6">
        <f>(HLOOKUP('Yearly Pension'!I$2,'Credited Service'!$G$1:$BC$80,$A63+1,FALSE)) * (IF($B63=500, (Assumptions!$B$7)*12, IF((HLOOKUP(I$2,Earnings!$G$2:$BC$81,('Yearly Pension'!$A63)+1, FALSE)) &gt; I$1, (Assumptions!$B$8)*(I$1) + (Assumptions!$B$9)*MAX(0,  (HLOOKUP(I$2,Earnings!$G$2:$BC$81,('Yearly Pension'!$A63)+1, FALSE)) - I$1), ((Assumptions!$B$8)*'Yearly Pension'!I$1))))</f>
        <v>0</v>
      </c>
      <c r="J63" s="6">
        <f>(HLOOKUP('Yearly Pension'!J$2,'Credited Service'!$G$1:$BC$80,$A63+1,FALSE)) * (IF($B63=500, (Assumptions!$B$7)*12, IF((HLOOKUP(J$2,Earnings!$G$2:$BC$81,('Yearly Pension'!$A63)+1, FALSE)) &gt; J$1, (Assumptions!$B$8)*(J$1) + (Assumptions!$B$9)*MAX(0,  (HLOOKUP(J$2,Earnings!$G$2:$BC$81,('Yearly Pension'!$A63)+1, FALSE)) - J$1), ((Assumptions!$B$8)*'Yearly Pension'!J$1))))</f>
        <v>0</v>
      </c>
      <c r="K63" s="6">
        <f>(HLOOKUP('Yearly Pension'!K$2,'Credited Service'!$G$1:$BC$80,$A63+1,FALSE)) * (IF($B63=500, (Assumptions!$B$7)*12, IF((HLOOKUP(K$2,Earnings!$G$2:$BC$81,('Yearly Pension'!$A63)+1, FALSE)) &gt; K$1, (Assumptions!$B$8)*(K$1) + (Assumptions!$B$9)*MAX(0,  (HLOOKUP(K$2,Earnings!$G$2:$BC$81,('Yearly Pension'!$A63)+1, FALSE)) - K$1), ((Assumptions!$B$8)*'Yearly Pension'!K$1))))</f>
        <v>0</v>
      </c>
      <c r="L63" s="6">
        <f>(HLOOKUP('Yearly Pension'!L$2,'Credited Service'!$G$1:$BC$80,$A63+1,FALSE)) * (IF($B63=500, (Assumptions!$B$7)*12, IF((HLOOKUP(L$2,Earnings!$G$2:$BC$81,('Yearly Pension'!$A63)+1, FALSE)) &gt; L$1, (Assumptions!$B$8)*(L$1) + (Assumptions!$B$9)*MAX(0,  (HLOOKUP(L$2,Earnings!$G$2:$BC$81,('Yearly Pension'!$A63)+1, FALSE)) - L$1), ((Assumptions!$B$8)*'Yearly Pension'!L$1))))</f>
        <v>0</v>
      </c>
      <c r="M63" s="6">
        <f>(HLOOKUP('Yearly Pension'!M$2,'Credited Service'!$G$1:$BC$80,$A63+1,FALSE)) * (IF($B63=500, (Assumptions!$B$7)*12, IF((HLOOKUP(M$2,Earnings!$G$2:$BC$81,('Yearly Pension'!$A63)+1, FALSE)) &gt; M$1, (Assumptions!$B$8)*(M$1) + (Assumptions!$B$9)*MAX(0,  (HLOOKUP(M$2,Earnings!$G$2:$BC$81,('Yearly Pension'!$A63)+1, FALSE)) - M$1), ((Assumptions!$B$8)*'Yearly Pension'!M$1))))</f>
        <v>0</v>
      </c>
      <c r="N63" s="6">
        <f>(HLOOKUP('Yearly Pension'!N$2,'Credited Service'!$G$1:$BC$80,$A63+1,FALSE)) * (IF($B63=500, (Assumptions!$B$7)*12, IF((HLOOKUP(N$2,Earnings!$G$2:$BC$81,('Yearly Pension'!$A63)+1, FALSE)) &gt; N$1, (Assumptions!$B$8)*(N$1) + (Assumptions!$B$9)*MAX(0,  (HLOOKUP(N$2,Earnings!$G$2:$BC$81,('Yearly Pension'!$A63)+1, FALSE)) - N$1), ((Assumptions!$B$8)*'Yearly Pension'!N$1))))</f>
        <v>0</v>
      </c>
      <c r="O63" s="6">
        <f>(HLOOKUP('Yearly Pension'!O$2,'Credited Service'!$G$1:$BC$80,$A63+1,FALSE)) * (IF($B63=500, (Assumptions!$B$7)*12, IF((HLOOKUP(O$2,Earnings!$G$2:$BC$81,('Yearly Pension'!$A63)+1, FALSE)) &gt; O$1, (Assumptions!$B$8)*(O$1) + (Assumptions!$B$9)*MAX(0,  (HLOOKUP(O$2,Earnings!$G$2:$BC$81,('Yearly Pension'!$A63)+1, FALSE)) - O$1), ((Assumptions!$B$8)*'Yearly Pension'!O$1))))</f>
        <v>0</v>
      </c>
      <c r="P63" s="6">
        <f>(HLOOKUP('Yearly Pension'!P$2,'Credited Service'!$G$1:$BC$80,$A63+1,FALSE)) * (IF($B63=500, (Assumptions!$B$7)*12, IF((HLOOKUP(P$2,Earnings!$G$2:$BC$81,('Yearly Pension'!$A63)+1, FALSE)) &gt; P$1, (Assumptions!$B$8)*(P$1) + (Assumptions!$B$9)*MAX(0,  (HLOOKUP(P$2,Earnings!$G$2:$BC$81,('Yearly Pension'!$A63)+1, FALSE)) - P$1), ((Assumptions!$B$8)*'Yearly Pension'!P$1))))</f>
        <v>0</v>
      </c>
      <c r="Q63" s="6">
        <f>(HLOOKUP('Yearly Pension'!Q$2,'Credited Service'!$G$1:$BC$80,$A63+1,FALSE)) * (IF($B63=500, (Assumptions!$B$7)*12, IF((HLOOKUP(Q$2,Earnings!$G$2:$BC$81,('Yearly Pension'!$A63)+1, FALSE)) &gt; Q$1, (Assumptions!$B$8)*(Q$1) + (Assumptions!$B$9)*MAX(0,  (HLOOKUP(Q$2,Earnings!$G$2:$BC$81,('Yearly Pension'!$A63)+1, FALSE)) - Q$1), ((Assumptions!$B$8)*'Yearly Pension'!Q$1))))</f>
        <v>0</v>
      </c>
      <c r="R63" s="6">
        <f>(HLOOKUP('Yearly Pension'!R$2,'Credited Service'!$G$1:$BC$80,$A63+1,FALSE)) * (IF($B63=500, (Assumptions!$B$7)*12, IF((HLOOKUP(R$2,Earnings!$G$2:$BC$81,('Yearly Pension'!$A63)+1, FALSE)) &gt; R$1, (Assumptions!$B$8)*(R$1) + (Assumptions!$B$9)*MAX(0,  (HLOOKUP(R$2,Earnings!$G$2:$BC$81,('Yearly Pension'!$A63)+1, FALSE)) - R$1), ((Assumptions!$B$8)*'Yearly Pension'!R$1))))</f>
        <v>236.10643915612769</v>
      </c>
      <c r="S63" s="6">
        <f>(HLOOKUP('Yearly Pension'!S$2,'Credited Service'!$G$1:$BC$80,$A63+1,FALSE)) * (IF($B63=500, (Assumptions!$B$7)*12, IF((HLOOKUP(S$2,Earnings!$G$2:$BC$81,('Yearly Pension'!$A63)+1, FALSE)) &gt; S$1, (Assumptions!$B$8)*(S$1) + (Assumptions!$B$9)*MAX(0,  (HLOOKUP(S$2,Earnings!$G$2:$BC$81,('Yearly Pension'!$A63)+1, FALSE)) - S$1), ((Assumptions!$B$8)*'Yearly Pension'!S$1))))</f>
        <v>588.42567213369466</v>
      </c>
      <c r="T63" s="6">
        <f>(HLOOKUP('Yearly Pension'!T$2,'Credited Service'!$G$1:$BC$80,$A63+1,FALSE)) * (IF($B63=500, (Assumptions!$B$7)*12, IF((HLOOKUP(T$2,Earnings!$G$2:$BC$81,('Yearly Pension'!$A63)+1, FALSE)) &gt; T$1, (Assumptions!$B$8)*(T$1) + (Assumptions!$B$9)*MAX(0,  (HLOOKUP(T$2,Earnings!$G$2:$BC$81,('Yearly Pension'!$A63)+1, FALSE)) - T$1), ((Assumptions!$B$8)*'Yearly Pension'!T$1))))</f>
        <v>611.37389901904248</v>
      </c>
      <c r="U63" s="6">
        <f>(HLOOKUP('Yearly Pension'!U$2,'Credited Service'!$G$1:$BC$80,$A63+1,FALSE)) * (IF($B63=500, (Assumptions!$B$7)*12, IF((HLOOKUP(U$2,Earnings!$G$2:$BC$81,('Yearly Pension'!$A63)+1, FALSE)) &gt; U$1, (Assumptions!$B$8)*(U$1) + (Assumptions!$B$9)*MAX(0,  (HLOOKUP(U$2,Earnings!$G$2:$BC$81,('Yearly Pension'!$A63)+1, FALSE)) - U$1), ((Assumptions!$B$8)*'Yearly Pension'!U$1))))</f>
        <v>632.98725497980422</v>
      </c>
      <c r="V63" s="6">
        <f>(HLOOKUP('Yearly Pension'!V$2,'Credited Service'!$G$1:$BC$80,$A63+1,FALSE)) * (IF($B63=500, (Assumptions!$B$7)*12, IF((HLOOKUP(V$2,Earnings!$G$2:$BC$81,('Yearly Pension'!$A63)+1, FALSE)) &gt; V$1, (Assumptions!$B$8)*(V$1) + (Assumptions!$B$9)*MAX(0,  (HLOOKUP(V$2,Earnings!$G$2:$BC$81,('Yearly Pension'!$A63)+1, FALSE)) - V$1), ((Assumptions!$B$8)*'Yearly Pension'!V$1))))</f>
        <v>655.23474517899649</v>
      </c>
      <c r="W63" s="6">
        <f>(HLOOKUP('Yearly Pension'!W$2,'Credited Service'!$G$1:$BC$80,$A63+1,FALSE)) * (IF($B63=500, (Assumptions!$B$7)*12, IF((HLOOKUP(W$2,Earnings!$G$2:$BC$81,('Yearly Pension'!$A63)+1, FALSE)) &gt; W$1, (Assumptions!$B$8)*(W$1) + (Assumptions!$B$9)*MAX(0,  (HLOOKUP(W$2,Earnings!$G$2:$BC$81,('Yearly Pension'!$A63)+1, FALSE)) - W$1), ((Assumptions!$B$8)*'Yearly Pension'!W$1))))</f>
        <v>682.00733498615648</v>
      </c>
      <c r="X63" s="6">
        <f>(HLOOKUP('Yearly Pension'!X$2,'Credited Service'!$G$1:$BC$80,$A63+1,FALSE)) * (IF($B63=500, (Assumptions!$B$7)*12, IF((HLOOKUP(X$2,Earnings!$G$2:$BC$81,('Yearly Pension'!$A63)+1, FALSE)) &gt; X$1, (Assumptions!$B$8)*(X$1) + (Assumptions!$B$9)*MAX(0,  (HLOOKUP(X$2,Earnings!$G$2:$BC$81,('Yearly Pension'!$A63)+1, FALSE)) - X$1), ((Assumptions!$B$8)*'Yearly Pension'!X$1))))</f>
        <v>711.43802838560282</v>
      </c>
      <c r="Y63" s="6">
        <f>(HLOOKUP('Yearly Pension'!Y$2,'Credited Service'!$G$1:$BC$80,$A63+1,FALSE)) * (IF($B63=500, (Assumptions!$B$7)*12, IF((HLOOKUP(Y$2,Earnings!$G$2:$BC$81,('Yearly Pension'!$A63)+1, FALSE)) &gt; Y$1, (Assumptions!$B$8)*(Y$1) + (Assumptions!$B$9)*MAX(0,  (HLOOKUP(Y$2,Earnings!$G$2:$BC$81,('Yearly Pension'!$A63)+1, FALSE)) - Y$1), ((Assumptions!$B$8)*'Yearly Pension'!Y$1))))</f>
        <v>745.50194952102697</v>
      </c>
      <c r="Z63" s="6">
        <f>(HLOOKUP('Yearly Pension'!Z$2,'Credited Service'!$G$1:$BC$80,$A63+1,FALSE)) * (IF($B63=500, (Assumptions!$B$7)*12, IF((HLOOKUP(Z$2,Earnings!$G$2:$BC$81,('Yearly Pension'!$A63)+1, FALSE)) &gt; Z$1, (Assumptions!$B$8)*(Z$1) + (Assumptions!$B$9)*MAX(0,  (HLOOKUP(Z$2,Earnings!$G$2:$BC$81,('Yearly Pension'!$A63)+1, FALSE)) - Z$1), ((Assumptions!$B$8)*'Yearly Pension'!Z$1))))</f>
        <v>781.05642750186803</v>
      </c>
      <c r="AA63" s="6">
        <f>(HLOOKUP('Yearly Pension'!AA$2,'Credited Service'!$G$1:$BC$80,$A63+1,FALSE)) * (IF($B63=500, (Assumptions!$B$7)*12, IF((HLOOKUP(AA$2,Earnings!$G$2:$BC$81,('Yearly Pension'!$A63)+1, FALSE)) &gt; AA$1, (Assumptions!$B$8)*(AA$1) + (Assumptions!$B$9)*MAX(0,  (HLOOKUP(AA$2,Earnings!$G$2:$BC$81,('Yearly Pension'!$A63)+1, FALSE)) - AA$1), ((Assumptions!$B$8)*'Yearly Pension'!AA$1))))</f>
        <v>818.80108460194265</v>
      </c>
      <c r="AB63" s="6">
        <f>(HLOOKUP('Yearly Pension'!AB$2,'Credited Service'!$G$1:$BC$80,$A63+1,FALSE)) * (IF($B63=500, (Assumptions!$B$7)*12, IF((HLOOKUP(AB$2,Earnings!$G$2:$BC$81,('Yearly Pension'!$A63)+1, FALSE)) &gt; AB$1, (Assumptions!$B$8)*(AB$1) + (Assumptions!$B$9)*MAX(0,  (HLOOKUP(AB$2,Earnings!$G$2:$BC$81,('Yearly Pension'!$A63)+1, FALSE)) - AB$1), ((Assumptions!$B$8)*'Yearly Pension'!AB$1))))</f>
        <v>853.67792798602045</v>
      </c>
      <c r="AC63" s="6">
        <f>(HLOOKUP('Yearly Pension'!AC$2,'Credited Service'!$G$1:$BC$80,$A63+1,FALSE)) * (IF($B63=500, (Assumptions!$B$7)*12, IF((HLOOKUP(AC$2,Earnings!$G$2:$BC$81,('Yearly Pension'!$A63)+1, FALSE)) &gt; AC$1, (Assumptions!$B$8)*(AC$1) + (Assumptions!$B$9)*MAX(0,  (HLOOKUP(AC$2,Earnings!$G$2:$BC$81,('Yearly Pension'!$A63)+1, FALSE)) - AC$1), ((Assumptions!$B$8)*'Yearly Pension'!AC$1))))</f>
        <v>894.07144510546129</v>
      </c>
      <c r="AD63" s="6">
        <f>(HLOOKUP('Yearly Pension'!AD$2,'Credited Service'!$G$1:$BC$80,$A63+1,FALSE)) * (IF($B63=500, (Assumptions!$B$7)*12, IF((HLOOKUP(AD$2,Earnings!$G$2:$BC$81,('Yearly Pension'!$A63)+1, FALSE)) &gt; AD$1, (Assumptions!$B$8)*(AD$1) + (Assumptions!$B$9)*MAX(0,  (HLOOKUP(AD$2,Earnings!$G$2:$BC$81,('Yearly Pension'!$A63)+1, FALSE)) - AD$1), ((Assumptions!$B$8)*'Yearly Pension'!AD$1))))</f>
        <v>938.12870290967976</v>
      </c>
      <c r="AE63" s="6">
        <f>(HLOOKUP('Yearly Pension'!AE$2,'Credited Service'!$G$1:$BC$80,$A63+1,FALSE)) * (IF($B63=500, (Assumptions!$B$7)*12, IF((HLOOKUP(AE$2,Earnings!$G$2:$BC$81,('Yearly Pension'!$A63)+1, FALSE)) &gt; AE$1, (Assumptions!$B$8)*(AE$1) + (Assumptions!$B$9)*MAX(0,  (HLOOKUP(AE$2,Earnings!$G$2:$BC$81,('Yearly Pension'!$A63)+1, FALSE)) - AE$1), ((Assumptions!$B$8)*'Yearly Pension'!AE$1))))</f>
        <v>980.79945102606712</v>
      </c>
      <c r="AF63" s="6">
        <f>(HLOOKUP('Yearly Pension'!AF$2,'Credited Service'!$G$1:$BC$80,$A63+1,FALSE)) * (IF($B63=500, (Assumptions!$B$7)*12, IF((HLOOKUP(AF$2,Earnings!$G$2:$BC$81,('Yearly Pension'!$A63)+1, FALSE)) &gt; AF$1, (Assumptions!$B$8)*(AF$1) + (Assumptions!$B$9)*MAX(0,  (HLOOKUP(AF$2,Earnings!$G$2:$BC$81,('Yearly Pension'!$A63)+1, FALSE)) - AF$1), ((Assumptions!$B$8)*'Yearly Pension'!AF$1))))</f>
        <v>1024.7162290671099</v>
      </c>
      <c r="AG63" s="6">
        <f>(HLOOKUP('Yearly Pension'!AG$2,'Credited Service'!$G$1:$BC$80,$A63+1,FALSE)) * (IF($B63=500, (Assumptions!$B$7)*12, IF((HLOOKUP(AG$2,Earnings!$G$2:$BC$81,('Yearly Pension'!$A63)+1, FALSE)) &gt; AG$1, (Assumptions!$B$8)*(AG$1) + (Assumptions!$B$9)*MAX(0,  (HLOOKUP(AG$2,Earnings!$G$2:$BC$81,('Yearly Pension'!$A63)+1, FALSE)) - AG$1), ((Assumptions!$B$8)*'Yearly Pension'!AG$1))))</f>
        <v>1070.5944782297943</v>
      </c>
      <c r="AH63" s="6">
        <f>(HLOOKUP('Yearly Pension'!AH$2,'Credited Service'!$G$1:$BC$80,$A63+1,FALSE)) * (IF($B63=500, (Assumptions!$B$7)*12, IF((HLOOKUP(AH$2,Earnings!$G$2:$BC$81,('Yearly Pension'!$A63)+1, FALSE)) &gt; AH$1, (Assumptions!$B$8)*(AH$1) + (Assumptions!$B$9)*MAX(0,  (HLOOKUP(AH$2,Earnings!$G$2:$BC$81,('Yearly Pension'!$A63)+1, FALSE)) - AH$1), ((Assumptions!$B$8)*'Yearly Pension'!AH$1))))</f>
        <v>1119.7926573589862</v>
      </c>
      <c r="AI63" s="6">
        <f>(HLOOKUP('Yearly Pension'!AI$2,'Credited Service'!$G$1:$BC$80,$A63+1,FALSE)) * (IF($B63=500, (Assumptions!$B$7)*12, IF((HLOOKUP(AI$2,Earnings!$G$2:$BC$81,('Yearly Pension'!$A63)+1, FALSE)) &gt; AI$1, (Assumptions!$B$8)*(AI$1) + (Assumptions!$B$9)*MAX(0,  (HLOOKUP(AI$2,Earnings!$G$2:$BC$81,('Yearly Pension'!$A63)+1, FALSE)) - AI$1), ((Assumptions!$B$8)*'Yearly Pension'!AI$1))))</f>
        <v>1171.1123636533457</v>
      </c>
      <c r="AJ63" s="6">
        <f>(HLOOKUP('Yearly Pension'!AJ$2,'Credited Service'!$G$1:$BC$80,$A63+1,FALSE)) * (IF($B63=500, (Assumptions!$B$7)*12, IF((HLOOKUP(AJ$2,Earnings!$G$2:$BC$81,('Yearly Pension'!$A63)+1, FALSE)) &gt; AJ$1, (Assumptions!$B$8)*(AJ$1) + (Assumptions!$B$9)*MAX(0,  (HLOOKUP(AJ$2,Earnings!$G$2:$BC$81,('Yearly Pension'!$A63)+1, FALSE)) - AJ$1), ((Assumptions!$B$8)*'Yearly Pension'!AJ$1))))</f>
        <v>1222.0784581994794</v>
      </c>
      <c r="AK63" s="6">
        <f>(HLOOKUP('Yearly Pension'!AK$2,'Credited Service'!$G$1:$BC$80,$A63+1,FALSE)) * (IF($B63=500, (Assumptions!$B$7)*12, IF((HLOOKUP(AK$2,Earnings!$G$2:$BC$81,('Yearly Pension'!$A63)+1, FALSE)) &gt; AK$1, (Assumptions!$B$8)*(AK$1) + (Assumptions!$B$9)*MAX(0,  (HLOOKUP(AK$2,Earnings!$G$2:$BC$81,('Yearly Pension'!$A63)+1, FALSE)) - AK$1), ((Assumptions!$B$8)*'Yearly Pension'!AK$1))))</f>
        <v>1271.4991965274589</v>
      </c>
      <c r="AL63" s="6">
        <f>(HLOOKUP('Yearly Pension'!AL$2,'Credited Service'!$G$1:$BC$80,$A63+1,FALSE)) * (IF($B63=500, (Assumptions!$B$7)*12, IF((HLOOKUP(AL$2,Earnings!$G$2:$BC$81,('Yearly Pension'!$A63)+1, FALSE)) &gt; AL$1, (Assumptions!$B$8)*(AL$1) + (Assumptions!$B$9)*MAX(0,  (HLOOKUP(AL$2,Earnings!$G$2:$BC$81,('Yearly Pension'!$A63)+1, FALSE)) - AL$1), ((Assumptions!$B$8)*'Yearly Pension'!AL$1))))</f>
        <v>1325.8663643885573</v>
      </c>
      <c r="AM63" s="6">
        <f>(HLOOKUP('Yearly Pension'!AM$2,'Credited Service'!$G$1:$BC$80,$A63+1,FALSE)) * (IF($B63=500, (Assumptions!$B$7)*12, IF((HLOOKUP(AM$2,Earnings!$G$2:$BC$81,('Yearly Pension'!$A63)+1, FALSE)) &gt; AM$1, (Assumptions!$B$8)*(AM$1) + (Assumptions!$B$9)*MAX(0,  (HLOOKUP(AM$2,Earnings!$G$2:$BC$81,('Yearly Pension'!$A63)+1, FALSE)) - AM$1), ((Assumptions!$B$8)*'Yearly Pension'!AM$1))))</f>
        <v>1381.4354189640997</v>
      </c>
      <c r="AN63" s="6">
        <f>(HLOOKUP('Yearly Pension'!AN$2,'Credited Service'!$G$1:$BC$80,$A63+1,FALSE)) * (IF($B63=500, (Assumptions!$B$7)*12, IF((HLOOKUP(AN$2,Earnings!$G$2:$BC$81,('Yearly Pension'!$A63)+1, FALSE)) &gt; AN$1, (Assumptions!$B$8)*(AN$1) + (Assumptions!$B$9)*MAX(0,  (HLOOKUP(AN$2,Earnings!$G$2:$BC$81,('Yearly Pension'!$A63)+1, FALSE)) - AN$1), ((Assumptions!$B$8)*'Yearly Pension'!AN$1))))</f>
        <v>1442.7856357226638</v>
      </c>
      <c r="AO63" s="6">
        <f>(HLOOKUP('Yearly Pension'!AO$2,'Credited Service'!$G$1:$BC$80,$A63+1,FALSE)) * (IF($B63=500, (Assumptions!$B$7)*12, IF((HLOOKUP(AO$2,Earnings!$G$2:$BC$81,('Yearly Pension'!$A63)+1, FALSE)) &gt; AO$1, (Assumptions!$B$8)*(AO$1) + (Assumptions!$B$9)*MAX(0,  (HLOOKUP(AO$2,Earnings!$G$2:$BC$81,('Yearly Pension'!$A63)+1, FALSE)) - AO$1), ((Assumptions!$B$8)*'Yearly Pension'!AO$1))))</f>
        <v>1505.5402611515703</v>
      </c>
      <c r="AP63" s="6">
        <f>(HLOOKUP('Yearly Pension'!AP$2,'Credited Service'!$G$1:$BC$80,$A63+1,FALSE)) * (IF($B63=500, (Assumptions!$B$7)*12, IF((HLOOKUP(AP$2,Earnings!$G$2:$BC$81,('Yearly Pension'!$A63)+1, FALSE)) &gt; AP$1, (Assumptions!$B$8)*(AP$1) + (Assumptions!$B$9)*MAX(0,  (HLOOKUP(AP$2,Earnings!$G$2:$BC$81,('Yearly Pension'!$A63)+1, FALSE)) - AP$1), ((Assumptions!$B$8)*'Yearly Pension'!AP$1))))</f>
        <v>1566.6066715976331</v>
      </c>
      <c r="AQ63" s="6">
        <f>(HLOOKUP('Yearly Pension'!AQ$2,'Credited Service'!$G$1:$BC$80,$A63+1,FALSE)) * (IF($B63=500, (Assumptions!$B$7)*12, IF((HLOOKUP(AQ$2,Earnings!$G$2:$BC$81,('Yearly Pension'!$A63)+1, FALSE)) &gt; AQ$1, (Assumptions!$B$8)*(AQ$1) + (Assumptions!$B$9)*MAX(0,  (HLOOKUP(AQ$2,Earnings!$G$2:$BC$81,('Yearly Pension'!$A63)+1, FALSE)) - AQ$1), ((Assumptions!$B$8)*'Yearly Pension'!AQ$1))))</f>
        <v>1635.6965384615382</v>
      </c>
      <c r="AR63" s="6">
        <f>(HLOOKUP('Yearly Pension'!AR$2,'Credited Service'!$G$1:$BC$80,$A63+1,FALSE)) * (IF($B63=500, (Assumptions!$B$7)*12, IF((HLOOKUP(AR$2,Earnings!$G$2:$BC$81,('Yearly Pension'!$A63)+1, FALSE)) &gt; AR$1, (Assumptions!$B$8)*(AR$1) + (Assumptions!$B$9)*MAX(0,  (HLOOKUP(AR$2,Earnings!$G$2:$BC$81,('Yearly Pension'!$A63)+1, FALSE)) - AR$1), ((Assumptions!$B$8)*'Yearly Pension'!AR$1))))</f>
        <v>1705.2460000000001</v>
      </c>
      <c r="AS63" s="6">
        <f>(HLOOKUP('Yearly Pension'!AS$2,'Credited Service'!$G$1:$BC$80,$A63+1,FALSE)) * (IF($B63=500, (Assumptions!$B$7)*12, IF((HLOOKUP(AS$2,Earnings!$G$2:$BC$81,('Yearly Pension'!$A63)+1, FALSE)) &gt; AS$1, (Assumptions!$B$8)*(AS$1) + (Assumptions!$B$9)*MAX(0,  (HLOOKUP(AS$2,Earnings!$G$2:$BC$81,('Yearly Pension'!$A63)+1, FALSE)) - AS$1), ((Assumptions!$B$8)*'Yearly Pension'!AS$1))))</f>
        <v>1759.4433800000002</v>
      </c>
      <c r="AT63" s="6">
        <f>(HLOOKUP('Yearly Pension'!AT$2,'Credited Service'!$G$1:$BC$80,$A63+1,FALSE)) * (IF($B63=500, (Assumptions!$B$7)*12, IF((HLOOKUP(AT$2,Earnings!$G$2:$BC$81,('Yearly Pension'!$A63)+1, FALSE)) &gt; AT$1, (Assumptions!$B$8)*(AT$1) + (Assumptions!$B$9)*MAX(0,  (HLOOKUP(AT$2,Earnings!$G$2:$BC$81,('Yearly Pension'!$A63)+1, FALSE)) - AT$1), ((Assumptions!$B$8)*'Yearly Pension'!AT$1))))</f>
        <v>1814.1978814000004</v>
      </c>
      <c r="AU63" s="6">
        <f>(HLOOKUP('Yearly Pension'!AU$2,'Credited Service'!$G$1:$BC$80,$A63+1,FALSE)) * (IF($B63=500, (Assumptions!$B$7)*12, IF((HLOOKUP(AU$2,Earnings!$G$2:$BC$81,('Yearly Pension'!$A63)+1, FALSE)) &gt; AU$1, (Assumptions!$B$8)*(AU$1) + (Assumptions!$B$9)*MAX(0,  (HLOOKUP(AU$2,Earnings!$G$2:$BC$81,('Yearly Pension'!$A63)+1, FALSE)) - AU$1), ((Assumptions!$B$8)*'Yearly Pension'!AU$1))))</f>
        <v>1876.6046178420002</v>
      </c>
      <c r="AV63" s="6">
        <f>(HLOOKUP('Yearly Pension'!AV$2,'Credited Service'!$G$1:$BC$80,$A63+1,FALSE)) * (IF($B63=500, (Assumptions!$B$7)*12, IF((HLOOKUP(AV$2,Earnings!$G$2:$BC$81,('Yearly Pension'!$A63)+1, FALSE)) &gt; AV$1, (Assumptions!$B$8)*(AV$1) + (Assumptions!$B$9)*MAX(0,  (HLOOKUP(AV$2,Earnings!$G$2:$BC$81,('Yearly Pension'!$A63)+1, FALSE)) - AV$1), ((Assumptions!$B$8)*'Yearly Pension'!AV$1))))</f>
        <v>1939.6803563772603</v>
      </c>
      <c r="AW63" s="6">
        <f>(HLOOKUP('Yearly Pension'!AW$2,'Credited Service'!$G$1:$BC$80,$A63+1,FALSE)) * (IF($B63=500, (Assumptions!$B$7)*12, IF((HLOOKUP(AW$2,Earnings!$G$2:$BC$81,('Yearly Pension'!$A63)+1, FALSE)) &gt; AW$1, (Assumptions!$B$8)*(AW$1) + (Assumptions!$B$9)*MAX(0,  (HLOOKUP(AW$2,Earnings!$G$2:$BC$81,('Yearly Pension'!$A63)+1, FALSE)) - AW$1), ((Assumptions!$B$8)*'Yearly Pension'!AW$1))))</f>
        <v>1999.0035670685779</v>
      </c>
      <c r="AX63" s="6">
        <f>(HLOOKUP('Yearly Pension'!AX$2,'Credited Service'!$G$1:$BC$80,$A63+1,FALSE)) * (IF($B63=500, (Assumptions!$B$7)*12, IF((HLOOKUP(AX$2,Earnings!$G$2:$BC$81,('Yearly Pension'!$A63)+1, FALSE)) &gt; AX$1, (Assumptions!$B$8)*(AX$1) + (Assumptions!$B$9)*MAX(0,  (HLOOKUP(AX$2,Earnings!$G$2:$BC$81,('Yearly Pension'!$A63)+1, FALSE)) - AX$1), ((Assumptions!$B$8)*'Yearly Pension'!AX$1))))</f>
        <v>2055.3000740806356</v>
      </c>
      <c r="AY63" s="6">
        <f>(HLOOKUP('Yearly Pension'!AY$2,'Credited Service'!$G$1:$BC$80,$A63+1,FALSE)) * (IF($B63=500, (Assumptions!$B$7)*12, IF((HLOOKUP(AY$2,Earnings!$G$2:$BC$81,('Yearly Pension'!$A63)+1, FALSE)) &gt; AY$1, (Assumptions!$B$8)*(AY$1) + (Assumptions!$B$9)*MAX(0,  (HLOOKUP(AY$2,Earnings!$G$2:$BC$81,('Yearly Pension'!$A63)+1, FALSE)) - AY$1), ((Assumptions!$B$8)*'Yearly Pension'!AY$1))))</f>
        <v>2113.1385323030545</v>
      </c>
      <c r="AZ63" s="6">
        <f>(HLOOKUP('Yearly Pension'!AZ$2,'Credited Service'!$G$1:$BC$80,$A63+1,FALSE)) * (IF($B63=500, (Assumptions!$B$7)*12, IF((HLOOKUP(AZ$2,Earnings!$G$2:$BC$81,('Yearly Pension'!$A63)+1, FALSE)) &gt; AZ$1, (Assumptions!$B$8)*(AZ$1) + (Assumptions!$B$9)*MAX(0,  (HLOOKUP(AZ$2,Earnings!$G$2:$BC$81,('Yearly Pension'!$A63)+1, FALSE)) - AZ$1), ((Assumptions!$B$8)*'Yearly Pension'!AZ$1))))</f>
        <v>2172.5593225121461</v>
      </c>
      <c r="BA63" s="6">
        <f>(HLOOKUP('Yearly Pension'!BA$2,'Credited Service'!$G$1:$BC$80,$A63+1,FALSE)) * (IF($B63=500, (Assumptions!$B$7)*12, IF((HLOOKUP(BA$2,Earnings!$G$2:$BC$81,('Yearly Pension'!$A63)+1, FALSE)) &gt; BA$1, (Assumptions!$B$8)*(BA$1) + (Assumptions!$B$9)*MAX(0,  (HLOOKUP(BA$2,Earnings!$G$2:$BC$81,('Yearly Pension'!$A63)+1, FALSE)) - BA$1), ((Assumptions!$B$8)*'Yearly Pension'!BA$1))))</f>
        <v>2233.6038017971105</v>
      </c>
      <c r="BB63" s="6">
        <f>(HLOOKUP('Yearly Pension'!BB$2,'Credited Service'!$G$1:$BC$80,$A63+1,FALSE)) * (IF($B63=500, (Assumptions!$B$7)*12, IF((HLOOKUP(BB$2,Earnings!$G$2:$BC$81,('Yearly Pension'!$A63)+1, FALSE)) &gt; BB$1, (Assumptions!$B$8)*(BB$1) + (Assumptions!$B$9)*MAX(0,  (HLOOKUP(BB$2,Earnings!$G$2:$BC$81,('Yearly Pension'!$A63)+1, FALSE)) - BB$1), ((Assumptions!$B$8)*'Yearly Pension'!BB$1))))</f>
        <v>1530.8762156300049</v>
      </c>
      <c r="BC63" s="6">
        <f>(HLOOKUP('Yearly Pension'!BC$2,'Credited Service'!$G$1:$BC$80,$A63+1,FALSE)) * (IF($B63=500, (Assumptions!$B$7)*12, IF((HLOOKUP(BC$2,Earnings!$G$2:$BC$81,('Yearly Pension'!$A63)+1, FALSE)) &gt; BC$1, (Assumptions!$B$8)*(BC$1) + (Assumptions!$B$9)*MAX(0,  (HLOOKUP(BC$2,Earnings!$G$2:$BC$81,('Yearly Pension'!$A63)+1, FALSE)) - BC$1), ((Assumptions!$B$8)*'Yearly Pension'!BC$1))))</f>
        <v>0</v>
      </c>
    </row>
    <row r="64" spans="1:55" x14ac:dyDescent="0.25">
      <c r="A64" s="204">
        <v>62</v>
      </c>
      <c r="B64" s="1">
        <v>600</v>
      </c>
      <c r="C64" s="1">
        <v>580</v>
      </c>
      <c r="D64" s="3">
        <v>32295</v>
      </c>
      <c r="E64" s="3">
        <v>46143</v>
      </c>
      <c r="G64" s="6">
        <f>(HLOOKUP('Yearly Pension'!G$2,'Credited Service'!$G$1:$BC$80,$A64+1,FALSE)) * (IF($B64=500, (Assumptions!$B$7)*12, IF((HLOOKUP(G$2,Earnings!$G$2:$BC$81,('Yearly Pension'!$A64)+1, FALSE)) &gt; G$1, (Assumptions!$B$8)*(G$1) + (Assumptions!$B$9)*MAX(0,  (HLOOKUP(G$2,Earnings!$G$2:$BC$81,('Yearly Pension'!$A64)+1, FALSE)) - G$1), ((Assumptions!$B$8)*'Yearly Pension'!G$1))))</f>
        <v>0</v>
      </c>
      <c r="H64" s="6">
        <f>(HLOOKUP('Yearly Pension'!H$2,'Credited Service'!$G$1:$BC$80,$A64+1,FALSE)) * (IF($B64=500, (Assumptions!$B$7)*12, IF((HLOOKUP(H$2,Earnings!$G$2:$BC$81,('Yearly Pension'!$A64)+1, FALSE)) &gt; H$1, (Assumptions!$B$8)*(H$1) + (Assumptions!$B$9)*MAX(0,  (HLOOKUP(H$2,Earnings!$G$2:$BC$81,('Yearly Pension'!$A64)+1, FALSE)) - H$1), ((Assumptions!$B$8)*'Yearly Pension'!H$1))))</f>
        <v>0</v>
      </c>
      <c r="I64" s="6">
        <f>(HLOOKUP('Yearly Pension'!I$2,'Credited Service'!$G$1:$BC$80,$A64+1,FALSE)) * (IF($B64=500, (Assumptions!$B$7)*12, IF((HLOOKUP(I$2,Earnings!$G$2:$BC$81,('Yearly Pension'!$A64)+1, FALSE)) &gt; I$1, (Assumptions!$B$8)*(I$1) + (Assumptions!$B$9)*MAX(0,  (HLOOKUP(I$2,Earnings!$G$2:$BC$81,('Yearly Pension'!$A64)+1, FALSE)) - I$1), ((Assumptions!$B$8)*'Yearly Pension'!I$1))))</f>
        <v>0</v>
      </c>
      <c r="J64" s="6">
        <f>(HLOOKUP('Yearly Pension'!J$2,'Credited Service'!$G$1:$BC$80,$A64+1,FALSE)) * (IF($B64=500, (Assumptions!$B$7)*12, IF((HLOOKUP(J$2,Earnings!$G$2:$BC$81,('Yearly Pension'!$A64)+1, FALSE)) &gt; J$1, (Assumptions!$B$8)*(J$1) + (Assumptions!$B$9)*MAX(0,  (HLOOKUP(J$2,Earnings!$G$2:$BC$81,('Yearly Pension'!$A64)+1, FALSE)) - J$1), ((Assumptions!$B$8)*'Yearly Pension'!J$1))))</f>
        <v>0</v>
      </c>
      <c r="K64" s="6">
        <f>(HLOOKUP('Yearly Pension'!K$2,'Credited Service'!$G$1:$BC$80,$A64+1,FALSE)) * (IF($B64=500, (Assumptions!$B$7)*12, IF((HLOOKUP(K$2,Earnings!$G$2:$BC$81,('Yearly Pension'!$A64)+1, FALSE)) &gt; K$1, (Assumptions!$B$8)*(K$1) + (Assumptions!$B$9)*MAX(0,  (HLOOKUP(K$2,Earnings!$G$2:$BC$81,('Yearly Pension'!$A64)+1, FALSE)) - K$1), ((Assumptions!$B$8)*'Yearly Pension'!K$1))))</f>
        <v>0</v>
      </c>
      <c r="L64" s="6">
        <f>(HLOOKUP('Yearly Pension'!L$2,'Credited Service'!$G$1:$BC$80,$A64+1,FALSE)) * (IF($B64=500, (Assumptions!$B$7)*12, IF((HLOOKUP(L$2,Earnings!$G$2:$BC$81,('Yearly Pension'!$A64)+1, FALSE)) &gt; L$1, (Assumptions!$B$8)*(L$1) + (Assumptions!$B$9)*MAX(0,  (HLOOKUP(L$2,Earnings!$G$2:$BC$81,('Yearly Pension'!$A64)+1, FALSE)) - L$1), ((Assumptions!$B$8)*'Yearly Pension'!L$1))))</f>
        <v>0</v>
      </c>
      <c r="M64" s="6">
        <f>(HLOOKUP('Yearly Pension'!M$2,'Credited Service'!$G$1:$BC$80,$A64+1,FALSE)) * (IF($B64=500, (Assumptions!$B$7)*12, IF((HLOOKUP(M$2,Earnings!$G$2:$BC$81,('Yearly Pension'!$A64)+1, FALSE)) &gt; M$1, (Assumptions!$B$8)*(M$1) + (Assumptions!$B$9)*MAX(0,  (HLOOKUP(M$2,Earnings!$G$2:$BC$81,('Yearly Pension'!$A64)+1, FALSE)) - M$1), ((Assumptions!$B$8)*'Yearly Pension'!M$1))))</f>
        <v>0</v>
      </c>
      <c r="N64" s="6">
        <f>(HLOOKUP('Yearly Pension'!N$2,'Credited Service'!$G$1:$BC$80,$A64+1,FALSE)) * (IF($B64=500, (Assumptions!$B$7)*12, IF((HLOOKUP(N$2,Earnings!$G$2:$BC$81,('Yearly Pension'!$A64)+1, FALSE)) &gt; N$1, (Assumptions!$B$8)*(N$1) + (Assumptions!$B$9)*MAX(0,  (HLOOKUP(N$2,Earnings!$G$2:$BC$81,('Yearly Pension'!$A64)+1, FALSE)) - N$1), ((Assumptions!$B$8)*'Yearly Pension'!N$1))))</f>
        <v>0</v>
      </c>
      <c r="O64" s="6">
        <f>(HLOOKUP('Yearly Pension'!O$2,'Credited Service'!$G$1:$BC$80,$A64+1,FALSE)) * (IF($B64=500, (Assumptions!$B$7)*12, IF((HLOOKUP(O$2,Earnings!$G$2:$BC$81,('Yearly Pension'!$A64)+1, FALSE)) &gt; O$1, (Assumptions!$B$8)*(O$1) + (Assumptions!$B$9)*MAX(0,  (HLOOKUP(O$2,Earnings!$G$2:$BC$81,('Yearly Pension'!$A64)+1, FALSE)) - O$1), ((Assumptions!$B$8)*'Yearly Pension'!O$1))))</f>
        <v>0</v>
      </c>
      <c r="P64" s="6">
        <f>(HLOOKUP('Yearly Pension'!P$2,'Credited Service'!$G$1:$BC$80,$A64+1,FALSE)) * (IF($B64=500, (Assumptions!$B$7)*12, IF((HLOOKUP(P$2,Earnings!$G$2:$BC$81,('Yearly Pension'!$A64)+1, FALSE)) &gt; P$1, (Assumptions!$B$8)*(P$1) + (Assumptions!$B$9)*MAX(0,  (HLOOKUP(P$2,Earnings!$G$2:$BC$81,('Yearly Pension'!$A64)+1, FALSE)) - P$1), ((Assumptions!$B$8)*'Yearly Pension'!P$1))))</f>
        <v>0</v>
      </c>
      <c r="Q64" s="6">
        <f>(HLOOKUP('Yearly Pension'!Q$2,'Credited Service'!$G$1:$BC$80,$A64+1,FALSE)) * (IF($B64=500, (Assumptions!$B$7)*12, IF((HLOOKUP(Q$2,Earnings!$G$2:$BC$81,('Yearly Pension'!$A64)+1, FALSE)) &gt; Q$1, (Assumptions!$B$8)*(Q$1) + (Assumptions!$B$9)*MAX(0,  (HLOOKUP(Q$2,Earnings!$G$2:$BC$81,('Yearly Pension'!$A64)+1, FALSE)) - Q$1), ((Assumptions!$B$8)*'Yearly Pension'!Q$1))))</f>
        <v>0</v>
      </c>
      <c r="R64" s="6">
        <f>(HLOOKUP('Yearly Pension'!R$2,'Credited Service'!$G$1:$BC$80,$A64+1,FALSE)) * (IF($B64=500, (Assumptions!$B$7)*12, IF((HLOOKUP(R$2,Earnings!$G$2:$BC$81,('Yearly Pension'!$A64)+1, FALSE)) &gt; R$1, (Assumptions!$B$8)*(R$1) + (Assumptions!$B$9)*MAX(0,  (HLOOKUP(R$2,Earnings!$G$2:$BC$81,('Yearly Pension'!$A64)+1, FALSE)) - R$1), ((Assumptions!$B$8)*'Yearly Pension'!R$1))))</f>
        <v>334.01984915779309</v>
      </c>
      <c r="S64" s="6">
        <f>(HLOOKUP('Yearly Pension'!S$2,'Credited Service'!$G$1:$BC$80,$A64+1,FALSE)) * (IF($B64=500, (Assumptions!$B$7)*12, IF((HLOOKUP(S$2,Earnings!$G$2:$BC$81,('Yearly Pension'!$A64)+1, FALSE)) &gt; S$1, (Assumptions!$B$8)*(S$1) + (Assumptions!$B$9)*MAX(0,  (HLOOKUP(S$2,Earnings!$G$2:$BC$81,('Yearly Pension'!$A64)+1, FALSE)) - S$1), ((Assumptions!$B$8)*'Yearly Pension'!S$1))))</f>
        <v>594.61367392703664</v>
      </c>
      <c r="T64" s="6">
        <f>(HLOOKUP('Yearly Pension'!T$2,'Credited Service'!$G$1:$BC$80,$A64+1,FALSE)) * (IF($B64=500, (Assumptions!$B$7)*12, IF((HLOOKUP(T$2,Earnings!$G$2:$BC$81,('Yearly Pension'!$A64)+1, FALSE)) &gt; T$1, (Assumptions!$B$8)*(T$1) + (Assumptions!$B$9)*MAX(0,  (HLOOKUP(T$2,Earnings!$G$2:$BC$81,('Yearly Pension'!$A64)+1, FALSE)) - T$1), ((Assumptions!$B$8)*'Yearly Pension'!T$1))))</f>
        <v>617.80942088411814</v>
      </c>
      <c r="U64" s="6">
        <f>(HLOOKUP('Yearly Pension'!U$2,'Credited Service'!$G$1:$BC$80,$A64+1,FALSE)) * (IF($B64=500, (Assumptions!$B$7)*12, IF((HLOOKUP(U$2,Earnings!$G$2:$BC$81,('Yearly Pension'!$A64)+1, FALSE)) &gt; U$1, (Assumptions!$B$8)*(U$1) + (Assumptions!$B$9)*MAX(0,  (HLOOKUP(U$2,Earnings!$G$2:$BC$81,('Yearly Pension'!$A64)+1, FALSE)) - U$1), ((Assumptions!$B$8)*'Yearly Pension'!U$1))))</f>
        <v>639.68019771948298</v>
      </c>
      <c r="V64" s="6">
        <f>(HLOOKUP('Yearly Pension'!V$2,'Credited Service'!$G$1:$BC$80,$A64+1,FALSE)) * (IF($B64=500, (Assumptions!$B$7)*12, IF((HLOOKUP(V$2,Earnings!$G$2:$BC$81,('Yearly Pension'!$A64)+1, FALSE)) &gt; V$1, (Assumptions!$B$8)*(V$1) + (Assumptions!$B$9)*MAX(0,  (HLOOKUP(V$2,Earnings!$G$2:$BC$81,('Yearly Pension'!$A64)+1, FALSE)) - V$1), ((Assumptions!$B$8)*'Yearly Pension'!V$1))))</f>
        <v>662.19540562826228</v>
      </c>
      <c r="W64" s="6">
        <f>(HLOOKUP('Yearly Pension'!W$2,'Credited Service'!$G$1:$BC$80,$A64+1,FALSE)) * (IF($B64=500, (Assumptions!$B$7)*12, IF((HLOOKUP(W$2,Earnings!$G$2:$BC$81,('Yearly Pension'!$A64)+1, FALSE)) &gt; W$1, (Assumptions!$B$8)*(W$1) + (Assumptions!$B$9)*MAX(0,  (HLOOKUP(W$2,Earnings!$G$2:$BC$81,('Yearly Pension'!$A64)+1, FALSE)) - W$1), ((Assumptions!$B$8)*'Yearly Pension'!W$1))))</f>
        <v>689.24642185339292</v>
      </c>
      <c r="X64" s="6">
        <f>(HLOOKUP('Yearly Pension'!X$2,'Credited Service'!$G$1:$BC$80,$A64+1,FALSE)) * (IF($B64=500, (Assumptions!$B$7)*12, IF((HLOOKUP(X$2,Earnings!$G$2:$BC$81,('Yearly Pension'!$A64)+1, FALSE)) &gt; X$1, (Assumptions!$B$8)*(X$1) + (Assumptions!$B$9)*MAX(0,  (HLOOKUP(X$2,Earnings!$G$2:$BC$81,('Yearly Pension'!$A64)+1, FALSE)) - X$1), ((Assumptions!$B$8)*'Yearly Pension'!X$1))))</f>
        <v>718.9666787275288</v>
      </c>
      <c r="Y64" s="6">
        <f>(HLOOKUP('Yearly Pension'!Y$2,'Credited Service'!$G$1:$BC$80,$A64+1,FALSE)) * (IF($B64=500, (Assumptions!$B$7)*12, IF((HLOOKUP(Y$2,Earnings!$G$2:$BC$81,('Yearly Pension'!$A64)+1, FALSE)) &gt; Y$1, (Assumptions!$B$8)*(Y$1) + (Assumptions!$B$9)*MAX(0,  (HLOOKUP(Y$2,Earnings!$G$2:$BC$81,('Yearly Pension'!$A64)+1, FALSE)) - Y$1), ((Assumptions!$B$8)*'Yearly Pension'!Y$1))))</f>
        <v>753.33174587663007</v>
      </c>
      <c r="Z64" s="6">
        <f>(HLOOKUP('Yearly Pension'!Z$2,'Credited Service'!$G$1:$BC$80,$A64+1,FALSE)) * (IF($B64=500, (Assumptions!$B$7)*12, IF((HLOOKUP(Z$2,Earnings!$G$2:$BC$81,('Yearly Pension'!$A64)+1, FALSE)) &gt; Z$1, (Assumptions!$B$8)*(Z$1) + (Assumptions!$B$9)*MAX(0,  (HLOOKUP(Z$2,Earnings!$G$2:$BC$81,('Yearly Pension'!$A64)+1, FALSE)) - Z$1), ((Assumptions!$B$8)*'Yearly Pension'!Z$1))))</f>
        <v>789.19941571169511</v>
      </c>
      <c r="AA64" s="6">
        <f>(HLOOKUP('Yearly Pension'!AA$2,'Credited Service'!$G$1:$BC$80,$A64+1,FALSE)) * (IF($B64=500, (Assumptions!$B$7)*12, IF((HLOOKUP(AA$2,Earnings!$G$2:$BC$81,('Yearly Pension'!$A64)+1, FALSE)) &gt; AA$1, (Assumptions!$B$8)*(AA$1) + (Assumptions!$B$9)*MAX(0,  (HLOOKUP(AA$2,Earnings!$G$2:$BC$81,('Yearly Pension'!$A64)+1, FALSE)) - AA$1), ((Assumptions!$B$8)*'Yearly Pension'!AA$1))))</f>
        <v>827.26979234016289</v>
      </c>
      <c r="AB64" s="6">
        <f>(HLOOKUP('Yearly Pension'!AB$2,'Credited Service'!$G$1:$BC$80,$A64+1,FALSE)) * (IF($B64=500, (Assumptions!$B$7)*12, IF((HLOOKUP(AB$2,Earnings!$G$2:$BC$81,('Yearly Pension'!$A64)+1, FALSE)) &gt; AB$1, (Assumptions!$B$8)*(AB$1) + (Assumptions!$B$9)*MAX(0,  (HLOOKUP(AB$2,Earnings!$G$2:$BC$81,('Yearly Pension'!$A64)+1, FALSE)) - AB$1), ((Assumptions!$B$8)*'Yearly Pension'!AB$1))))</f>
        <v>862.48538403376949</v>
      </c>
      <c r="AC64" s="6">
        <f>(HLOOKUP('Yearly Pension'!AC$2,'Credited Service'!$G$1:$BC$80,$A64+1,FALSE)) * (IF($B64=500, (Assumptions!$B$7)*12, IF((HLOOKUP(AC$2,Earnings!$G$2:$BC$81,('Yearly Pension'!$A64)+1, FALSE)) &gt; AC$1, (Assumptions!$B$8)*(AC$1) + (Assumptions!$B$9)*MAX(0,  (HLOOKUP(AC$2,Earnings!$G$2:$BC$81,('Yearly Pension'!$A64)+1, FALSE)) - AC$1), ((Assumptions!$B$8)*'Yearly Pension'!AC$1))))</f>
        <v>903.23119939512037</v>
      </c>
      <c r="AD64" s="6">
        <f>(HLOOKUP('Yearly Pension'!AD$2,'Credited Service'!$G$1:$BC$80,$A64+1,FALSE)) * (IF($B64=500, (Assumptions!$B$7)*12, IF((HLOOKUP(AD$2,Earnings!$G$2:$BC$81,('Yearly Pension'!$A64)+1, FALSE)) &gt; AD$1, (Assumptions!$B$8)*(AD$1) + (Assumptions!$B$9)*MAX(0,  (HLOOKUP(AD$2,Earnings!$G$2:$BC$81,('Yearly Pension'!$A64)+1, FALSE)) - AD$1), ((Assumptions!$B$8)*'Yearly Pension'!AD$1))))</f>
        <v>947.65484737092515</v>
      </c>
      <c r="AE64" s="6">
        <f>(HLOOKUP('Yearly Pension'!AE$2,'Credited Service'!$G$1:$BC$80,$A64+1,FALSE)) * (IF($B64=500, (Assumptions!$B$7)*12, IF((HLOOKUP(AE$2,Earnings!$G$2:$BC$81,('Yearly Pension'!$A64)+1, FALSE)) &gt; AE$1, (Assumptions!$B$8)*(AE$1) + (Assumptions!$B$9)*MAX(0,  (HLOOKUP(AE$2,Earnings!$G$2:$BC$81,('Yearly Pension'!$A64)+1, FALSE)) - AE$1), ((Assumptions!$B$8)*'Yearly Pension'!AE$1))))</f>
        <v>990.70664126576219</v>
      </c>
      <c r="AF64" s="6">
        <f>(HLOOKUP('Yearly Pension'!AF$2,'Credited Service'!$G$1:$BC$80,$A64+1,FALSE)) * (IF($B64=500, (Assumptions!$B$7)*12, IF((HLOOKUP(AF$2,Earnings!$G$2:$BC$81,('Yearly Pension'!$A64)+1, FALSE)) &gt; AF$1, (Assumptions!$B$8)*(AF$1) + (Assumptions!$B$9)*MAX(0,  (HLOOKUP(AF$2,Earnings!$G$2:$BC$81,('Yearly Pension'!$A64)+1, FALSE)) - AF$1), ((Assumptions!$B$8)*'Yearly Pension'!AF$1))))</f>
        <v>1035.0197069163928</v>
      </c>
      <c r="AG64" s="6">
        <f>(HLOOKUP('Yearly Pension'!AG$2,'Credited Service'!$G$1:$BC$80,$A64+1,FALSE)) * (IF($B64=500, (Assumptions!$B$7)*12, IF((HLOOKUP(AG$2,Earnings!$G$2:$BC$81,('Yearly Pension'!$A64)+1, FALSE)) &gt; AG$1, (Assumptions!$B$8)*(AG$1) + (Assumptions!$B$9)*MAX(0,  (HLOOKUP(AG$2,Earnings!$G$2:$BC$81,('Yearly Pension'!$A64)+1, FALSE)) - AG$1), ((Assumptions!$B$8)*'Yearly Pension'!AG$1))))</f>
        <v>1081.3100951930485</v>
      </c>
      <c r="AH64" s="6">
        <f>(HLOOKUP('Yearly Pension'!AH$2,'Credited Service'!$G$1:$BC$80,$A64+1,FALSE)) * (IF($B64=500, (Assumptions!$B$7)*12, IF((HLOOKUP(AH$2,Earnings!$G$2:$BC$81,('Yearly Pension'!$A64)+1, FALSE)) &gt; AH$1, (Assumptions!$B$8)*(AH$1) + (Assumptions!$B$9)*MAX(0,  (HLOOKUP(AH$2,Earnings!$G$2:$BC$81,('Yearly Pension'!$A64)+1, FALSE)) - AH$1), ((Assumptions!$B$8)*'Yearly Pension'!AH$1))))</f>
        <v>1130.9368990007702</v>
      </c>
      <c r="AI64" s="6">
        <f>(HLOOKUP('Yearly Pension'!AI$2,'Credited Service'!$G$1:$BC$80,$A64+1,FALSE)) * (IF($B64=500, (Assumptions!$B$7)*12, IF((HLOOKUP(AI$2,Earnings!$G$2:$BC$81,('Yearly Pension'!$A64)+1, FALSE)) &gt; AI$1, (Assumptions!$B$8)*(AI$1) + (Assumptions!$B$9)*MAX(0,  (HLOOKUP(AI$2,Earnings!$G$2:$BC$81,('Yearly Pension'!$A64)+1, FALSE)) - AI$1), ((Assumptions!$B$8)*'Yearly Pension'!AI$1))))</f>
        <v>1182.7023749608011</v>
      </c>
      <c r="AJ64" s="6">
        <f>(HLOOKUP('Yearly Pension'!AJ$2,'Credited Service'!$G$1:$BC$80,$A64+1,FALSE)) * (IF($B64=500, (Assumptions!$B$7)*12, IF((HLOOKUP(AJ$2,Earnings!$G$2:$BC$81,('Yearly Pension'!$A64)+1, FALSE)) &gt; AJ$1, (Assumptions!$B$8)*(AJ$1) + (Assumptions!$B$9)*MAX(0,  (HLOOKUP(AJ$2,Earnings!$G$2:$BC$81,('Yearly Pension'!$A64)+1, FALSE)) - AJ$1), ((Assumptions!$B$8)*'Yearly Pension'!AJ$1))))</f>
        <v>1234.1320699592329</v>
      </c>
      <c r="AK64" s="6">
        <f>(HLOOKUP('Yearly Pension'!AK$2,'Credited Service'!$G$1:$BC$80,$A64+1,FALSE)) * (IF($B64=500, (Assumptions!$B$7)*12, IF((HLOOKUP(AK$2,Earnings!$G$2:$BC$81,('Yearly Pension'!$A64)+1, FALSE)) &gt; AK$1, (Assumptions!$B$8)*(AK$1) + (Assumptions!$B$9)*MAX(0,  (HLOOKUP(AK$2,Earnings!$G$2:$BC$81,('Yearly Pension'!$A64)+1, FALSE)) - AK$1), ((Assumptions!$B$8)*'Yearly Pension'!AK$1))))</f>
        <v>1284.0349527576022</v>
      </c>
      <c r="AL64" s="6">
        <f>(HLOOKUP('Yearly Pension'!AL$2,'Credited Service'!$G$1:$BC$80,$A64+1,FALSE)) * (IF($B64=500, (Assumptions!$B$7)*12, IF((HLOOKUP(AL$2,Earnings!$G$2:$BC$81,('Yearly Pension'!$A64)+1, FALSE)) &gt; AL$1, (Assumptions!$B$8)*(AL$1) + (Assumptions!$B$9)*MAX(0,  (HLOOKUP(AL$2,Earnings!$G$2:$BC$81,('Yearly Pension'!$A64)+1, FALSE)) - AL$1), ((Assumptions!$B$8)*'Yearly Pension'!AL$1))))</f>
        <v>1338.9035508679067</v>
      </c>
      <c r="AM64" s="6">
        <f>(HLOOKUP('Yearly Pension'!AM$2,'Credited Service'!$G$1:$BC$80,$A64+1,FALSE)) * (IF($B64=500, (Assumptions!$B$7)*12, IF((HLOOKUP(AM$2,Earnings!$G$2:$BC$81,('Yearly Pension'!$A64)+1, FALSE)) &gt; AM$1, (Assumptions!$B$8)*(AM$1) + (Assumptions!$B$9)*MAX(0,  (HLOOKUP(AM$2,Earnings!$G$2:$BC$81,('Yearly Pension'!$A64)+1, FALSE)) - AM$1), ((Assumptions!$B$8)*'Yearly Pension'!AM$1))))</f>
        <v>1394.9940929026229</v>
      </c>
      <c r="AN64" s="6">
        <f>(HLOOKUP('Yearly Pension'!AN$2,'Credited Service'!$G$1:$BC$80,$A64+1,FALSE)) * (IF($B64=500, (Assumptions!$B$7)*12, IF((HLOOKUP(AN$2,Earnings!$G$2:$BC$81,('Yearly Pension'!$A64)+1, FALSE)) &gt; AN$1, (Assumptions!$B$8)*(AN$1) + (Assumptions!$B$9)*MAX(0,  (HLOOKUP(AN$2,Earnings!$G$2:$BC$81,('Yearly Pension'!$A64)+1, FALSE)) - AN$1), ((Assumptions!$B$8)*'Yearly Pension'!AN$1))))</f>
        <v>1456.886656618728</v>
      </c>
      <c r="AO64" s="6">
        <f>(HLOOKUP('Yearly Pension'!AO$2,'Credited Service'!$G$1:$BC$80,$A64+1,FALSE)) * (IF($B64=500, (Assumptions!$B$7)*12, IF((HLOOKUP(AO$2,Earnings!$G$2:$BC$81,('Yearly Pension'!$A64)+1, FALSE)) &gt; AO$1, (Assumptions!$B$8)*(AO$1) + (Assumptions!$B$9)*MAX(0,  (HLOOKUP(AO$2,Earnings!$G$2:$BC$81,('Yearly Pension'!$A64)+1, FALSE)) - AO$1), ((Assumptions!$B$8)*'Yearly Pension'!AO$1))))</f>
        <v>1520.2053228834773</v>
      </c>
      <c r="AP64" s="6">
        <f>(HLOOKUP('Yearly Pension'!AP$2,'Credited Service'!$G$1:$BC$80,$A64+1,FALSE)) * (IF($B64=500, (Assumptions!$B$7)*12, IF((HLOOKUP(AP$2,Earnings!$G$2:$BC$81,('Yearly Pension'!$A64)+1, FALSE)) &gt; AP$1, (Assumptions!$B$8)*(AP$1) + (Assumptions!$B$9)*MAX(0,  (HLOOKUP(AP$2,Earnings!$G$2:$BC$81,('Yearly Pension'!$A64)+1, FALSE)) - AP$1), ((Assumptions!$B$8)*'Yearly Pension'!AP$1))))</f>
        <v>1581.8583357988164</v>
      </c>
      <c r="AQ64" s="6">
        <f>(HLOOKUP('Yearly Pension'!AQ$2,'Credited Service'!$G$1:$BC$80,$A64+1,FALSE)) * (IF($B64=500, (Assumptions!$B$7)*12, IF((HLOOKUP(AQ$2,Earnings!$G$2:$BC$81,('Yearly Pension'!$A64)+1, FALSE)) &gt; AQ$1, (Assumptions!$B$8)*(AQ$1) + (Assumptions!$B$9)*MAX(0,  (HLOOKUP(AQ$2,Earnings!$G$2:$BC$81,('Yearly Pension'!$A64)+1, FALSE)) - AQ$1), ((Assumptions!$B$8)*'Yearly Pension'!AQ$1))))</f>
        <v>1651.5582692307689</v>
      </c>
      <c r="AR64" s="6">
        <f>(HLOOKUP('Yearly Pension'!AR$2,'Credited Service'!$G$1:$BC$80,$A64+1,FALSE)) * (IF($B64=500, (Assumptions!$B$7)*12, IF((HLOOKUP(AR$2,Earnings!$G$2:$BC$81,('Yearly Pension'!$A64)+1, FALSE)) &gt; AR$1, (Assumptions!$B$8)*(AR$1) + (Assumptions!$B$9)*MAX(0,  (HLOOKUP(AR$2,Earnings!$G$2:$BC$81,('Yearly Pension'!$A64)+1, FALSE)) - AR$1), ((Assumptions!$B$8)*'Yearly Pension'!AR$1))))</f>
        <v>1721.7422000000001</v>
      </c>
      <c r="AS64" s="6">
        <f>(HLOOKUP('Yearly Pension'!AS$2,'Credited Service'!$G$1:$BC$80,$A64+1,FALSE)) * (IF($B64=500, (Assumptions!$B$7)*12, IF((HLOOKUP(AS$2,Earnings!$G$2:$BC$81,('Yearly Pension'!$A64)+1, FALSE)) &gt; AS$1, (Assumptions!$B$8)*(AS$1) + (Assumptions!$B$9)*MAX(0,  (HLOOKUP(AS$2,Earnings!$G$2:$BC$81,('Yearly Pension'!$A64)+1, FALSE)) - AS$1), ((Assumptions!$B$8)*'Yearly Pension'!AS$1))))</f>
        <v>1776.4344659999997</v>
      </c>
      <c r="AT64" s="6">
        <f>(HLOOKUP('Yearly Pension'!AT$2,'Credited Service'!$G$1:$BC$80,$A64+1,FALSE)) * (IF($B64=500, (Assumptions!$B$7)*12, IF((HLOOKUP(AT$2,Earnings!$G$2:$BC$81,('Yearly Pension'!$A64)+1, FALSE)) &gt; AT$1, (Assumptions!$B$8)*(AT$1) + (Assumptions!$B$9)*MAX(0,  (HLOOKUP(AT$2,Earnings!$G$2:$BC$81,('Yearly Pension'!$A64)+1, FALSE)) - AT$1), ((Assumptions!$B$8)*'Yearly Pension'!AT$1))))</f>
        <v>1831.6986999800001</v>
      </c>
      <c r="AU64" s="6">
        <f>(HLOOKUP('Yearly Pension'!AU$2,'Credited Service'!$G$1:$BC$80,$A64+1,FALSE)) * (IF($B64=500, (Assumptions!$B$7)*12, IF((HLOOKUP(AU$2,Earnings!$G$2:$BC$81,('Yearly Pension'!$A64)+1, FALSE)) &gt; AU$1, (Assumptions!$B$8)*(AU$1) + (Assumptions!$B$9)*MAX(0,  (HLOOKUP(AU$2,Earnings!$G$2:$BC$81,('Yearly Pension'!$A64)+1, FALSE)) - AU$1), ((Assumptions!$B$8)*'Yearly Pension'!AU$1))))</f>
        <v>1894.6304609794001</v>
      </c>
      <c r="AV64" s="6">
        <f>(HLOOKUP('Yearly Pension'!AV$2,'Credited Service'!$G$1:$BC$80,$A64+1,FALSE)) * (IF($B64=500, (Assumptions!$B$7)*12, IF((HLOOKUP(AV$2,Earnings!$G$2:$BC$81,('Yearly Pension'!$A64)+1, FALSE)) &gt; AV$1, (Assumptions!$B$8)*(AV$1) + (Assumptions!$B$9)*MAX(0,  (HLOOKUP(AV$2,Earnings!$G$2:$BC$81,('Yearly Pension'!$A64)+1, FALSE)) - AV$1), ((Assumptions!$B$8)*'Yearly Pension'!AV$1))))</f>
        <v>1958.2469748087822</v>
      </c>
      <c r="AW64" s="6">
        <f>(HLOOKUP('Yearly Pension'!AW$2,'Credited Service'!$G$1:$BC$80,$A64+1,FALSE)) * (IF($B64=500, (Assumptions!$B$7)*12, IF((HLOOKUP(AW$2,Earnings!$G$2:$BC$81,('Yearly Pension'!$A64)+1, FALSE)) &gt; AW$1, (Assumptions!$B$8)*(AW$1) + (Assumptions!$B$9)*MAX(0,  (HLOOKUP(AW$2,Earnings!$G$2:$BC$81,('Yearly Pension'!$A64)+1, FALSE)) - AW$1), ((Assumptions!$B$8)*'Yearly Pension'!AW$1))))</f>
        <v>2018.1271840530458</v>
      </c>
      <c r="AX64" s="6">
        <f>(HLOOKUP('Yearly Pension'!AX$2,'Credited Service'!$G$1:$BC$80,$A64+1,FALSE)) * (IF($B64=500, (Assumptions!$B$7)*12, IF((HLOOKUP(AX$2,Earnings!$G$2:$BC$81,('Yearly Pension'!$A64)+1, FALSE)) &gt; AX$1, (Assumptions!$B$8)*(AX$1) + (Assumptions!$B$9)*MAX(0,  (HLOOKUP(AX$2,Earnings!$G$2:$BC$81,('Yearly Pension'!$A64)+1, FALSE)) - AX$1), ((Assumptions!$B$8)*'Yearly Pension'!AX$1))))</f>
        <v>2074.9973995746368</v>
      </c>
      <c r="AY64" s="6">
        <f>(HLOOKUP('Yearly Pension'!AY$2,'Credited Service'!$G$1:$BC$80,$A64+1,FALSE)) * (IF($B64=500, (Assumptions!$B$7)*12, IF((HLOOKUP(AY$2,Earnings!$G$2:$BC$81,('Yearly Pension'!$A64)+1, FALSE)) &gt; AY$1, (Assumptions!$B$8)*(AY$1) + (Assumptions!$B$9)*MAX(0,  (HLOOKUP(AY$2,Earnings!$G$2:$BC$81,('Yearly Pension'!$A64)+1, FALSE)) - AY$1), ((Assumptions!$B$8)*'Yearly Pension'!AY$1))))</f>
        <v>2133.4267775618764</v>
      </c>
      <c r="AZ64" s="6">
        <f>(HLOOKUP('Yearly Pension'!AZ$2,'Credited Service'!$G$1:$BC$80,$A64+1,FALSE)) * (IF($B64=500, (Assumptions!$B$7)*12, IF((HLOOKUP(AZ$2,Earnings!$G$2:$BC$81,('Yearly Pension'!$A64)+1, FALSE)) &gt; AZ$1, (Assumptions!$B$8)*(AZ$1) + (Assumptions!$B$9)*MAX(0,  (HLOOKUP(AZ$2,Earnings!$G$2:$BC$81,('Yearly Pension'!$A64)+1, FALSE)) - AZ$1), ((Assumptions!$B$8)*'Yearly Pension'!AZ$1))))</f>
        <v>2193.4562151287328</v>
      </c>
      <c r="BA64" s="6">
        <f>(HLOOKUP('Yearly Pension'!BA$2,'Credited Service'!$G$1:$BC$80,$A64+1,FALSE)) * (IF($B64=500, (Assumptions!$B$7)*12, IF((HLOOKUP(BA$2,Earnings!$G$2:$BC$81,('Yearly Pension'!$A64)+1, FALSE)) &gt; BA$1, (Assumptions!$B$8)*(BA$1) + (Assumptions!$B$9)*MAX(0,  (HLOOKUP(BA$2,Earnings!$G$2:$BC$81,('Yearly Pension'!$A64)+1, FALSE)) - BA$1), ((Assumptions!$B$8)*'Yearly Pension'!BA$1))))</f>
        <v>2255.127601192195</v>
      </c>
      <c r="BB64" s="6">
        <f>(HLOOKUP('Yearly Pension'!BB$2,'Credited Service'!$G$1:$BC$80,$A64+1,FALSE)) * (IF($B64=500, (Assumptions!$B$7)*12, IF((HLOOKUP(BB$2,Earnings!$G$2:$BC$81,('Yearly Pension'!$A64)+1, FALSE)) &gt; BB$1, (Assumptions!$B$8)*(BB$1) + (Assumptions!$B$9)*MAX(0,  (HLOOKUP(BB$2,Earnings!$G$2:$BC$81,('Yearly Pension'!$A64)+1, FALSE)) - BB$1), ((Assumptions!$B$8)*'Yearly Pension'!BB$1))))</f>
        <v>2318.4838368219448</v>
      </c>
      <c r="BC64" s="6">
        <f>(HLOOKUP('Yearly Pension'!BC$2,'Credited Service'!$G$1:$BC$80,$A64+1,FALSE)) * (IF($B64=500, (Assumptions!$B$7)*12, IF((HLOOKUP(BC$2,Earnings!$G$2:$BC$81,('Yearly Pension'!$A64)+1, FALSE)) &gt; BC$1, (Assumptions!$B$8)*(BC$1) + (Assumptions!$B$9)*MAX(0,  (HLOOKUP(BC$2,Earnings!$G$2:$BC$81,('Yearly Pension'!$A64)+1, FALSE)) - BC$1), ((Assumptions!$B$8)*'Yearly Pension'!BC$1))))</f>
        <v>2383.5688558243464</v>
      </c>
    </row>
    <row r="65" spans="1:55" x14ac:dyDescent="0.25">
      <c r="A65" s="204">
        <v>63</v>
      </c>
      <c r="B65" s="1">
        <v>600</v>
      </c>
      <c r="C65" s="1">
        <v>579</v>
      </c>
      <c r="D65" s="3">
        <v>32295</v>
      </c>
      <c r="E65" s="3">
        <v>48214</v>
      </c>
      <c r="G65" s="6">
        <f>(HLOOKUP('Yearly Pension'!G$2,'Credited Service'!$G$1:$BC$80,$A65+1,FALSE)) * (IF($B65=500, (Assumptions!$B$7)*12, IF((HLOOKUP(G$2,Earnings!$G$2:$BC$81,('Yearly Pension'!$A65)+1, FALSE)) &gt; G$1, (Assumptions!$B$8)*(G$1) + (Assumptions!$B$9)*MAX(0,  (HLOOKUP(G$2,Earnings!$G$2:$BC$81,('Yearly Pension'!$A65)+1, FALSE)) - G$1), ((Assumptions!$B$8)*'Yearly Pension'!G$1))))</f>
        <v>0</v>
      </c>
      <c r="H65" s="6">
        <f>(HLOOKUP('Yearly Pension'!H$2,'Credited Service'!$G$1:$BC$80,$A65+1,FALSE)) * (IF($B65=500, (Assumptions!$B$7)*12, IF((HLOOKUP(H$2,Earnings!$G$2:$BC$81,('Yearly Pension'!$A65)+1, FALSE)) &gt; H$1, (Assumptions!$B$8)*(H$1) + (Assumptions!$B$9)*MAX(0,  (HLOOKUP(H$2,Earnings!$G$2:$BC$81,('Yearly Pension'!$A65)+1, FALSE)) - H$1), ((Assumptions!$B$8)*'Yearly Pension'!H$1))))</f>
        <v>0</v>
      </c>
      <c r="I65" s="6">
        <f>(HLOOKUP('Yearly Pension'!I$2,'Credited Service'!$G$1:$BC$80,$A65+1,FALSE)) * (IF($B65=500, (Assumptions!$B$7)*12, IF((HLOOKUP(I$2,Earnings!$G$2:$BC$81,('Yearly Pension'!$A65)+1, FALSE)) &gt; I$1, (Assumptions!$B$8)*(I$1) + (Assumptions!$B$9)*MAX(0,  (HLOOKUP(I$2,Earnings!$G$2:$BC$81,('Yearly Pension'!$A65)+1, FALSE)) - I$1), ((Assumptions!$B$8)*'Yearly Pension'!I$1))))</f>
        <v>0</v>
      </c>
      <c r="J65" s="6">
        <f>(HLOOKUP('Yearly Pension'!J$2,'Credited Service'!$G$1:$BC$80,$A65+1,FALSE)) * (IF($B65=500, (Assumptions!$B$7)*12, IF((HLOOKUP(J$2,Earnings!$G$2:$BC$81,('Yearly Pension'!$A65)+1, FALSE)) &gt; J$1, (Assumptions!$B$8)*(J$1) + (Assumptions!$B$9)*MAX(0,  (HLOOKUP(J$2,Earnings!$G$2:$BC$81,('Yearly Pension'!$A65)+1, FALSE)) - J$1), ((Assumptions!$B$8)*'Yearly Pension'!J$1))))</f>
        <v>0</v>
      </c>
      <c r="K65" s="6">
        <f>(HLOOKUP('Yearly Pension'!K$2,'Credited Service'!$G$1:$BC$80,$A65+1,FALSE)) * (IF($B65=500, (Assumptions!$B$7)*12, IF((HLOOKUP(K$2,Earnings!$G$2:$BC$81,('Yearly Pension'!$A65)+1, FALSE)) &gt; K$1, (Assumptions!$B$8)*(K$1) + (Assumptions!$B$9)*MAX(0,  (HLOOKUP(K$2,Earnings!$G$2:$BC$81,('Yearly Pension'!$A65)+1, FALSE)) - K$1), ((Assumptions!$B$8)*'Yearly Pension'!K$1))))</f>
        <v>0</v>
      </c>
      <c r="L65" s="6">
        <f>(HLOOKUP('Yearly Pension'!L$2,'Credited Service'!$G$1:$BC$80,$A65+1,FALSE)) * (IF($B65=500, (Assumptions!$B$7)*12, IF((HLOOKUP(L$2,Earnings!$G$2:$BC$81,('Yearly Pension'!$A65)+1, FALSE)) &gt; L$1, (Assumptions!$B$8)*(L$1) + (Assumptions!$B$9)*MAX(0,  (HLOOKUP(L$2,Earnings!$G$2:$BC$81,('Yearly Pension'!$A65)+1, FALSE)) - L$1), ((Assumptions!$B$8)*'Yearly Pension'!L$1))))</f>
        <v>0</v>
      </c>
      <c r="M65" s="6">
        <f>(HLOOKUP('Yearly Pension'!M$2,'Credited Service'!$G$1:$BC$80,$A65+1,FALSE)) * (IF($B65=500, (Assumptions!$B$7)*12, IF((HLOOKUP(M$2,Earnings!$G$2:$BC$81,('Yearly Pension'!$A65)+1, FALSE)) &gt; M$1, (Assumptions!$B$8)*(M$1) + (Assumptions!$B$9)*MAX(0,  (HLOOKUP(M$2,Earnings!$G$2:$BC$81,('Yearly Pension'!$A65)+1, FALSE)) - M$1), ((Assumptions!$B$8)*'Yearly Pension'!M$1))))</f>
        <v>0</v>
      </c>
      <c r="N65" s="6">
        <f>(HLOOKUP('Yearly Pension'!N$2,'Credited Service'!$G$1:$BC$80,$A65+1,FALSE)) * (IF($B65=500, (Assumptions!$B$7)*12, IF((HLOOKUP(N$2,Earnings!$G$2:$BC$81,('Yearly Pension'!$A65)+1, FALSE)) &gt; N$1, (Assumptions!$B$8)*(N$1) + (Assumptions!$B$9)*MAX(0,  (HLOOKUP(N$2,Earnings!$G$2:$BC$81,('Yearly Pension'!$A65)+1, FALSE)) - N$1), ((Assumptions!$B$8)*'Yearly Pension'!N$1))))</f>
        <v>0</v>
      </c>
      <c r="O65" s="6">
        <f>(HLOOKUP('Yearly Pension'!O$2,'Credited Service'!$G$1:$BC$80,$A65+1,FALSE)) * (IF($B65=500, (Assumptions!$B$7)*12, IF((HLOOKUP(O$2,Earnings!$G$2:$BC$81,('Yearly Pension'!$A65)+1, FALSE)) &gt; O$1, (Assumptions!$B$8)*(O$1) + (Assumptions!$B$9)*MAX(0,  (HLOOKUP(O$2,Earnings!$G$2:$BC$81,('Yearly Pension'!$A65)+1, FALSE)) - O$1), ((Assumptions!$B$8)*'Yearly Pension'!O$1))))</f>
        <v>0</v>
      </c>
      <c r="P65" s="6">
        <f>(HLOOKUP('Yearly Pension'!P$2,'Credited Service'!$G$1:$BC$80,$A65+1,FALSE)) * (IF($B65=500, (Assumptions!$B$7)*12, IF((HLOOKUP(P$2,Earnings!$G$2:$BC$81,('Yearly Pension'!$A65)+1, FALSE)) &gt; P$1, (Assumptions!$B$8)*(P$1) + (Assumptions!$B$9)*MAX(0,  (HLOOKUP(P$2,Earnings!$G$2:$BC$81,('Yearly Pension'!$A65)+1, FALSE)) - P$1), ((Assumptions!$B$8)*'Yearly Pension'!P$1))))</f>
        <v>0</v>
      </c>
      <c r="Q65" s="6">
        <f>(HLOOKUP('Yearly Pension'!Q$2,'Credited Service'!$G$1:$BC$80,$A65+1,FALSE)) * (IF($B65=500, (Assumptions!$B$7)*12, IF((HLOOKUP(Q$2,Earnings!$G$2:$BC$81,('Yearly Pension'!$A65)+1, FALSE)) &gt; Q$1, (Assumptions!$B$8)*(Q$1) + (Assumptions!$B$9)*MAX(0,  (HLOOKUP(Q$2,Earnings!$G$2:$BC$81,('Yearly Pension'!$A65)+1, FALSE)) - Q$1), ((Assumptions!$B$8)*'Yearly Pension'!Q$1))))</f>
        <v>0</v>
      </c>
      <c r="R65" s="6">
        <f>(HLOOKUP('Yearly Pension'!R$2,'Credited Service'!$G$1:$BC$80,$A65+1,FALSE)) * (IF($B65=500, (Assumptions!$B$7)*12, IF((HLOOKUP(R$2,Earnings!$G$2:$BC$81,('Yearly Pension'!$A65)+1, FALSE)) &gt; R$1, (Assumptions!$B$8)*(R$1) + (Assumptions!$B$9)*MAX(0,  (HLOOKUP(R$2,Earnings!$G$2:$BC$81,('Yearly Pension'!$A65)+1, FALSE)) - R$1), ((Assumptions!$B$8)*'Yearly Pension'!R$1))))</f>
        <v>337.49068349700735</v>
      </c>
      <c r="S65" s="6">
        <f>(HLOOKUP('Yearly Pension'!S$2,'Credited Service'!$G$1:$BC$80,$A65+1,FALSE)) * (IF($B65=500, (Assumptions!$B$7)*12, IF((HLOOKUP(S$2,Earnings!$G$2:$BC$81,('Yearly Pension'!$A65)+1, FALSE)) &gt; S$1, (Assumptions!$B$8)*(S$1) + (Assumptions!$B$9)*MAX(0,  (HLOOKUP(S$2,Earnings!$G$2:$BC$81,('Yearly Pension'!$A65)+1, FALSE)) - S$1), ((Assumptions!$B$8)*'Yearly Pension'!S$1))))</f>
        <v>600.80167572037885</v>
      </c>
      <c r="T65" s="6">
        <f>(HLOOKUP('Yearly Pension'!T$2,'Credited Service'!$G$1:$BC$80,$A65+1,FALSE)) * (IF($B65=500, (Assumptions!$B$7)*12, IF((HLOOKUP(T$2,Earnings!$G$2:$BC$81,('Yearly Pension'!$A65)+1, FALSE)) &gt; T$1, (Assumptions!$B$8)*(T$1) + (Assumptions!$B$9)*MAX(0,  (HLOOKUP(T$2,Earnings!$G$2:$BC$81,('Yearly Pension'!$A65)+1, FALSE)) - T$1), ((Assumptions!$B$8)*'Yearly Pension'!T$1))))</f>
        <v>624.24494274919402</v>
      </c>
      <c r="U65" s="6">
        <f>(HLOOKUP('Yearly Pension'!U$2,'Credited Service'!$G$1:$BC$80,$A65+1,FALSE)) * (IF($B65=500, (Assumptions!$B$7)*12, IF((HLOOKUP(U$2,Earnings!$G$2:$BC$81,('Yearly Pension'!$A65)+1, FALSE)) &gt; U$1, (Assumptions!$B$8)*(U$1) + (Assumptions!$B$9)*MAX(0,  (HLOOKUP(U$2,Earnings!$G$2:$BC$81,('Yearly Pension'!$A65)+1, FALSE)) - U$1), ((Assumptions!$B$8)*'Yearly Pension'!U$1))))</f>
        <v>646.37314045916173</v>
      </c>
      <c r="V65" s="6">
        <f>(HLOOKUP('Yearly Pension'!V$2,'Credited Service'!$G$1:$BC$80,$A65+1,FALSE)) * (IF($B65=500, (Assumptions!$B$7)*12, IF((HLOOKUP(V$2,Earnings!$G$2:$BC$81,('Yearly Pension'!$A65)+1, FALSE)) &gt; V$1, (Assumptions!$B$8)*(V$1) + (Assumptions!$B$9)*MAX(0,  (HLOOKUP(V$2,Earnings!$G$2:$BC$81,('Yearly Pension'!$A65)+1, FALSE)) - V$1), ((Assumptions!$B$8)*'Yearly Pension'!V$1))))</f>
        <v>669.15606607752829</v>
      </c>
      <c r="W65" s="6">
        <f>(HLOOKUP('Yearly Pension'!W$2,'Credited Service'!$G$1:$BC$80,$A65+1,FALSE)) * (IF($B65=500, (Assumptions!$B$7)*12, IF((HLOOKUP(W$2,Earnings!$G$2:$BC$81,('Yearly Pension'!$A65)+1, FALSE)) &gt; W$1, (Assumptions!$B$8)*(W$1) + (Assumptions!$B$9)*MAX(0,  (HLOOKUP(W$2,Earnings!$G$2:$BC$81,('Yearly Pension'!$A65)+1, FALSE)) - W$1), ((Assumptions!$B$8)*'Yearly Pension'!W$1))))</f>
        <v>696.48550872062958</v>
      </c>
      <c r="X65" s="6">
        <f>(HLOOKUP('Yearly Pension'!X$2,'Credited Service'!$G$1:$BC$80,$A65+1,FALSE)) * (IF($B65=500, (Assumptions!$B$7)*12, IF((HLOOKUP(X$2,Earnings!$G$2:$BC$81,('Yearly Pension'!$A65)+1, FALSE)) &gt; X$1, (Assumptions!$B$8)*(X$1) + (Assumptions!$B$9)*MAX(0,  (HLOOKUP(X$2,Earnings!$G$2:$BC$81,('Yearly Pension'!$A65)+1, FALSE)) - X$1), ((Assumptions!$B$8)*'Yearly Pension'!X$1))))</f>
        <v>726.49532906945478</v>
      </c>
      <c r="Y65" s="6">
        <f>(HLOOKUP('Yearly Pension'!Y$2,'Credited Service'!$G$1:$BC$80,$A65+1,FALSE)) * (IF($B65=500, (Assumptions!$B$7)*12, IF((HLOOKUP(Y$2,Earnings!$G$2:$BC$81,('Yearly Pension'!$A65)+1, FALSE)) &gt; Y$1, (Assumptions!$B$8)*(Y$1) + (Assumptions!$B$9)*MAX(0,  (HLOOKUP(Y$2,Earnings!$G$2:$BC$81,('Yearly Pension'!$A65)+1, FALSE)) - Y$1), ((Assumptions!$B$8)*'Yearly Pension'!Y$1))))</f>
        <v>761.16154223223293</v>
      </c>
      <c r="Z65" s="6">
        <f>(HLOOKUP('Yearly Pension'!Z$2,'Credited Service'!$G$1:$BC$80,$A65+1,FALSE)) * (IF($B65=500, (Assumptions!$B$7)*12, IF((HLOOKUP(Z$2,Earnings!$G$2:$BC$81,('Yearly Pension'!$A65)+1, FALSE)) &gt; Z$1, (Assumptions!$B$8)*(Z$1) + (Assumptions!$B$9)*MAX(0,  (HLOOKUP(Z$2,Earnings!$G$2:$BC$81,('Yearly Pension'!$A65)+1, FALSE)) - Z$1), ((Assumptions!$B$8)*'Yearly Pension'!Z$1))))</f>
        <v>797.34240392152219</v>
      </c>
      <c r="AA65" s="6">
        <f>(HLOOKUP('Yearly Pension'!AA$2,'Credited Service'!$G$1:$BC$80,$A65+1,FALSE)) * (IF($B65=500, (Assumptions!$B$7)*12, IF((HLOOKUP(AA$2,Earnings!$G$2:$BC$81,('Yearly Pension'!$A65)+1, FALSE)) &gt; AA$1, (Assumptions!$B$8)*(AA$1) + (Assumptions!$B$9)*MAX(0,  (HLOOKUP(AA$2,Earnings!$G$2:$BC$81,('Yearly Pension'!$A65)+1, FALSE)) - AA$1), ((Assumptions!$B$8)*'Yearly Pension'!AA$1))))</f>
        <v>835.73850007838314</v>
      </c>
      <c r="AB65" s="6">
        <f>(HLOOKUP('Yearly Pension'!AB$2,'Credited Service'!$G$1:$BC$80,$A65+1,FALSE)) * (IF($B65=500, (Assumptions!$B$7)*12, IF((HLOOKUP(AB$2,Earnings!$G$2:$BC$81,('Yearly Pension'!$A65)+1, FALSE)) &gt; AB$1, (Assumptions!$B$8)*(AB$1) + (Assumptions!$B$9)*MAX(0,  (HLOOKUP(AB$2,Earnings!$G$2:$BC$81,('Yearly Pension'!$A65)+1, FALSE)) - AB$1), ((Assumptions!$B$8)*'Yearly Pension'!AB$1))))</f>
        <v>871.29284008151831</v>
      </c>
      <c r="AC65" s="6">
        <f>(HLOOKUP('Yearly Pension'!AC$2,'Credited Service'!$G$1:$BC$80,$A65+1,FALSE)) * (IF($B65=500, (Assumptions!$B$7)*12, IF((HLOOKUP(AC$2,Earnings!$G$2:$BC$81,('Yearly Pension'!$A65)+1, FALSE)) &gt; AC$1, (Assumptions!$B$8)*(AC$1) + (Assumptions!$B$9)*MAX(0,  (HLOOKUP(AC$2,Earnings!$G$2:$BC$81,('Yearly Pension'!$A65)+1, FALSE)) - AC$1), ((Assumptions!$B$8)*'Yearly Pension'!AC$1))))</f>
        <v>912.39095368477911</v>
      </c>
      <c r="AD65" s="6">
        <f>(HLOOKUP('Yearly Pension'!AD$2,'Credited Service'!$G$1:$BC$80,$A65+1,FALSE)) * (IF($B65=500, (Assumptions!$B$7)*12, IF((HLOOKUP(AD$2,Earnings!$G$2:$BC$81,('Yearly Pension'!$A65)+1, FALSE)) &gt; AD$1, (Assumptions!$B$8)*(AD$1) + (Assumptions!$B$9)*MAX(0,  (HLOOKUP(AD$2,Earnings!$G$2:$BC$81,('Yearly Pension'!$A65)+1, FALSE)) - AD$1), ((Assumptions!$B$8)*'Yearly Pension'!AD$1))))</f>
        <v>957.18099183217021</v>
      </c>
      <c r="AE65" s="6">
        <f>(HLOOKUP('Yearly Pension'!AE$2,'Credited Service'!$G$1:$BC$80,$A65+1,FALSE)) * (IF($B65=500, (Assumptions!$B$7)*12, IF((HLOOKUP(AE$2,Earnings!$G$2:$BC$81,('Yearly Pension'!$A65)+1, FALSE)) &gt; AE$1, (Assumptions!$B$8)*(AE$1) + (Assumptions!$B$9)*MAX(0,  (HLOOKUP(AE$2,Earnings!$G$2:$BC$81,('Yearly Pension'!$A65)+1, FALSE)) - AE$1), ((Assumptions!$B$8)*'Yearly Pension'!AE$1))))</f>
        <v>1000.613831505457</v>
      </c>
      <c r="AF65" s="6">
        <f>(HLOOKUP('Yearly Pension'!AF$2,'Credited Service'!$G$1:$BC$80,$A65+1,FALSE)) * (IF($B65=500, (Assumptions!$B$7)*12, IF((HLOOKUP(AF$2,Earnings!$G$2:$BC$81,('Yearly Pension'!$A65)+1, FALSE)) &gt; AF$1, (Assumptions!$B$8)*(AF$1) + (Assumptions!$B$9)*MAX(0,  (HLOOKUP(AF$2,Earnings!$G$2:$BC$81,('Yearly Pension'!$A65)+1, FALSE)) - AF$1), ((Assumptions!$B$8)*'Yearly Pension'!AF$1))))</f>
        <v>1045.3231847656753</v>
      </c>
      <c r="AG65" s="6">
        <f>(HLOOKUP('Yearly Pension'!AG$2,'Credited Service'!$G$1:$BC$80,$A65+1,FALSE)) * (IF($B65=500, (Assumptions!$B$7)*12, IF((HLOOKUP(AG$2,Earnings!$G$2:$BC$81,('Yearly Pension'!$A65)+1, FALSE)) &gt; AG$1, (Assumptions!$B$8)*(AG$1) + (Assumptions!$B$9)*MAX(0,  (HLOOKUP(AG$2,Earnings!$G$2:$BC$81,('Yearly Pension'!$A65)+1, FALSE)) - AG$1), ((Assumptions!$B$8)*'Yearly Pension'!AG$1))))</f>
        <v>1092.0257121563025</v>
      </c>
      <c r="AH65" s="6">
        <f>(HLOOKUP('Yearly Pension'!AH$2,'Credited Service'!$G$1:$BC$80,$A65+1,FALSE)) * (IF($B65=500, (Assumptions!$B$7)*12, IF((HLOOKUP(AH$2,Earnings!$G$2:$BC$81,('Yearly Pension'!$A65)+1, FALSE)) &gt; AH$1, (Assumptions!$B$8)*(AH$1) + (Assumptions!$B$9)*MAX(0,  (HLOOKUP(AH$2,Earnings!$G$2:$BC$81,('Yearly Pension'!$A65)+1, FALSE)) - AH$1), ((Assumptions!$B$8)*'Yearly Pension'!AH$1))))</f>
        <v>1142.0811406425546</v>
      </c>
      <c r="AI65" s="6">
        <f>(HLOOKUP('Yearly Pension'!AI$2,'Credited Service'!$G$1:$BC$80,$A65+1,FALSE)) * (IF($B65=500, (Assumptions!$B$7)*12, IF((HLOOKUP(AI$2,Earnings!$G$2:$BC$81,('Yearly Pension'!$A65)+1, FALSE)) &gt; AI$1, (Assumptions!$B$8)*(AI$1) + (Assumptions!$B$9)*MAX(0,  (HLOOKUP(AI$2,Earnings!$G$2:$BC$81,('Yearly Pension'!$A65)+1, FALSE)) - AI$1), ((Assumptions!$B$8)*'Yearly Pension'!AI$1))))</f>
        <v>1194.2923862682569</v>
      </c>
      <c r="AJ65" s="6">
        <f>(HLOOKUP('Yearly Pension'!AJ$2,'Credited Service'!$G$1:$BC$80,$A65+1,FALSE)) * (IF($B65=500, (Assumptions!$B$7)*12, IF((HLOOKUP(AJ$2,Earnings!$G$2:$BC$81,('Yearly Pension'!$A65)+1, FALSE)) &gt; AJ$1, (Assumptions!$B$8)*(AJ$1) + (Assumptions!$B$9)*MAX(0,  (HLOOKUP(AJ$2,Earnings!$G$2:$BC$81,('Yearly Pension'!$A65)+1, FALSE)) - AJ$1), ((Assumptions!$B$8)*'Yearly Pension'!AJ$1))))</f>
        <v>1246.1856817189871</v>
      </c>
      <c r="AK65" s="6">
        <f>(HLOOKUP('Yearly Pension'!AK$2,'Credited Service'!$G$1:$BC$80,$A65+1,FALSE)) * (IF($B65=500, (Assumptions!$B$7)*12, IF((HLOOKUP(AK$2,Earnings!$G$2:$BC$81,('Yearly Pension'!$A65)+1, FALSE)) &gt; AK$1, (Assumptions!$B$8)*(AK$1) + (Assumptions!$B$9)*MAX(0,  (HLOOKUP(AK$2,Earnings!$G$2:$BC$81,('Yearly Pension'!$A65)+1, FALSE)) - AK$1), ((Assumptions!$B$8)*'Yearly Pension'!AK$1))))</f>
        <v>1296.5707089877465</v>
      </c>
      <c r="AL65" s="6">
        <f>(HLOOKUP('Yearly Pension'!AL$2,'Credited Service'!$G$1:$BC$80,$A65+1,FALSE)) * (IF($B65=500, (Assumptions!$B$7)*12, IF((HLOOKUP(AL$2,Earnings!$G$2:$BC$81,('Yearly Pension'!$A65)+1, FALSE)) &gt; AL$1, (Assumptions!$B$8)*(AL$1) + (Assumptions!$B$9)*MAX(0,  (HLOOKUP(AL$2,Earnings!$G$2:$BC$81,('Yearly Pension'!$A65)+1, FALSE)) - AL$1), ((Assumptions!$B$8)*'Yearly Pension'!AL$1))))</f>
        <v>1351.9407373472563</v>
      </c>
      <c r="AM65" s="6">
        <f>(HLOOKUP('Yearly Pension'!AM$2,'Credited Service'!$G$1:$BC$80,$A65+1,FALSE)) * (IF($B65=500, (Assumptions!$B$7)*12, IF((HLOOKUP(AM$2,Earnings!$G$2:$BC$81,('Yearly Pension'!$A65)+1, FALSE)) &gt; AM$1, (Assumptions!$B$8)*(AM$1) + (Assumptions!$B$9)*MAX(0,  (HLOOKUP(AM$2,Earnings!$G$2:$BC$81,('Yearly Pension'!$A65)+1, FALSE)) - AM$1), ((Assumptions!$B$8)*'Yearly Pension'!AM$1))))</f>
        <v>1408.5527668411469</v>
      </c>
      <c r="AN65" s="6">
        <f>(HLOOKUP('Yearly Pension'!AN$2,'Credited Service'!$G$1:$BC$80,$A65+1,FALSE)) * (IF($B65=500, (Assumptions!$B$7)*12, IF((HLOOKUP(AN$2,Earnings!$G$2:$BC$81,('Yearly Pension'!$A65)+1, FALSE)) &gt; AN$1, (Assumptions!$B$8)*(AN$1) + (Assumptions!$B$9)*MAX(0,  (HLOOKUP(AN$2,Earnings!$G$2:$BC$81,('Yearly Pension'!$A65)+1, FALSE)) - AN$1), ((Assumptions!$B$8)*'Yearly Pension'!AN$1))))</f>
        <v>1470.9876775147927</v>
      </c>
      <c r="AO65" s="6">
        <f>(HLOOKUP('Yearly Pension'!AO$2,'Credited Service'!$G$1:$BC$80,$A65+1,FALSE)) * (IF($B65=500, (Assumptions!$B$7)*12, IF((HLOOKUP(AO$2,Earnings!$G$2:$BC$81,('Yearly Pension'!$A65)+1, FALSE)) &gt; AO$1, (Assumptions!$B$8)*(AO$1) + (Assumptions!$B$9)*MAX(0,  (HLOOKUP(AO$2,Earnings!$G$2:$BC$81,('Yearly Pension'!$A65)+1, FALSE)) - AO$1), ((Assumptions!$B$8)*'Yearly Pension'!AO$1))))</f>
        <v>1534.8703846153849</v>
      </c>
      <c r="AP65" s="6">
        <f>(HLOOKUP('Yearly Pension'!AP$2,'Credited Service'!$G$1:$BC$80,$A65+1,FALSE)) * (IF($B65=500, (Assumptions!$B$7)*12, IF((HLOOKUP(AP$2,Earnings!$G$2:$BC$81,('Yearly Pension'!$A65)+1, FALSE)) &gt; AP$1, (Assumptions!$B$8)*(AP$1) + (Assumptions!$B$9)*MAX(0,  (HLOOKUP(AP$2,Earnings!$G$2:$BC$81,('Yearly Pension'!$A65)+1, FALSE)) - AP$1), ((Assumptions!$B$8)*'Yearly Pension'!AP$1))))</f>
        <v>1597.1100000000001</v>
      </c>
      <c r="AQ65" s="6">
        <f>(HLOOKUP('Yearly Pension'!AQ$2,'Credited Service'!$G$1:$BC$80,$A65+1,FALSE)) * (IF($B65=500, (Assumptions!$B$7)*12, IF((HLOOKUP(AQ$2,Earnings!$G$2:$BC$81,('Yearly Pension'!$A65)+1, FALSE)) &gt; AQ$1, (Assumptions!$B$8)*(AQ$1) + (Assumptions!$B$9)*MAX(0,  (HLOOKUP(AQ$2,Earnings!$G$2:$BC$81,('Yearly Pension'!$A65)+1, FALSE)) - AQ$1), ((Assumptions!$B$8)*'Yearly Pension'!AQ$1))))</f>
        <v>1667.42</v>
      </c>
      <c r="AR65" s="6">
        <f>(HLOOKUP('Yearly Pension'!AR$2,'Credited Service'!$G$1:$BC$80,$A65+1,FALSE)) * (IF($B65=500, (Assumptions!$B$7)*12, IF((HLOOKUP(AR$2,Earnings!$G$2:$BC$81,('Yearly Pension'!$A65)+1, FALSE)) &gt; AR$1, (Assumptions!$B$8)*(AR$1) + (Assumptions!$B$9)*MAX(0,  (HLOOKUP(AR$2,Earnings!$G$2:$BC$81,('Yearly Pension'!$A65)+1, FALSE)) - AR$1), ((Assumptions!$B$8)*'Yearly Pension'!AR$1))))</f>
        <v>1738.2384</v>
      </c>
      <c r="AS65" s="6">
        <f>(HLOOKUP('Yearly Pension'!AS$2,'Credited Service'!$G$1:$BC$80,$A65+1,FALSE)) * (IF($B65=500, (Assumptions!$B$7)*12, IF((HLOOKUP(AS$2,Earnings!$G$2:$BC$81,('Yearly Pension'!$A65)+1, FALSE)) &gt; AS$1, (Assumptions!$B$8)*(AS$1) + (Assumptions!$B$9)*MAX(0,  (HLOOKUP(AS$2,Earnings!$G$2:$BC$81,('Yearly Pension'!$A65)+1, FALSE)) - AS$1), ((Assumptions!$B$8)*'Yearly Pension'!AS$1))))</f>
        <v>1793.4255520000002</v>
      </c>
      <c r="AT65" s="6">
        <f>(HLOOKUP('Yearly Pension'!AT$2,'Credited Service'!$G$1:$BC$80,$A65+1,FALSE)) * (IF($B65=500, (Assumptions!$B$7)*12, IF((HLOOKUP(AT$2,Earnings!$G$2:$BC$81,('Yearly Pension'!$A65)+1, FALSE)) &gt; AT$1, (Assumptions!$B$8)*(AT$1) + (Assumptions!$B$9)*MAX(0,  (HLOOKUP(AT$2,Earnings!$G$2:$BC$81,('Yearly Pension'!$A65)+1, FALSE)) - AT$1), ((Assumptions!$B$8)*'Yearly Pension'!AT$1))))</f>
        <v>1849.1995185599999</v>
      </c>
      <c r="AU65" s="6">
        <f>(HLOOKUP('Yearly Pension'!AU$2,'Credited Service'!$G$1:$BC$80,$A65+1,FALSE)) * (IF($B65=500, (Assumptions!$B$7)*12, IF((HLOOKUP(AU$2,Earnings!$G$2:$BC$81,('Yearly Pension'!$A65)+1, FALSE)) &gt; AU$1, (Assumptions!$B$8)*(AU$1) + (Assumptions!$B$9)*MAX(0,  (HLOOKUP(AU$2,Earnings!$G$2:$BC$81,('Yearly Pension'!$A65)+1, FALSE)) - AU$1), ((Assumptions!$B$8)*'Yearly Pension'!AU$1))))</f>
        <v>1912.6563041167999</v>
      </c>
      <c r="AV65" s="6">
        <f>(HLOOKUP('Yearly Pension'!AV$2,'Credited Service'!$G$1:$BC$80,$A65+1,FALSE)) * (IF($B65=500, (Assumptions!$B$7)*12, IF((HLOOKUP(AV$2,Earnings!$G$2:$BC$81,('Yearly Pension'!$A65)+1, FALSE)) &gt; AV$1, (Assumptions!$B$8)*(AV$1) + (Assumptions!$B$9)*MAX(0,  (HLOOKUP(AV$2,Earnings!$G$2:$BC$81,('Yearly Pension'!$A65)+1, FALSE)) - AV$1), ((Assumptions!$B$8)*'Yearly Pension'!AV$1))))</f>
        <v>1976.813593240304</v>
      </c>
      <c r="AW65" s="6">
        <f>(HLOOKUP('Yearly Pension'!AW$2,'Credited Service'!$G$1:$BC$80,$A65+1,FALSE)) * (IF($B65=500, (Assumptions!$B$7)*12, IF((HLOOKUP(AW$2,Earnings!$G$2:$BC$81,('Yearly Pension'!$A65)+1, FALSE)) &gt; AW$1, (Assumptions!$B$8)*(AW$1) + (Assumptions!$B$9)*MAX(0,  (HLOOKUP(AW$2,Earnings!$G$2:$BC$81,('Yearly Pension'!$A65)+1, FALSE)) - AW$1), ((Assumptions!$B$8)*'Yearly Pension'!AW$1))))</f>
        <v>2037.2508010375132</v>
      </c>
      <c r="AX65" s="6">
        <f>(HLOOKUP('Yearly Pension'!AX$2,'Credited Service'!$G$1:$BC$80,$A65+1,FALSE)) * (IF($B65=500, (Assumptions!$B$7)*12, IF((HLOOKUP(AX$2,Earnings!$G$2:$BC$81,('Yearly Pension'!$A65)+1, FALSE)) &gt; AX$1, (Assumptions!$B$8)*(AX$1) + (Assumptions!$B$9)*MAX(0,  (HLOOKUP(AX$2,Earnings!$G$2:$BC$81,('Yearly Pension'!$A65)+1, FALSE)) - AX$1), ((Assumptions!$B$8)*'Yearly Pension'!AX$1))))</f>
        <v>2094.6947250686389</v>
      </c>
      <c r="AY65" s="6">
        <f>(HLOOKUP('Yearly Pension'!AY$2,'Credited Service'!$G$1:$BC$80,$A65+1,FALSE)) * (IF($B65=500, (Assumptions!$B$7)*12, IF((HLOOKUP(AY$2,Earnings!$G$2:$BC$81,('Yearly Pension'!$A65)+1, FALSE)) &gt; AY$1, (Assumptions!$B$8)*(AY$1) + (Assumptions!$B$9)*MAX(0,  (HLOOKUP(AY$2,Earnings!$G$2:$BC$81,('Yearly Pension'!$A65)+1, FALSE)) - AY$1), ((Assumptions!$B$8)*'Yearly Pension'!AY$1))))</f>
        <v>2153.7150228206979</v>
      </c>
      <c r="AZ65" s="6">
        <f>(HLOOKUP('Yearly Pension'!AZ$2,'Credited Service'!$G$1:$BC$80,$A65+1,FALSE)) * (IF($B65=500, (Assumptions!$B$7)*12, IF((HLOOKUP(AZ$2,Earnings!$G$2:$BC$81,('Yearly Pension'!$A65)+1, FALSE)) &gt; AZ$1, (Assumptions!$B$8)*(AZ$1) + (Assumptions!$B$9)*MAX(0,  (HLOOKUP(AZ$2,Earnings!$G$2:$BC$81,('Yearly Pension'!$A65)+1, FALSE)) - AZ$1), ((Assumptions!$B$8)*'Yearly Pension'!AZ$1))))</f>
        <v>2214.353107745319</v>
      </c>
      <c r="BA65" s="6">
        <f>(HLOOKUP('Yearly Pension'!BA$2,'Credited Service'!$G$1:$BC$80,$A65+1,FALSE)) * (IF($B65=500, (Assumptions!$B$7)*12, IF((HLOOKUP(BA$2,Earnings!$G$2:$BC$81,('Yearly Pension'!$A65)+1, FALSE)) &gt; BA$1, (Assumptions!$B$8)*(BA$1) + (Assumptions!$B$9)*MAX(0,  (HLOOKUP(BA$2,Earnings!$G$2:$BC$81,('Yearly Pension'!$A65)+1, FALSE)) - BA$1), ((Assumptions!$B$8)*'Yearly Pension'!BA$1))))</f>
        <v>2276.6514005872787</v>
      </c>
      <c r="BB65" s="6">
        <f>(HLOOKUP('Yearly Pension'!BB$2,'Credited Service'!$G$1:$BC$80,$A65+1,FALSE)) * (IF($B65=500, (Assumptions!$B$7)*12, IF((HLOOKUP(BB$2,Earnings!$G$2:$BC$81,('Yearly Pension'!$A65)+1, FALSE)) &gt; BB$1, (Assumptions!$B$8)*(BB$1) + (Assumptions!$B$9)*MAX(0,  (HLOOKUP(BB$2,Earnings!$G$2:$BC$81,('Yearly Pension'!$A65)+1, FALSE)) - BB$1), ((Assumptions!$B$8)*'Yearly Pension'!BB$1))))</f>
        <v>2340.6533501988815</v>
      </c>
      <c r="BC65" s="6">
        <f>(HLOOKUP('Yearly Pension'!BC$2,'Credited Service'!$G$1:$BC$80,$A65+1,FALSE)) * (IF($B65=500, (Assumptions!$B$7)*12, IF((HLOOKUP(BC$2,Earnings!$G$2:$BC$81,('Yearly Pension'!$A65)+1, FALSE)) &gt; BC$1, (Assumptions!$B$8)*(BC$1) + (Assumptions!$B$9)*MAX(0,  (HLOOKUP(BC$2,Earnings!$G$2:$BC$81,('Yearly Pension'!$A65)+1, FALSE)) - BC$1), ((Assumptions!$B$8)*'Yearly Pension'!BC$1))))</f>
        <v>2406.4034546025914</v>
      </c>
    </row>
    <row r="66" spans="1:55" x14ac:dyDescent="0.25">
      <c r="A66" s="204">
        <v>64</v>
      </c>
      <c r="B66" s="1">
        <v>600</v>
      </c>
      <c r="C66" s="1">
        <v>576</v>
      </c>
      <c r="D66" s="3">
        <v>32287</v>
      </c>
      <c r="E66" s="3">
        <v>46997</v>
      </c>
      <c r="G66" s="6">
        <f>(HLOOKUP('Yearly Pension'!G$2,'Credited Service'!$G$1:$BC$80,$A66+1,FALSE)) * (IF($B66=500, (Assumptions!$B$7)*12, IF((HLOOKUP(G$2,Earnings!$G$2:$BC$81,('Yearly Pension'!$A66)+1, FALSE)) &gt; G$1, (Assumptions!$B$8)*(G$1) + (Assumptions!$B$9)*MAX(0,  (HLOOKUP(G$2,Earnings!$G$2:$BC$81,('Yearly Pension'!$A66)+1, FALSE)) - G$1), ((Assumptions!$B$8)*'Yearly Pension'!G$1))))</f>
        <v>0</v>
      </c>
      <c r="H66" s="6">
        <f>(HLOOKUP('Yearly Pension'!H$2,'Credited Service'!$G$1:$BC$80,$A66+1,FALSE)) * (IF($B66=500, (Assumptions!$B$7)*12, IF((HLOOKUP(H$2,Earnings!$G$2:$BC$81,('Yearly Pension'!$A66)+1, FALSE)) &gt; H$1, (Assumptions!$B$8)*(H$1) + (Assumptions!$B$9)*MAX(0,  (HLOOKUP(H$2,Earnings!$G$2:$BC$81,('Yearly Pension'!$A66)+1, FALSE)) - H$1), ((Assumptions!$B$8)*'Yearly Pension'!H$1))))</f>
        <v>0</v>
      </c>
      <c r="I66" s="6">
        <f>(HLOOKUP('Yearly Pension'!I$2,'Credited Service'!$G$1:$BC$80,$A66+1,FALSE)) * (IF($B66=500, (Assumptions!$B$7)*12, IF((HLOOKUP(I$2,Earnings!$G$2:$BC$81,('Yearly Pension'!$A66)+1, FALSE)) &gt; I$1, (Assumptions!$B$8)*(I$1) + (Assumptions!$B$9)*MAX(0,  (HLOOKUP(I$2,Earnings!$G$2:$BC$81,('Yearly Pension'!$A66)+1, FALSE)) - I$1), ((Assumptions!$B$8)*'Yearly Pension'!I$1))))</f>
        <v>0</v>
      </c>
      <c r="J66" s="6">
        <f>(HLOOKUP('Yearly Pension'!J$2,'Credited Service'!$G$1:$BC$80,$A66+1,FALSE)) * (IF($B66=500, (Assumptions!$B$7)*12, IF((HLOOKUP(J$2,Earnings!$G$2:$BC$81,('Yearly Pension'!$A66)+1, FALSE)) &gt; J$1, (Assumptions!$B$8)*(J$1) + (Assumptions!$B$9)*MAX(0,  (HLOOKUP(J$2,Earnings!$G$2:$BC$81,('Yearly Pension'!$A66)+1, FALSE)) - J$1), ((Assumptions!$B$8)*'Yearly Pension'!J$1))))</f>
        <v>0</v>
      </c>
      <c r="K66" s="6">
        <f>(HLOOKUP('Yearly Pension'!K$2,'Credited Service'!$G$1:$BC$80,$A66+1,FALSE)) * (IF($B66=500, (Assumptions!$B$7)*12, IF((HLOOKUP(K$2,Earnings!$G$2:$BC$81,('Yearly Pension'!$A66)+1, FALSE)) &gt; K$1, (Assumptions!$B$8)*(K$1) + (Assumptions!$B$9)*MAX(0,  (HLOOKUP(K$2,Earnings!$G$2:$BC$81,('Yearly Pension'!$A66)+1, FALSE)) - K$1), ((Assumptions!$B$8)*'Yearly Pension'!K$1))))</f>
        <v>0</v>
      </c>
      <c r="L66" s="6">
        <f>(HLOOKUP('Yearly Pension'!L$2,'Credited Service'!$G$1:$BC$80,$A66+1,FALSE)) * (IF($B66=500, (Assumptions!$B$7)*12, IF((HLOOKUP(L$2,Earnings!$G$2:$BC$81,('Yearly Pension'!$A66)+1, FALSE)) &gt; L$1, (Assumptions!$B$8)*(L$1) + (Assumptions!$B$9)*MAX(0,  (HLOOKUP(L$2,Earnings!$G$2:$BC$81,('Yearly Pension'!$A66)+1, FALSE)) - L$1), ((Assumptions!$B$8)*'Yearly Pension'!L$1))))</f>
        <v>0</v>
      </c>
      <c r="M66" s="6">
        <f>(HLOOKUP('Yearly Pension'!M$2,'Credited Service'!$G$1:$BC$80,$A66+1,FALSE)) * (IF($B66=500, (Assumptions!$B$7)*12, IF((HLOOKUP(M$2,Earnings!$G$2:$BC$81,('Yearly Pension'!$A66)+1, FALSE)) &gt; M$1, (Assumptions!$B$8)*(M$1) + (Assumptions!$B$9)*MAX(0,  (HLOOKUP(M$2,Earnings!$G$2:$BC$81,('Yearly Pension'!$A66)+1, FALSE)) - M$1), ((Assumptions!$B$8)*'Yearly Pension'!M$1))))</f>
        <v>0</v>
      </c>
      <c r="N66" s="6">
        <f>(HLOOKUP('Yearly Pension'!N$2,'Credited Service'!$G$1:$BC$80,$A66+1,FALSE)) * (IF($B66=500, (Assumptions!$B$7)*12, IF((HLOOKUP(N$2,Earnings!$G$2:$BC$81,('Yearly Pension'!$A66)+1, FALSE)) &gt; N$1, (Assumptions!$B$8)*(N$1) + (Assumptions!$B$9)*MAX(0,  (HLOOKUP(N$2,Earnings!$G$2:$BC$81,('Yearly Pension'!$A66)+1, FALSE)) - N$1), ((Assumptions!$B$8)*'Yearly Pension'!N$1))))</f>
        <v>0</v>
      </c>
      <c r="O66" s="6">
        <f>(HLOOKUP('Yearly Pension'!O$2,'Credited Service'!$G$1:$BC$80,$A66+1,FALSE)) * (IF($B66=500, (Assumptions!$B$7)*12, IF((HLOOKUP(O$2,Earnings!$G$2:$BC$81,('Yearly Pension'!$A66)+1, FALSE)) &gt; O$1, (Assumptions!$B$8)*(O$1) + (Assumptions!$B$9)*MAX(0,  (HLOOKUP(O$2,Earnings!$G$2:$BC$81,('Yearly Pension'!$A66)+1, FALSE)) - O$1), ((Assumptions!$B$8)*'Yearly Pension'!O$1))))</f>
        <v>0</v>
      </c>
      <c r="P66" s="6">
        <f>(HLOOKUP('Yearly Pension'!P$2,'Credited Service'!$G$1:$BC$80,$A66+1,FALSE)) * (IF($B66=500, (Assumptions!$B$7)*12, IF((HLOOKUP(P$2,Earnings!$G$2:$BC$81,('Yearly Pension'!$A66)+1, FALSE)) &gt; P$1, (Assumptions!$B$8)*(P$1) + (Assumptions!$B$9)*MAX(0,  (HLOOKUP(P$2,Earnings!$G$2:$BC$81,('Yearly Pension'!$A66)+1, FALSE)) - P$1), ((Assumptions!$B$8)*'Yearly Pension'!P$1))))</f>
        <v>0</v>
      </c>
      <c r="Q66" s="6">
        <f>(HLOOKUP('Yearly Pension'!Q$2,'Credited Service'!$G$1:$BC$80,$A66+1,FALSE)) * (IF($B66=500, (Assumptions!$B$7)*12, IF((HLOOKUP(Q$2,Earnings!$G$2:$BC$81,('Yearly Pension'!$A66)+1, FALSE)) &gt; Q$1, (Assumptions!$B$8)*(Q$1) + (Assumptions!$B$9)*MAX(0,  (HLOOKUP(Q$2,Earnings!$G$2:$BC$81,('Yearly Pension'!$A66)+1, FALSE)) - Q$1), ((Assumptions!$B$8)*'Yearly Pension'!Q$1))))</f>
        <v>0</v>
      </c>
      <c r="R66" s="6">
        <f>(HLOOKUP('Yearly Pension'!R$2,'Credited Service'!$G$1:$BC$80,$A66+1,FALSE)) * (IF($B66=500, (Assumptions!$B$7)*12, IF((HLOOKUP(R$2,Earnings!$G$2:$BC$81,('Yearly Pension'!$A66)+1, FALSE)) &gt; R$1, (Assumptions!$B$8)*(R$1) + (Assumptions!$B$9)*MAX(0,  (HLOOKUP(R$2,Earnings!$G$2:$BC$81,('Yearly Pension'!$A66)+1, FALSE)) - R$1), ((Assumptions!$B$8)*'Yearly Pension'!R$1))))</f>
        <v>340.96155991663193</v>
      </c>
      <c r="S66" s="6">
        <f>(HLOOKUP('Yearly Pension'!S$2,'Credited Service'!$G$1:$BC$80,$A66+1,FALSE)) * (IF($B66=500, (Assumptions!$B$7)*12, IF((HLOOKUP(S$2,Earnings!$G$2:$BC$81,('Yearly Pension'!$A66)+1, FALSE)) &gt; S$1, (Assumptions!$B$8)*(S$1) + (Assumptions!$B$9)*MAX(0,  (HLOOKUP(S$2,Earnings!$G$2:$BC$81,('Yearly Pension'!$A66)+1, FALSE)) - S$1), ((Assumptions!$B$8)*'Yearly Pension'!S$1))))</f>
        <v>606.9897525370809</v>
      </c>
      <c r="T66" s="6">
        <f>(HLOOKUP('Yearly Pension'!T$2,'Credited Service'!$G$1:$BC$80,$A66+1,FALSE)) * (IF($B66=500, (Assumptions!$B$7)*12, IF((HLOOKUP(T$2,Earnings!$G$2:$BC$81,('Yearly Pension'!$A66)+1, FALSE)) &gt; T$1, (Assumptions!$B$8)*(T$1) + (Assumptions!$B$9)*MAX(0,  (HLOOKUP(T$2,Earnings!$G$2:$BC$81,('Yearly Pension'!$A66)+1, FALSE)) - T$1), ((Assumptions!$B$8)*'Yearly Pension'!T$1))))</f>
        <v>630.68054263856425</v>
      </c>
      <c r="U66" s="6">
        <f>(HLOOKUP('Yearly Pension'!U$2,'Credited Service'!$G$1:$BC$80,$A66+1,FALSE)) * (IF($B66=500, (Assumptions!$B$7)*12, IF((HLOOKUP(U$2,Earnings!$G$2:$BC$81,('Yearly Pension'!$A66)+1, FALSE)) &gt; U$1, (Assumptions!$B$8)*(U$1) + (Assumptions!$B$9)*MAX(0,  (HLOOKUP(U$2,Earnings!$G$2:$BC$81,('Yearly Pension'!$A66)+1, FALSE)) - U$1), ((Assumptions!$B$8)*'Yearly Pension'!U$1))))</f>
        <v>653.06616434410671</v>
      </c>
      <c r="V66" s="6">
        <f>(HLOOKUP('Yearly Pension'!V$2,'Credited Service'!$G$1:$BC$80,$A66+1,FALSE)) * (IF($B66=500, (Assumptions!$B$7)*12, IF((HLOOKUP(V$2,Earnings!$G$2:$BC$81,('Yearly Pension'!$A66)+1, FALSE)) &gt; V$1, (Assumptions!$B$8)*(V$1) + (Assumptions!$B$9)*MAX(0,  (HLOOKUP(V$2,Earnings!$G$2:$BC$81,('Yearly Pension'!$A66)+1, FALSE)) - V$1), ((Assumptions!$B$8)*'Yearly Pension'!V$1))))</f>
        <v>676.11681091787102</v>
      </c>
      <c r="W66" s="6">
        <f>(HLOOKUP('Yearly Pension'!W$2,'Credited Service'!$G$1:$BC$80,$A66+1,FALSE)) * (IF($B66=500, (Assumptions!$B$7)*12, IF((HLOOKUP(W$2,Earnings!$G$2:$BC$81,('Yearly Pension'!$A66)+1, FALSE)) &gt; W$1, (Assumptions!$B$8)*(W$1) + (Assumptions!$B$9)*MAX(0,  (HLOOKUP(W$2,Earnings!$G$2:$BC$81,('Yearly Pension'!$A66)+1, FALSE)) - W$1), ((Assumptions!$B$8)*'Yearly Pension'!W$1))))</f>
        <v>703.72468335458586</v>
      </c>
      <c r="X66" s="6">
        <f>(HLOOKUP('Yearly Pension'!X$2,'Credited Service'!$G$1:$BC$80,$A66+1,FALSE)) * (IF($B66=500, (Assumptions!$B$7)*12, IF((HLOOKUP(X$2,Earnings!$G$2:$BC$81,('Yearly Pension'!$A66)+1, FALSE)) &gt; X$1, (Assumptions!$B$8)*(X$1) + (Assumptions!$B$9)*MAX(0,  (HLOOKUP(X$2,Earnings!$G$2:$BC$81,('Yearly Pension'!$A66)+1, FALSE)) - X$1), ((Assumptions!$B$8)*'Yearly Pension'!X$1))))</f>
        <v>734.02407068876926</v>
      </c>
      <c r="Y66" s="6">
        <f>(HLOOKUP('Yearly Pension'!Y$2,'Credited Service'!$G$1:$BC$80,$A66+1,FALSE)) * (IF($B66=500, (Assumptions!$B$7)*12, IF((HLOOKUP(Y$2,Earnings!$G$2:$BC$81,('Yearly Pension'!$A66)+1, FALSE)) &gt; Y$1, (Assumptions!$B$8)*(Y$1) + (Assumptions!$B$9)*MAX(0,  (HLOOKUP(Y$2,Earnings!$G$2:$BC$81,('Yearly Pension'!$A66)+1, FALSE)) - Y$1), ((Assumptions!$B$8)*'Yearly Pension'!Y$1))))</f>
        <v>768.99143351632006</v>
      </c>
      <c r="Z66" s="6">
        <f>(HLOOKUP('Yearly Pension'!Z$2,'Credited Service'!$G$1:$BC$80,$A66+1,FALSE)) * (IF($B66=500, (Assumptions!$B$7)*12, IF((HLOOKUP(Z$2,Earnings!$G$2:$BC$81,('Yearly Pension'!$A66)+1, FALSE)) &gt; Z$1, (Assumptions!$B$8)*(Z$1) + (Assumptions!$B$9)*MAX(0,  (HLOOKUP(Z$2,Earnings!$G$2:$BC$81,('Yearly Pension'!$A66)+1, FALSE)) - Z$1), ((Assumptions!$B$8)*'Yearly Pension'!Z$1))))</f>
        <v>805.48549085697289</v>
      </c>
      <c r="AA66" s="6">
        <f>(HLOOKUP('Yearly Pension'!AA$2,'Credited Service'!$G$1:$BC$80,$A66+1,FALSE)) * (IF($B66=500, (Assumptions!$B$7)*12, IF((HLOOKUP(AA$2,Earnings!$G$2:$BC$81,('Yearly Pension'!$A66)+1, FALSE)) &gt; AA$1, (Assumptions!$B$8)*(AA$1) + (Assumptions!$B$9)*MAX(0,  (HLOOKUP(AA$2,Earnings!$G$2:$BC$81,('Yearly Pension'!$A66)+1, FALSE)) - AA$1), ((Assumptions!$B$8)*'Yearly Pension'!AA$1))))</f>
        <v>844.20731049125186</v>
      </c>
      <c r="AB66" s="6">
        <f>(HLOOKUP('Yearly Pension'!AB$2,'Credited Service'!$G$1:$BC$80,$A66+1,FALSE)) * (IF($B66=500, (Assumptions!$B$7)*12, IF((HLOOKUP(AB$2,Earnings!$G$2:$BC$81,('Yearly Pension'!$A66)+1, FALSE)) &gt; AB$1, (Assumptions!$B$8)*(AB$1) + (Assumptions!$B$9)*MAX(0,  (HLOOKUP(AB$2,Earnings!$G$2:$BC$81,('Yearly Pension'!$A66)+1, FALSE)) - AB$1), ((Assumptions!$B$8)*'Yearly Pension'!AB$1))))</f>
        <v>880.10040291090195</v>
      </c>
      <c r="AC66" s="6">
        <f>(HLOOKUP('Yearly Pension'!AC$2,'Credited Service'!$G$1:$BC$80,$A66+1,FALSE)) * (IF($B66=500, (Assumptions!$B$7)*12, IF((HLOOKUP(AC$2,Earnings!$G$2:$BC$81,('Yearly Pension'!$A66)+1, FALSE)) &gt; AC$1, (Assumptions!$B$8)*(AC$1) + (Assumptions!$B$9)*MAX(0,  (HLOOKUP(AC$2,Earnings!$G$2:$BC$81,('Yearly Pension'!$A66)+1, FALSE)) - AC$1), ((Assumptions!$B$8)*'Yearly Pension'!AC$1))))</f>
        <v>921.55081902733798</v>
      </c>
      <c r="AD66" s="6">
        <f>(HLOOKUP('Yearly Pension'!AD$2,'Credited Service'!$G$1:$BC$80,$A66+1,FALSE)) * (IF($B66=500, (Assumptions!$B$7)*12, IF((HLOOKUP(AD$2,Earnings!$G$2:$BC$81,('Yearly Pension'!$A66)+1, FALSE)) &gt; AD$1, (Assumptions!$B$8)*(AD$1) + (Assumptions!$B$9)*MAX(0,  (HLOOKUP(AD$2,Earnings!$G$2:$BC$81,('Yearly Pension'!$A66)+1, FALSE)) - AD$1), ((Assumptions!$B$8)*'Yearly Pension'!AD$1))))</f>
        <v>966.70725178843156</v>
      </c>
      <c r="AE66" s="6">
        <f>(HLOOKUP('Yearly Pension'!AE$2,'Credited Service'!$G$1:$BC$80,$A66+1,FALSE)) * (IF($B66=500, (Assumptions!$B$7)*12, IF((HLOOKUP(AE$2,Earnings!$G$2:$BC$81,('Yearly Pension'!$A66)+1, FALSE)) &gt; AE$1, (Assumptions!$B$8)*(AE$1) + (Assumptions!$B$9)*MAX(0,  (HLOOKUP(AE$2,Earnings!$G$2:$BC$81,('Yearly Pension'!$A66)+1, FALSE)) - AE$1), ((Assumptions!$B$8)*'Yearly Pension'!AE$1))))</f>
        <v>1010.5211418599689</v>
      </c>
      <c r="AF66" s="6">
        <f>(HLOOKUP('Yearly Pension'!AF$2,'Credited Service'!$G$1:$BC$80,$A66+1,FALSE)) * (IF($B66=500, (Assumptions!$B$7)*12, IF((HLOOKUP(AF$2,Earnings!$G$2:$BC$81,('Yearly Pension'!$A66)+1, FALSE)) &gt; AF$1, (Assumptions!$B$8)*(AF$1) + (Assumptions!$B$9)*MAX(0,  (HLOOKUP(AF$2,Earnings!$G$2:$BC$81,('Yearly Pension'!$A66)+1, FALSE)) - AF$1), ((Assumptions!$B$8)*'Yearly Pension'!AF$1))))</f>
        <v>1055.6267875343678</v>
      </c>
      <c r="AG66" s="6">
        <f>(HLOOKUP('Yearly Pension'!AG$2,'Credited Service'!$G$1:$BC$80,$A66+1,FALSE)) * (IF($B66=500, (Assumptions!$B$7)*12, IF((HLOOKUP(AG$2,Earnings!$G$2:$BC$81,('Yearly Pension'!$A66)+1, FALSE)) &gt; AG$1, (Assumptions!$B$8)*(AG$1) + (Assumptions!$B$9)*MAX(0,  (HLOOKUP(AG$2,Earnings!$G$2:$BC$81,('Yearly Pension'!$A66)+1, FALSE)) - AG$1), ((Assumptions!$B$8)*'Yearly Pension'!AG$1))))</f>
        <v>1102.7414590357425</v>
      </c>
      <c r="AH66" s="6">
        <f>(HLOOKUP('Yearly Pension'!AH$2,'Credited Service'!$G$1:$BC$80,$A66+1,FALSE)) * (IF($B66=500, (Assumptions!$B$7)*12, IF((HLOOKUP(AH$2,Earnings!$G$2:$BC$81,('Yearly Pension'!$A66)+1, FALSE)) &gt; AH$1, (Assumptions!$B$8)*(AH$1) + (Assumptions!$B$9)*MAX(0,  (HLOOKUP(AH$2,Earnings!$G$2:$BC$81,('Yearly Pension'!$A66)+1, FALSE)) - AH$1), ((Assumptions!$B$8)*'Yearly Pension'!AH$1))))</f>
        <v>1153.2255173971721</v>
      </c>
      <c r="AI66" s="6">
        <f>(HLOOKUP('Yearly Pension'!AI$2,'Credited Service'!$G$1:$BC$80,$A66+1,FALSE)) * (IF($B66=500, (Assumptions!$B$7)*12, IF((HLOOKUP(AI$2,Earnings!$G$2:$BC$81,('Yearly Pension'!$A66)+1, FALSE)) &gt; AI$1, (Assumptions!$B$8)*(AI$1) + (Assumptions!$B$9)*MAX(0,  (HLOOKUP(AI$2,Earnings!$G$2:$BC$81,('Yearly Pension'!$A66)+1, FALSE)) - AI$1), ((Assumptions!$B$8)*'Yearly Pension'!AI$1))))</f>
        <v>1205.8825380930593</v>
      </c>
      <c r="AJ66" s="6">
        <f>(HLOOKUP('Yearly Pension'!AJ$2,'Credited Service'!$G$1:$BC$80,$A66+1,FALSE)) * (IF($B66=500, (Assumptions!$B$7)*12, IF((HLOOKUP(AJ$2,Earnings!$G$2:$BC$81,('Yearly Pension'!$A66)+1, FALSE)) &gt; AJ$1, (Assumptions!$B$8)*(AJ$1) + (Assumptions!$B$9)*MAX(0,  (HLOOKUP(AJ$2,Earnings!$G$2:$BC$81,('Yearly Pension'!$A66)+1, FALSE)) - AJ$1), ((Assumptions!$B$8)*'Yearly Pension'!AJ$1))))</f>
        <v>1258.2394396167815</v>
      </c>
      <c r="AK66" s="6">
        <f>(HLOOKUP('Yearly Pension'!AK$2,'Credited Service'!$G$1:$BC$80,$A66+1,FALSE)) * (IF($B66=500, (Assumptions!$B$7)*12, IF((HLOOKUP(AK$2,Earnings!$G$2:$BC$81,('Yearly Pension'!$A66)+1, FALSE)) &gt; AK$1, (Assumptions!$B$8)*(AK$1) + (Assumptions!$B$9)*MAX(0,  (HLOOKUP(AK$2,Earnings!$G$2:$BC$81,('Yearly Pension'!$A66)+1, FALSE)) - AK$1), ((Assumptions!$B$8)*'Yearly Pension'!AK$1))))</f>
        <v>1309.106617201453</v>
      </c>
      <c r="AL66" s="6">
        <f>(HLOOKUP('Yearly Pension'!AL$2,'Credited Service'!$G$1:$BC$80,$A66+1,FALSE)) * (IF($B66=500, (Assumptions!$B$7)*12, IF((HLOOKUP(AL$2,Earnings!$G$2:$BC$81,('Yearly Pension'!$A66)+1, FALSE)) &gt; AL$1, (Assumptions!$B$8)*(AL$1) + (Assumptions!$B$9)*MAX(0,  (HLOOKUP(AL$2,Earnings!$G$2:$BC$81,('Yearly Pension'!$A66)+1, FALSE)) - AL$1), ((Assumptions!$B$8)*'Yearly Pension'!AL$1))))</f>
        <v>1364.978081889511</v>
      </c>
      <c r="AM66" s="6">
        <f>(HLOOKUP('Yearly Pension'!AM$2,'Credited Service'!$G$1:$BC$80,$A66+1,FALSE)) * (IF($B66=500, (Assumptions!$B$7)*12, IF((HLOOKUP(AM$2,Earnings!$G$2:$BC$81,('Yearly Pension'!$A66)+1, FALSE)) &gt; AM$1, (Assumptions!$B$8)*(AM$1) + (Assumptions!$B$9)*MAX(0,  (HLOOKUP(AM$2,Earnings!$G$2:$BC$81,('Yearly Pension'!$A66)+1, FALSE)) - AM$1), ((Assumptions!$B$8)*'Yearly Pension'!AM$1))))</f>
        <v>1422.1116051650915</v>
      </c>
      <c r="AN66" s="6">
        <f>(HLOOKUP('Yearly Pension'!AN$2,'Credited Service'!$G$1:$BC$80,$A66+1,FALSE)) * (IF($B66=500, (Assumptions!$B$7)*12, IF((HLOOKUP(AN$2,Earnings!$G$2:$BC$81,('Yearly Pension'!$A66)+1, FALSE)) &gt; AN$1, (Assumptions!$B$8)*(AN$1) + (Assumptions!$B$9)*MAX(0,  (HLOOKUP(AN$2,Earnings!$G$2:$BC$81,('Yearly Pension'!$A66)+1, FALSE)) - AN$1), ((Assumptions!$B$8)*'Yearly Pension'!AN$1))))</f>
        <v>1485.0888693716952</v>
      </c>
      <c r="AO66" s="6">
        <f>(HLOOKUP('Yearly Pension'!AO$2,'Credited Service'!$G$1:$BC$80,$A66+1,FALSE)) * (IF($B66=500, (Assumptions!$B$7)*12, IF((HLOOKUP(AO$2,Earnings!$G$2:$BC$81,('Yearly Pension'!$A66)+1, FALSE)) &gt; AO$1, (Assumptions!$B$8)*(AO$1) + (Assumptions!$B$9)*MAX(0,  (HLOOKUP(AO$2,Earnings!$G$2:$BC$81,('Yearly Pension'!$A66)+1, FALSE)) - AO$1), ((Assumptions!$B$8)*'Yearly Pension'!AO$1))))</f>
        <v>1549.5356241465634</v>
      </c>
      <c r="AP66" s="6">
        <f>(HLOOKUP('Yearly Pension'!AP$2,'Credited Service'!$G$1:$BC$80,$A66+1,FALSE)) * (IF($B66=500, (Assumptions!$B$7)*12, IF((HLOOKUP(AP$2,Earnings!$G$2:$BC$81,('Yearly Pension'!$A66)+1, FALSE)) &gt; AP$1, (Assumptions!$B$8)*(AP$1) + (Assumptions!$B$9)*MAX(0,  (HLOOKUP(AP$2,Earnings!$G$2:$BC$81,('Yearly Pension'!$A66)+1, FALSE)) - AP$1), ((Assumptions!$B$8)*'Yearly Pension'!AP$1))))</f>
        <v>1612.3618491124262</v>
      </c>
      <c r="AQ66" s="6">
        <f>(HLOOKUP('Yearly Pension'!AQ$2,'Credited Service'!$G$1:$BC$80,$A66+1,FALSE)) * (IF($B66=500, (Assumptions!$B$7)*12, IF((HLOOKUP(AQ$2,Earnings!$G$2:$BC$81,('Yearly Pension'!$A66)+1, FALSE)) &gt; AQ$1, (Assumptions!$B$8)*(AQ$1) + (Assumptions!$B$9)*MAX(0,  (HLOOKUP(AQ$2,Earnings!$G$2:$BC$81,('Yearly Pension'!$A66)+1, FALSE)) - AQ$1), ((Assumptions!$B$8)*'Yearly Pension'!AQ$1))))</f>
        <v>1683.281923076923</v>
      </c>
      <c r="AR66" s="6">
        <f>(HLOOKUP('Yearly Pension'!AR$2,'Credited Service'!$G$1:$BC$80,$A66+1,FALSE)) * (IF($B66=500, (Assumptions!$B$7)*12, IF((HLOOKUP(AR$2,Earnings!$G$2:$BC$81,('Yearly Pension'!$A66)+1, FALSE)) &gt; AR$1, (Assumptions!$B$8)*(AR$1) + (Assumptions!$B$9)*MAX(0,  (HLOOKUP(AR$2,Earnings!$G$2:$BC$81,('Yearly Pension'!$A66)+1, FALSE)) - AR$1), ((Assumptions!$B$8)*'Yearly Pension'!AR$1))))</f>
        <v>1754.7348000000002</v>
      </c>
      <c r="AS66" s="6">
        <f>(HLOOKUP('Yearly Pension'!AS$2,'Credited Service'!$G$1:$BC$80,$A66+1,FALSE)) * (IF($B66=500, (Assumptions!$B$7)*12, IF((HLOOKUP(AS$2,Earnings!$G$2:$BC$81,('Yearly Pension'!$A66)+1, FALSE)) &gt; AS$1, (Assumptions!$B$8)*(AS$1) + (Assumptions!$B$9)*MAX(0,  (HLOOKUP(AS$2,Earnings!$G$2:$BC$81,('Yearly Pension'!$A66)+1, FALSE)) - AS$1), ((Assumptions!$B$8)*'Yearly Pension'!AS$1))))</f>
        <v>1810.4168440000003</v>
      </c>
      <c r="AT66" s="6">
        <f>(HLOOKUP('Yearly Pension'!AT$2,'Credited Service'!$G$1:$BC$80,$A66+1,FALSE)) * (IF($B66=500, (Assumptions!$B$7)*12, IF((HLOOKUP(AT$2,Earnings!$G$2:$BC$81,('Yearly Pension'!$A66)+1, FALSE)) &gt; AT$1, (Assumptions!$B$8)*(AT$1) + (Assumptions!$B$9)*MAX(0,  (HLOOKUP(AT$2,Earnings!$G$2:$BC$81,('Yearly Pension'!$A66)+1, FALSE)) - AT$1), ((Assumptions!$B$8)*'Yearly Pension'!AT$1))))</f>
        <v>1866.7005493200004</v>
      </c>
      <c r="AU66" s="6">
        <f>(HLOOKUP('Yearly Pension'!AU$2,'Credited Service'!$G$1:$BC$80,$A66+1,FALSE)) * (IF($B66=500, (Assumptions!$B$7)*12, IF((HLOOKUP(AU$2,Earnings!$G$2:$BC$81,('Yearly Pension'!$A66)+1, FALSE)) &gt; AU$1, (Assumptions!$B$8)*(AU$1) + (Assumptions!$B$9)*MAX(0,  (HLOOKUP(AU$2,Earnings!$G$2:$BC$81,('Yearly Pension'!$A66)+1, FALSE)) - AU$1), ((Assumptions!$B$8)*'Yearly Pension'!AU$1))))</f>
        <v>1930.6823657996003</v>
      </c>
      <c r="AV66" s="6">
        <f>(HLOOKUP('Yearly Pension'!AV$2,'Credited Service'!$G$1:$BC$80,$A66+1,FALSE)) * (IF($B66=500, (Assumptions!$B$7)*12, IF((HLOOKUP(AV$2,Earnings!$G$2:$BC$81,('Yearly Pension'!$A66)+1, FALSE)) &gt; AV$1, (Assumptions!$B$8)*(AV$1) + (Assumptions!$B$9)*MAX(0,  (HLOOKUP(AV$2,Earnings!$G$2:$BC$81,('Yearly Pension'!$A66)+1, FALSE)) - AV$1), ((Assumptions!$B$8)*'Yearly Pension'!AV$1))))</f>
        <v>1995.3804367735886</v>
      </c>
      <c r="AW66" s="6">
        <f>(HLOOKUP('Yearly Pension'!AW$2,'Credited Service'!$G$1:$BC$80,$A66+1,FALSE)) * (IF($B66=500, (Assumptions!$B$7)*12, IF((HLOOKUP(AW$2,Earnings!$G$2:$BC$81,('Yearly Pension'!$A66)+1, FALSE)) &gt; AW$1, (Assumptions!$B$8)*(AW$1) + (Assumptions!$B$9)*MAX(0,  (HLOOKUP(AW$2,Earnings!$G$2:$BC$81,('Yearly Pension'!$A66)+1, FALSE)) - AW$1), ((Assumptions!$B$8)*'Yearly Pension'!AW$1))))</f>
        <v>2056.3746498767964</v>
      </c>
      <c r="AX66" s="6">
        <f>(HLOOKUP('Yearly Pension'!AX$2,'Credited Service'!$G$1:$BC$80,$A66+1,FALSE)) * (IF($B66=500, (Assumptions!$B$7)*12, IF((HLOOKUP(AX$2,Earnings!$G$2:$BC$81,('Yearly Pension'!$A66)+1, FALSE)) &gt; AX$1, (Assumptions!$B$8)*(AX$1) + (Assumptions!$B$9)*MAX(0,  (HLOOKUP(AX$2,Earnings!$G$2:$BC$81,('Yearly Pension'!$A66)+1, FALSE)) - AX$1), ((Assumptions!$B$8)*'Yearly Pension'!AX$1))))</f>
        <v>2114.3922893731001</v>
      </c>
      <c r="AY66" s="6">
        <f>(HLOOKUP('Yearly Pension'!AY$2,'Credited Service'!$G$1:$BC$80,$A66+1,FALSE)) * (IF($B66=500, (Assumptions!$B$7)*12, IF((HLOOKUP(AY$2,Earnings!$G$2:$BC$81,('Yearly Pension'!$A66)+1, FALSE)) &gt; AY$1, (Assumptions!$B$8)*(AY$1) + (Assumptions!$B$9)*MAX(0,  (HLOOKUP(AY$2,Earnings!$G$2:$BC$81,('Yearly Pension'!$A66)+1, FALSE)) - AY$1), ((Assumptions!$B$8)*'Yearly Pension'!AY$1))))</f>
        <v>2174.0035140542932</v>
      </c>
      <c r="AZ66" s="6">
        <f>(HLOOKUP('Yearly Pension'!AZ$2,'Credited Service'!$G$1:$BC$80,$A66+1,FALSE)) * (IF($B66=500, (Assumptions!$B$7)*12, IF((HLOOKUP(AZ$2,Earnings!$G$2:$BC$81,('Yearly Pension'!$A66)+1, FALSE)) &gt; AZ$1, (Assumptions!$B$8)*(AZ$1) + (Assumptions!$B$9)*MAX(0,  (HLOOKUP(AZ$2,Earnings!$G$2:$BC$81,('Yearly Pension'!$A66)+1, FALSE)) - AZ$1), ((Assumptions!$B$8)*'Yearly Pension'!AZ$1))))</f>
        <v>2235.2502537159226</v>
      </c>
      <c r="BA66" s="6">
        <f>(HLOOKUP('Yearly Pension'!BA$2,'Credited Service'!$G$1:$BC$80,$A66+1,FALSE)) * (IF($B66=500, (Assumptions!$B$7)*12, IF((HLOOKUP(BA$2,Earnings!$G$2:$BC$81,('Yearly Pension'!$A66)+1, FALSE)) &gt; BA$1, (Assumptions!$B$8)*(BA$1) + (Assumptions!$B$9)*MAX(0,  (HLOOKUP(BA$2,Earnings!$G$2:$BC$81,('Yearly Pension'!$A66)+1, FALSE)) - BA$1), ((Assumptions!$B$8)*'Yearly Pension'!BA$1))))</f>
        <v>2298.175460937</v>
      </c>
      <c r="BB66" s="6">
        <f>(HLOOKUP('Yearly Pension'!BB$2,'Credited Service'!$G$1:$BC$80,$A66+1,FALSE)) * (IF($B66=500, (Assumptions!$B$7)*12, IF((HLOOKUP(BB$2,Earnings!$G$2:$BC$81,('Yearly Pension'!$A66)+1, FALSE)) &gt; BB$1, (Assumptions!$B$8)*(BB$1) + (Assumptions!$B$9)*MAX(0,  (HLOOKUP(BB$2,Earnings!$G$2:$BC$81,('Yearly Pension'!$A66)+1, FALSE)) - BB$1), ((Assumptions!$B$8)*'Yearly Pension'!BB$1))))</f>
        <v>2362.823132359094</v>
      </c>
      <c r="BC66" s="6">
        <f>(HLOOKUP('Yearly Pension'!BC$2,'Credited Service'!$G$1:$BC$80,$A66+1,FALSE)) * (IF($B66=500, (Assumptions!$B$7)*12, IF((HLOOKUP(BC$2,Earnings!$G$2:$BC$81,('Yearly Pension'!$A66)+1, FALSE)) &gt; BC$1, (Assumptions!$B$8)*(BC$1) + (Assumptions!$B$9)*MAX(0,  (HLOOKUP(BC$2,Earnings!$G$2:$BC$81,('Yearly Pension'!$A66)+1, FALSE)) - BC$1), ((Assumptions!$B$8)*'Yearly Pension'!BC$1))))</f>
        <v>2429.2383302276103</v>
      </c>
    </row>
    <row r="67" spans="1:55" x14ac:dyDescent="0.25">
      <c r="A67" s="204">
        <v>65</v>
      </c>
      <c r="B67" s="1">
        <v>600</v>
      </c>
      <c r="C67" s="1">
        <v>564</v>
      </c>
      <c r="D67" s="3">
        <v>32155</v>
      </c>
      <c r="E67" s="3">
        <v>47362</v>
      </c>
      <c r="G67" s="6">
        <f>(HLOOKUP('Yearly Pension'!G$2,'Credited Service'!$G$1:$BC$80,$A67+1,FALSE)) * (IF($B67=500, (Assumptions!$B$7)*12, IF((HLOOKUP(G$2,Earnings!$G$2:$BC$81,('Yearly Pension'!$A67)+1, FALSE)) &gt; G$1, (Assumptions!$B$8)*(G$1) + (Assumptions!$B$9)*MAX(0,  (HLOOKUP(G$2,Earnings!$G$2:$BC$81,('Yearly Pension'!$A67)+1, FALSE)) - G$1), ((Assumptions!$B$8)*'Yearly Pension'!G$1))))</f>
        <v>0</v>
      </c>
      <c r="H67" s="6">
        <f>(HLOOKUP('Yearly Pension'!H$2,'Credited Service'!$G$1:$BC$80,$A67+1,FALSE)) * (IF($B67=500, (Assumptions!$B$7)*12, IF((HLOOKUP(H$2,Earnings!$G$2:$BC$81,('Yearly Pension'!$A67)+1, FALSE)) &gt; H$1, (Assumptions!$B$8)*(H$1) + (Assumptions!$B$9)*MAX(0,  (HLOOKUP(H$2,Earnings!$G$2:$BC$81,('Yearly Pension'!$A67)+1, FALSE)) - H$1), ((Assumptions!$B$8)*'Yearly Pension'!H$1))))</f>
        <v>0</v>
      </c>
      <c r="I67" s="6">
        <f>(HLOOKUP('Yearly Pension'!I$2,'Credited Service'!$G$1:$BC$80,$A67+1,FALSE)) * (IF($B67=500, (Assumptions!$B$7)*12, IF((HLOOKUP(I$2,Earnings!$G$2:$BC$81,('Yearly Pension'!$A67)+1, FALSE)) &gt; I$1, (Assumptions!$B$8)*(I$1) + (Assumptions!$B$9)*MAX(0,  (HLOOKUP(I$2,Earnings!$G$2:$BC$81,('Yearly Pension'!$A67)+1, FALSE)) - I$1), ((Assumptions!$B$8)*'Yearly Pension'!I$1))))</f>
        <v>0</v>
      </c>
      <c r="J67" s="6">
        <f>(HLOOKUP('Yearly Pension'!J$2,'Credited Service'!$G$1:$BC$80,$A67+1,FALSE)) * (IF($B67=500, (Assumptions!$B$7)*12, IF((HLOOKUP(J$2,Earnings!$G$2:$BC$81,('Yearly Pension'!$A67)+1, FALSE)) &gt; J$1, (Assumptions!$B$8)*(J$1) + (Assumptions!$B$9)*MAX(0,  (HLOOKUP(J$2,Earnings!$G$2:$BC$81,('Yearly Pension'!$A67)+1, FALSE)) - J$1), ((Assumptions!$B$8)*'Yearly Pension'!J$1))))</f>
        <v>0</v>
      </c>
      <c r="K67" s="6">
        <f>(HLOOKUP('Yearly Pension'!K$2,'Credited Service'!$G$1:$BC$80,$A67+1,FALSE)) * (IF($B67=500, (Assumptions!$B$7)*12, IF((HLOOKUP(K$2,Earnings!$G$2:$BC$81,('Yearly Pension'!$A67)+1, FALSE)) &gt; K$1, (Assumptions!$B$8)*(K$1) + (Assumptions!$B$9)*MAX(0,  (HLOOKUP(K$2,Earnings!$G$2:$BC$81,('Yearly Pension'!$A67)+1, FALSE)) - K$1), ((Assumptions!$B$8)*'Yearly Pension'!K$1))))</f>
        <v>0</v>
      </c>
      <c r="L67" s="6">
        <f>(HLOOKUP('Yearly Pension'!L$2,'Credited Service'!$G$1:$BC$80,$A67+1,FALSE)) * (IF($B67=500, (Assumptions!$B$7)*12, IF((HLOOKUP(L$2,Earnings!$G$2:$BC$81,('Yearly Pension'!$A67)+1, FALSE)) &gt; L$1, (Assumptions!$B$8)*(L$1) + (Assumptions!$B$9)*MAX(0,  (HLOOKUP(L$2,Earnings!$G$2:$BC$81,('Yearly Pension'!$A67)+1, FALSE)) - L$1), ((Assumptions!$B$8)*'Yearly Pension'!L$1))))</f>
        <v>0</v>
      </c>
      <c r="M67" s="6">
        <f>(HLOOKUP('Yearly Pension'!M$2,'Credited Service'!$G$1:$BC$80,$A67+1,FALSE)) * (IF($B67=500, (Assumptions!$B$7)*12, IF((HLOOKUP(M$2,Earnings!$G$2:$BC$81,('Yearly Pension'!$A67)+1, FALSE)) &gt; M$1, (Assumptions!$B$8)*(M$1) + (Assumptions!$B$9)*MAX(0,  (HLOOKUP(M$2,Earnings!$G$2:$BC$81,('Yearly Pension'!$A67)+1, FALSE)) - M$1), ((Assumptions!$B$8)*'Yearly Pension'!M$1))))</f>
        <v>0</v>
      </c>
      <c r="N67" s="6">
        <f>(HLOOKUP('Yearly Pension'!N$2,'Credited Service'!$G$1:$BC$80,$A67+1,FALSE)) * (IF($B67=500, (Assumptions!$B$7)*12, IF((HLOOKUP(N$2,Earnings!$G$2:$BC$81,('Yearly Pension'!$A67)+1, FALSE)) &gt; N$1, (Assumptions!$B$8)*(N$1) + (Assumptions!$B$9)*MAX(0,  (HLOOKUP(N$2,Earnings!$G$2:$BC$81,('Yearly Pension'!$A67)+1, FALSE)) - N$1), ((Assumptions!$B$8)*'Yearly Pension'!N$1))))</f>
        <v>0</v>
      </c>
      <c r="O67" s="6">
        <f>(HLOOKUP('Yearly Pension'!O$2,'Credited Service'!$G$1:$BC$80,$A67+1,FALSE)) * (IF($B67=500, (Assumptions!$B$7)*12, IF((HLOOKUP(O$2,Earnings!$G$2:$BC$81,('Yearly Pension'!$A67)+1, FALSE)) &gt; O$1, (Assumptions!$B$8)*(O$1) + (Assumptions!$B$9)*MAX(0,  (HLOOKUP(O$2,Earnings!$G$2:$BC$81,('Yearly Pension'!$A67)+1, FALSE)) - O$1), ((Assumptions!$B$8)*'Yearly Pension'!O$1))))</f>
        <v>0</v>
      </c>
      <c r="P67" s="6">
        <f>(HLOOKUP('Yearly Pension'!P$2,'Credited Service'!$G$1:$BC$80,$A67+1,FALSE)) * (IF($B67=500, (Assumptions!$B$7)*12, IF((HLOOKUP(P$2,Earnings!$G$2:$BC$81,('Yearly Pension'!$A67)+1, FALSE)) &gt; P$1, (Assumptions!$B$8)*(P$1) + (Assumptions!$B$9)*MAX(0,  (HLOOKUP(P$2,Earnings!$G$2:$BC$81,('Yearly Pension'!$A67)+1, FALSE)) - P$1), ((Assumptions!$B$8)*'Yearly Pension'!P$1))))</f>
        <v>0</v>
      </c>
      <c r="Q67" s="6">
        <f>(HLOOKUP('Yearly Pension'!Q$2,'Credited Service'!$G$1:$BC$80,$A67+1,FALSE)) * (IF($B67=500, (Assumptions!$B$7)*12, IF((HLOOKUP(Q$2,Earnings!$G$2:$BC$81,('Yearly Pension'!$A67)+1, FALSE)) &gt; Q$1, (Assumptions!$B$8)*(Q$1) + (Assumptions!$B$9)*MAX(0,  (HLOOKUP(Q$2,Earnings!$G$2:$BC$81,('Yearly Pension'!$A67)+1, FALSE)) - Q$1), ((Assumptions!$B$8)*'Yearly Pension'!Q$1))))</f>
        <v>0</v>
      </c>
      <c r="R67" s="6">
        <f>(HLOOKUP('Yearly Pension'!R$2,'Credited Service'!$G$1:$BC$80,$A67+1,FALSE)) * (IF($B67=500, (Assumptions!$B$7)*12, IF((HLOOKUP(R$2,Earnings!$G$2:$BC$81,('Yearly Pension'!$A67)+1, FALSE)) &gt; R$1, (Assumptions!$B$8)*(R$1) + (Assumptions!$B$9)*MAX(0,  (HLOOKUP(R$2,Earnings!$G$2:$BC$81,('Yearly Pension'!$A67)+1, FALSE)) - R$1), ((Assumptions!$B$8)*'Yearly Pension'!R$1))))</f>
        <v>541.25090525918677</v>
      </c>
      <c r="S67" s="6">
        <f>(HLOOKUP('Yearly Pension'!S$2,'Credited Service'!$G$1:$BC$80,$A67+1,FALSE)) * (IF($B67=500, (Assumptions!$B$7)*12, IF((HLOOKUP(S$2,Earnings!$G$2:$BC$81,('Yearly Pension'!$A67)+1, FALSE)) &gt; S$1, (Assumptions!$B$8)*(S$1) + (Assumptions!$B$9)*MAX(0,  (HLOOKUP(S$2,Earnings!$G$2:$BC$81,('Yearly Pension'!$A67)+1, FALSE)) - S$1), ((Assumptions!$B$8)*'Yearly Pension'!S$1))))</f>
        <v>613.17775433042277</v>
      </c>
      <c r="T67" s="6">
        <f>(HLOOKUP('Yearly Pension'!T$2,'Credited Service'!$G$1:$BC$80,$A67+1,FALSE)) * (IF($B67=500, (Assumptions!$B$7)*12, IF((HLOOKUP(T$2,Earnings!$G$2:$BC$81,('Yearly Pension'!$A67)+1, FALSE)) &gt; T$1, (Assumptions!$B$8)*(T$1) + (Assumptions!$B$9)*MAX(0,  (HLOOKUP(T$2,Earnings!$G$2:$BC$81,('Yearly Pension'!$A67)+1, FALSE)) - T$1), ((Assumptions!$B$8)*'Yearly Pension'!T$1))))</f>
        <v>637.11606450363956</v>
      </c>
      <c r="U67" s="6">
        <f>(HLOOKUP('Yearly Pension'!U$2,'Credited Service'!$G$1:$BC$80,$A67+1,FALSE)) * (IF($B67=500, (Assumptions!$B$7)*12, IF((HLOOKUP(U$2,Earnings!$G$2:$BC$81,('Yearly Pension'!$A67)+1, FALSE)) &gt; U$1, (Assumptions!$B$8)*(U$1) + (Assumptions!$B$9)*MAX(0,  (HLOOKUP(U$2,Earnings!$G$2:$BC$81,('Yearly Pension'!$A67)+1, FALSE)) - U$1), ((Assumptions!$B$8)*'Yearly Pension'!U$1))))</f>
        <v>659.75910708378512</v>
      </c>
      <c r="V67" s="6">
        <f>(HLOOKUP('Yearly Pension'!V$2,'Credited Service'!$G$1:$BC$80,$A67+1,FALSE)) * (IF($B67=500, (Assumptions!$B$7)*12, IF((HLOOKUP(V$2,Earnings!$G$2:$BC$81,('Yearly Pension'!$A67)+1, FALSE)) &gt; V$1, (Assumptions!$B$8)*(V$1) + (Assumptions!$B$9)*MAX(0,  (HLOOKUP(V$2,Earnings!$G$2:$BC$81,('Yearly Pension'!$A67)+1, FALSE)) - V$1), ((Assumptions!$B$8)*'Yearly Pension'!V$1))))</f>
        <v>683.07747136713658</v>
      </c>
      <c r="W67" s="6">
        <f>(HLOOKUP('Yearly Pension'!W$2,'Credited Service'!$G$1:$BC$80,$A67+1,FALSE)) * (IF($B67=500, (Assumptions!$B$7)*12, IF((HLOOKUP(W$2,Earnings!$G$2:$BC$81,('Yearly Pension'!$A67)+1, FALSE)) &gt; W$1, (Assumptions!$B$8)*(W$1) + (Assumptions!$B$9)*MAX(0,  (HLOOKUP(W$2,Earnings!$G$2:$BC$81,('Yearly Pension'!$A67)+1, FALSE)) - W$1), ((Assumptions!$B$8)*'Yearly Pension'!W$1))))</f>
        <v>710.96377022182196</v>
      </c>
      <c r="X67" s="6">
        <f>(HLOOKUP('Yearly Pension'!X$2,'Credited Service'!$G$1:$BC$80,$A67+1,FALSE)) * (IF($B67=500, (Assumptions!$B$7)*12, IF((HLOOKUP(X$2,Earnings!$G$2:$BC$81,('Yearly Pension'!$A67)+1, FALSE)) &gt; X$1, (Assumptions!$B$8)*(X$1) + (Assumptions!$B$9)*MAX(0,  (HLOOKUP(X$2,Earnings!$G$2:$BC$81,('Yearly Pension'!$A67)+1, FALSE)) - X$1), ((Assumptions!$B$8)*'Yearly Pension'!X$1))))</f>
        <v>741.55272103069501</v>
      </c>
      <c r="Y67" s="6">
        <f>(HLOOKUP('Yearly Pension'!Y$2,'Credited Service'!$G$1:$BC$80,$A67+1,FALSE)) * (IF($B67=500, (Assumptions!$B$7)*12, IF((HLOOKUP(Y$2,Earnings!$G$2:$BC$81,('Yearly Pension'!$A67)+1, FALSE)) &gt; Y$1, (Assumptions!$B$8)*(Y$1) + (Assumptions!$B$9)*MAX(0,  (HLOOKUP(Y$2,Earnings!$G$2:$BC$81,('Yearly Pension'!$A67)+1, FALSE)) - Y$1), ((Assumptions!$B$8)*'Yearly Pension'!Y$1))))</f>
        <v>776.82122987192281</v>
      </c>
      <c r="Z67" s="6">
        <f>(HLOOKUP('Yearly Pension'!Z$2,'Credited Service'!$G$1:$BC$80,$A67+1,FALSE)) * (IF($B67=500, (Assumptions!$B$7)*12, IF((HLOOKUP(Z$2,Earnings!$G$2:$BC$81,('Yearly Pension'!$A67)+1, FALSE)) &gt; Z$1, (Assumptions!$B$8)*(Z$1) + (Assumptions!$B$9)*MAX(0,  (HLOOKUP(Z$2,Earnings!$G$2:$BC$81,('Yearly Pension'!$A67)+1, FALSE)) - Z$1), ((Assumptions!$B$8)*'Yearly Pension'!Z$1))))</f>
        <v>813.62847906679985</v>
      </c>
      <c r="AA67" s="6">
        <f>(HLOOKUP('Yearly Pension'!AA$2,'Credited Service'!$G$1:$BC$80,$A67+1,FALSE)) * (IF($B67=500, (Assumptions!$B$7)*12, IF((HLOOKUP(AA$2,Earnings!$G$2:$BC$81,('Yearly Pension'!$A67)+1, FALSE)) &gt; AA$1, (Assumptions!$B$8)*(AA$1) + (Assumptions!$B$9)*MAX(0,  (HLOOKUP(AA$2,Earnings!$G$2:$BC$81,('Yearly Pension'!$A67)+1, FALSE)) - AA$1), ((Assumptions!$B$8)*'Yearly Pension'!AA$1))))</f>
        <v>852.67601822947177</v>
      </c>
      <c r="AB67" s="6">
        <f>(HLOOKUP('Yearly Pension'!AB$2,'Credited Service'!$G$1:$BC$80,$A67+1,FALSE)) * (IF($B67=500, (Assumptions!$B$7)*12, IF((HLOOKUP(AB$2,Earnings!$G$2:$BC$81,('Yearly Pension'!$A67)+1, FALSE)) &gt; AB$1, (Assumptions!$B$8)*(AB$1) + (Assumptions!$B$9)*MAX(0,  (HLOOKUP(AB$2,Earnings!$G$2:$BC$81,('Yearly Pension'!$A67)+1, FALSE)) - AB$1), ((Assumptions!$B$8)*'Yearly Pension'!AB$1))))</f>
        <v>888.90785895865076</v>
      </c>
      <c r="AC67" s="6">
        <f>(HLOOKUP('Yearly Pension'!AC$2,'Credited Service'!$G$1:$BC$80,$A67+1,FALSE)) * (IF($B67=500, (Assumptions!$B$7)*12, IF((HLOOKUP(AC$2,Earnings!$G$2:$BC$81,('Yearly Pension'!$A67)+1, FALSE)) &gt; AC$1, (Assumptions!$B$8)*(AC$1) + (Assumptions!$B$9)*MAX(0,  (HLOOKUP(AC$2,Earnings!$G$2:$BC$81,('Yearly Pension'!$A67)+1, FALSE)) - AC$1), ((Assumptions!$B$8)*'Yearly Pension'!AC$1))))</f>
        <v>930.71057331699694</v>
      </c>
      <c r="AD67" s="6">
        <f>(HLOOKUP('Yearly Pension'!AD$2,'Credited Service'!$G$1:$BC$80,$A67+1,FALSE)) * (IF($B67=500, (Assumptions!$B$7)*12, IF((HLOOKUP(AD$2,Earnings!$G$2:$BC$81,('Yearly Pension'!$A67)+1, FALSE)) &gt; AD$1, (Assumptions!$B$8)*(AD$1) + (Assumptions!$B$9)*MAX(0,  (HLOOKUP(AD$2,Earnings!$G$2:$BC$81,('Yearly Pension'!$A67)+1, FALSE)) - AD$1), ((Assumptions!$B$8)*'Yearly Pension'!AD$1))))</f>
        <v>976.23339624967684</v>
      </c>
      <c r="AE67" s="6">
        <f>(HLOOKUP('Yearly Pension'!AE$2,'Credited Service'!$G$1:$BC$80,$A67+1,FALSE)) * (IF($B67=500, (Assumptions!$B$7)*12, IF((HLOOKUP(AE$2,Earnings!$G$2:$BC$81,('Yearly Pension'!$A67)+1, FALSE)) &gt; AE$1, (Assumptions!$B$8)*(AE$1) + (Assumptions!$B$9)*MAX(0,  (HLOOKUP(AE$2,Earnings!$G$2:$BC$81,('Yearly Pension'!$A67)+1, FALSE)) - AE$1), ((Assumptions!$B$8)*'Yearly Pension'!AE$1))))</f>
        <v>1020.428332099664</v>
      </c>
      <c r="AF67" s="6">
        <f>(HLOOKUP('Yearly Pension'!AF$2,'Credited Service'!$G$1:$BC$80,$A67+1,FALSE)) * (IF($B67=500, (Assumptions!$B$7)*12, IF((HLOOKUP(AF$2,Earnings!$G$2:$BC$81,('Yearly Pension'!$A67)+1, FALSE)) &gt; AF$1, (Assumptions!$B$8)*(AF$1) + (Assumptions!$B$9)*MAX(0,  (HLOOKUP(AF$2,Earnings!$G$2:$BC$81,('Yearly Pension'!$A67)+1, FALSE)) - AF$1), ((Assumptions!$B$8)*'Yearly Pension'!AF$1))))</f>
        <v>1065.9302653836505</v>
      </c>
      <c r="AG67" s="6">
        <f>(HLOOKUP('Yearly Pension'!AG$2,'Credited Service'!$G$1:$BC$80,$A67+1,FALSE)) * (IF($B67=500, (Assumptions!$B$7)*12, IF((HLOOKUP(AG$2,Earnings!$G$2:$BC$81,('Yearly Pension'!$A67)+1, FALSE)) &gt; AG$1, (Assumptions!$B$8)*(AG$1) + (Assumptions!$B$9)*MAX(0,  (HLOOKUP(AG$2,Earnings!$G$2:$BC$81,('Yearly Pension'!$A67)+1, FALSE)) - AG$1), ((Assumptions!$B$8)*'Yearly Pension'!AG$1))))</f>
        <v>1113.4570759989967</v>
      </c>
      <c r="AH67" s="6">
        <f>(HLOOKUP('Yearly Pension'!AH$2,'Credited Service'!$G$1:$BC$80,$A67+1,FALSE)) * (IF($B67=500, (Assumptions!$B$7)*12, IF((HLOOKUP(AH$2,Earnings!$G$2:$BC$81,('Yearly Pension'!$A67)+1, FALSE)) &gt; AH$1, (Assumptions!$B$8)*(AH$1) + (Assumptions!$B$9)*MAX(0,  (HLOOKUP(AH$2,Earnings!$G$2:$BC$81,('Yearly Pension'!$A67)+1, FALSE)) - AH$1), ((Assumptions!$B$8)*'Yearly Pension'!AH$1))))</f>
        <v>1164.3697590389565</v>
      </c>
      <c r="AI67" s="6">
        <f>(HLOOKUP('Yearly Pension'!AI$2,'Credited Service'!$G$1:$BC$80,$A67+1,FALSE)) * (IF($B67=500, (Assumptions!$B$7)*12, IF((HLOOKUP(AI$2,Earnings!$G$2:$BC$81,('Yearly Pension'!$A67)+1, FALSE)) &gt; AI$1, (Assumptions!$B$8)*(AI$1) + (Assumptions!$B$9)*MAX(0,  (HLOOKUP(AI$2,Earnings!$G$2:$BC$81,('Yearly Pension'!$A67)+1, FALSE)) - AI$1), ((Assumptions!$B$8)*'Yearly Pension'!AI$1))))</f>
        <v>1217.4725494005149</v>
      </c>
      <c r="AJ67" s="6">
        <f>(HLOOKUP('Yearly Pension'!AJ$2,'Credited Service'!$G$1:$BC$80,$A67+1,FALSE)) * (IF($B67=500, (Assumptions!$B$7)*12, IF((HLOOKUP(AJ$2,Earnings!$G$2:$BC$81,('Yearly Pension'!$A67)+1, FALSE)) &gt; AJ$1, (Assumptions!$B$8)*(AJ$1) + (Assumptions!$B$9)*MAX(0,  (HLOOKUP(AJ$2,Earnings!$G$2:$BC$81,('Yearly Pension'!$A67)+1, FALSE)) - AJ$1), ((Assumptions!$B$8)*'Yearly Pension'!AJ$1))))</f>
        <v>1270.2930513765357</v>
      </c>
      <c r="AK67" s="6">
        <f>(HLOOKUP('Yearly Pension'!AK$2,'Credited Service'!$G$1:$BC$80,$A67+1,FALSE)) * (IF($B67=500, (Assumptions!$B$7)*12, IF((HLOOKUP(AK$2,Earnings!$G$2:$BC$81,('Yearly Pension'!$A67)+1, FALSE)) &gt; AK$1, (Assumptions!$B$8)*(AK$1) + (Assumptions!$B$9)*MAX(0,  (HLOOKUP(AK$2,Earnings!$G$2:$BC$81,('Yearly Pension'!$A67)+1, FALSE)) - AK$1), ((Assumptions!$B$8)*'Yearly Pension'!AK$1))))</f>
        <v>1321.642373431597</v>
      </c>
      <c r="AL67" s="6">
        <f>(HLOOKUP('Yearly Pension'!AL$2,'Credited Service'!$G$1:$BC$80,$A67+1,FALSE)) * (IF($B67=500, (Assumptions!$B$7)*12, IF((HLOOKUP(AL$2,Earnings!$G$2:$BC$81,('Yearly Pension'!$A67)+1, FALSE)) &gt; AL$1, (Assumptions!$B$8)*(AL$1) + (Assumptions!$B$9)*MAX(0,  (HLOOKUP(AL$2,Earnings!$G$2:$BC$81,('Yearly Pension'!$A67)+1, FALSE)) - AL$1), ((Assumptions!$B$8)*'Yearly Pension'!AL$1))))</f>
        <v>1378.0152683688611</v>
      </c>
      <c r="AM67" s="6">
        <f>(HLOOKUP('Yearly Pension'!AM$2,'Credited Service'!$G$1:$BC$80,$A67+1,FALSE)) * (IF($B67=500, (Assumptions!$B$7)*12, IF((HLOOKUP(AM$2,Earnings!$G$2:$BC$81,('Yearly Pension'!$A67)+1, FALSE)) &gt; AM$1, (Assumptions!$B$8)*(AM$1) + (Assumptions!$B$9)*MAX(0,  (HLOOKUP(AM$2,Earnings!$G$2:$BC$81,('Yearly Pension'!$A67)+1, FALSE)) - AM$1), ((Assumptions!$B$8)*'Yearly Pension'!AM$1))))</f>
        <v>1435.6702791036155</v>
      </c>
      <c r="AN67" s="6">
        <f>(HLOOKUP('Yearly Pension'!AN$2,'Credited Service'!$G$1:$BC$80,$A67+1,FALSE)) * (IF($B67=500, (Assumptions!$B$7)*12, IF((HLOOKUP(AN$2,Earnings!$G$2:$BC$81,('Yearly Pension'!$A67)+1, FALSE)) &gt; AN$1, (Assumptions!$B$8)*(AN$1) + (Assumptions!$B$9)*MAX(0,  (HLOOKUP(AN$2,Earnings!$G$2:$BC$81,('Yearly Pension'!$A67)+1, FALSE)) - AN$1), ((Assumptions!$B$8)*'Yearly Pension'!AN$1))))</f>
        <v>1499.1898902677603</v>
      </c>
      <c r="AO67" s="6">
        <f>(HLOOKUP('Yearly Pension'!AO$2,'Credited Service'!$G$1:$BC$80,$A67+1,FALSE)) * (IF($B67=500, (Assumptions!$B$7)*12, IF((HLOOKUP(AO$2,Earnings!$G$2:$BC$81,('Yearly Pension'!$A67)+1, FALSE)) &gt; AO$1, (Assumptions!$B$8)*(AO$1) + (Assumptions!$B$9)*MAX(0,  (HLOOKUP(AO$2,Earnings!$G$2:$BC$81,('Yearly Pension'!$A67)+1, FALSE)) - AO$1), ((Assumptions!$B$8)*'Yearly Pension'!AO$1))))</f>
        <v>1564.2006858784707</v>
      </c>
      <c r="AP67" s="6">
        <f>(HLOOKUP('Yearly Pension'!AP$2,'Credited Service'!$G$1:$BC$80,$A67+1,FALSE)) * (IF($B67=500, (Assumptions!$B$7)*12, IF((HLOOKUP(AP$2,Earnings!$G$2:$BC$81,('Yearly Pension'!$A67)+1, FALSE)) &gt; AP$1, (Assumptions!$B$8)*(AP$1) + (Assumptions!$B$9)*MAX(0,  (HLOOKUP(AP$2,Earnings!$G$2:$BC$81,('Yearly Pension'!$A67)+1, FALSE)) - AP$1), ((Assumptions!$B$8)*'Yearly Pension'!AP$1))))</f>
        <v>1627.6135133136095</v>
      </c>
      <c r="AQ67" s="6">
        <f>(HLOOKUP('Yearly Pension'!AQ$2,'Credited Service'!$G$1:$BC$80,$A67+1,FALSE)) * (IF($B67=500, (Assumptions!$B$7)*12, IF((HLOOKUP(AQ$2,Earnings!$G$2:$BC$81,('Yearly Pension'!$A67)+1, FALSE)) &gt; AQ$1, (Assumptions!$B$8)*(AQ$1) + (Assumptions!$B$9)*MAX(0,  (HLOOKUP(AQ$2,Earnings!$G$2:$BC$81,('Yearly Pension'!$A67)+1, FALSE)) - AQ$1), ((Assumptions!$B$8)*'Yearly Pension'!AQ$1))))</f>
        <v>1699.1436538461537</v>
      </c>
      <c r="AR67" s="6">
        <f>(HLOOKUP('Yearly Pension'!AR$2,'Credited Service'!$G$1:$BC$80,$A67+1,FALSE)) * (IF($B67=500, (Assumptions!$B$7)*12, IF((HLOOKUP(AR$2,Earnings!$G$2:$BC$81,('Yearly Pension'!$A67)+1, FALSE)) &gt; AR$1, (Assumptions!$B$8)*(AR$1) + (Assumptions!$B$9)*MAX(0,  (HLOOKUP(AR$2,Earnings!$G$2:$BC$81,('Yearly Pension'!$A67)+1, FALSE)) - AR$1), ((Assumptions!$B$8)*'Yearly Pension'!AR$1))))</f>
        <v>1771.231</v>
      </c>
      <c r="AS67" s="6">
        <f>(HLOOKUP('Yearly Pension'!AS$2,'Credited Service'!$G$1:$BC$80,$A67+1,FALSE)) * (IF($B67=500, (Assumptions!$B$7)*12, IF((HLOOKUP(AS$2,Earnings!$G$2:$BC$81,('Yearly Pension'!$A67)+1, FALSE)) &gt; AS$1, (Assumptions!$B$8)*(AS$1) + (Assumptions!$B$9)*MAX(0,  (HLOOKUP(AS$2,Earnings!$G$2:$BC$81,('Yearly Pension'!$A67)+1, FALSE)) - AS$1), ((Assumptions!$B$8)*'Yearly Pension'!AS$1))))</f>
        <v>1827.4079299999999</v>
      </c>
      <c r="AT67" s="6">
        <f>(HLOOKUP('Yearly Pension'!AT$2,'Credited Service'!$G$1:$BC$80,$A67+1,FALSE)) * (IF($B67=500, (Assumptions!$B$7)*12, IF((HLOOKUP(AT$2,Earnings!$G$2:$BC$81,('Yearly Pension'!$A67)+1, FALSE)) &gt; AT$1, (Assumptions!$B$8)*(AT$1) + (Assumptions!$B$9)*MAX(0,  (HLOOKUP(AT$2,Earnings!$G$2:$BC$81,('Yearly Pension'!$A67)+1, FALSE)) - AT$1), ((Assumptions!$B$8)*'Yearly Pension'!AT$1))))</f>
        <v>1884.2013679000002</v>
      </c>
      <c r="AU67" s="6">
        <f>(HLOOKUP('Yearly Pension'!AU$2,'Credited Service'!$G$1:$BC$80,$A67+1,FALSE)) * (IF($B67=500, (Assumptions!$B$7)*12, IF((HLOOKUP(AU$2,Earnings!$G$2:$BC$81,('Yearly Pension'!$A67)+1, FALSE)) &gt; AU$1, (Assumptions!$B$8)*(AU$1) + (Assumptions!$B$9)*MAX(0,  (HLOOKUP(AU$2,Earnings!$G$2:$BC$81,('Yearly Pension'!$A67)+1, FALSE)) - AU$1), ((Assumptions!$B$8)*'Yearly Pension'!AU$1))))</f>
        <v>1948.7082089370003</v>
      </c>
      <c r="AV67" s="6">
        <f>(HLOOKUP('Yearly Pension'!AV$2,'Credited Service'!$G$1:$BC$80,$A67+1,FALSE)) * (IF($B67=500, (Assumptions!$B$7)*12, IF((HLOOKUP(AV$2,Earnings!$G$2:$BC$81,('Yearly Pension'!$A67)+1, FALSE)) &gt; AV$1, (Assumptions!$B$8)*(AV$1) + (Assumptions!$B$9)*MAX(0,  (HLOOKUP(AV$2,Earnings!$G$2:$BC$81,('Yearly Pension'!$A67)+1, FALSE)) - AV$1), ((Assumptions!$B$8)*'Yearly Pension'!AV$1))))</f>
        <v>2013.9470552051105</v>
      </c>
      <c r="AW67" s="6">
        <f>(HLOOKUP('Yearly Pension'!AW$2,'Credited Service'!$G$1:$BC$80,$A67+1,FALSE)) * (IF($B67=500, (Assumptions!$B$7)*12, IF((HLOOKUP(AW$2,Earnings!$G$2:$BC$81,('Yearly Pension'!$A67)+1, FALSE)) &gt; AW$1, (Assumptions!$B$8)*(AW$1) + (Assumptions!$B$9)*MAX(0,  (HLOOKUP(AW$2,Earnings!$G$2:$BC$81,('Yearly Pension'!$A67)+1, FALSE)) - AW$1), ((Assumptions!$B$8)*'Yearly Pension'!AW$1))))</f>
        <v>2075.4982668612638</v>
      </c>
      <c r="AX67" s="6">
        <f>(HLOOKUP('Yearly Pension'!AX$2,'Credited Service'!$G$1:$BC$80,$A67+1,FALSE)) * (IF($B67=500, (Assumptions!$B$7)*12, IF((HLOOKUP(AX$2,Earnings!$G$2:$BC$81,('Yearly Pension'!$A67)+1, FALSE)) &gt; AX$1, (Assumptions!$B$8)*(AX$1) + (Assumptions!$B$9)*MAX(0,  (HLOOKUP(AX$2,Earnings!$G$2:$BC$81,('Yearly Pension'!$A67)+1, FALSE)) - AX$1), ((Assumptions!$B$8)*'Yearly Pension'!AX$1))))</f>
        <v>2134.0896148671018</v>
      </c>
      <c r="AY67" s="6">
        <f>(HLOOKUP('Yearly Pension'!AY$2,'Credited Service'!$G$1:$BC$80,$A67+1,FALSE)) * (IF($B67=500, (Assumptions!$B$7)*12, IF((HLOOKUP(AY$2,Earnings!$G$2:$BC$81,('Yearly Pension'!$A67)+1, FALSE)) &gt; AY$1, (Assumptions!$B$8)*(AY$1) + (Assumptions!$B$9)*MAX(0,  (HLOOKUP(AY$2,Earnings!$G$2:$BC$81,('Yearly Pension'!$A67)+1, FALSE)) - AY$1), ((Assumptions!$B$8)*'Yearly Pension'!AY$1))))</f>
        <v>2194.2917593131151</v>
      </c>
      <c r="AZ67" s="6">
        <f>(HLOOKUP('Yearly Pension'!AZ$2,'Credited Service'!$G$1:$BC$80,$A67+1,FALSE)) * (IF($B67=500, (Assumptions!$B$7)*12, IF((HLOOKUP(AZ$2,Earnings!$G$2:$BC$81,('Yearly Pension'!$A67)+1, FALSE)) &gt; AZ$1, (Assumptions!$B$8)*(AZ$1) + (Assumptions!$B$9)*MAX(0,  (HLOOKUP(AZ$2,Earnings!$G$2:$BC$81,('Yearly Pension'!$A67)+1, FALSE)) - AZ$1), ((Assumptions!$B$8)*'Yearly Pension'!AZ$1))))</f>
        <v>2256.1471463325083</v>
      </c>
      <c r="BA67" s="6">
        <f>(HLOOKUP('Yearly Pension'!BA$2,'Credited Service'!$G$1:$BC$80,$A67+1,FALSE)) * (IF($B67=500, (Assumptions!$B$7)*12, IF((HLOOKUP(BA$2,Earnings!$G$2:$BC$81,('Yearly Pension'!$A67)+1, FALSE)) &gt; BA$1, (Assumptions!$B$8)*(BA$1) + (Assumptions!$B$9)*MAX(0,  (HLOOKUP(BA$2,Earnings!$G$2:$BC$81,('Yearly Pension'!$A67)+1, FALSE)) - BA$1), ((Assumptions!$B$8)*'Yearly Pension'!BA$1))))</f>
        <v>2319.6992603320837</v>
      </c>
      <c r="BB67" s="6">
        <f>(HLOOKUP('Yearly Pension'!BB$2,'Credited Service'!$G$1:$BC$80,$A67+1,FALSE)) * (IF($B67=500, (Assumptions!$B$7)*12, IF((HLOOKUP(BB$2,Earnings!$G$2:$BC$81,('Yearly Pension'!$A67)+1, FALSE)) &gt; BB$1, (Assumptions!$B$8)*(BB$1) + (Assumptions!$B$9)*MAX(0,  (HLOOKUP(BB$2,Earnings!$G$2:$BC$81,('Yearly Pension'!$A67)+1, FALSE)) - BB$1), ((Assumptions!$B$8)*'Yearly Pension'!BB$1))))</f>
        <v>2384.9926457360302</v>
      </c>
      <c r="BC67" s="6">
        <f>(HLOOKUP('Yearly Pension'!BC$2,'Credited Service'!$G$1:$BC$80,$A67+1,FALSE)) * (IF($B67=500, (Assumptions!$B$7)*12, IF((HLOOKUP(BC$2,Earnings!$G$2:$BC$81,('Yearly Pension'!$A67)+1, FALSE)) &gt; BC$1, (Assumptions!$B$8)*(BC$1) + (Assumptions!$B$9)*MAX(0,  (HLOOKUP(BC$2,Earnings!$G$2:$BC$81,('Yearly Pension'!$A67)+1, FALSE)) - BC$1), ((Assumptions!$B$8)*'Yearly Pension'!BC$1))))</f>
        <v>2452.0729290058543</v>
      </c>
    </row>
    <row r="68" spans="1:55" x14ac:dyDescent="0.25">
      <c r="A68" s="204">
        <v>66</v>
      </c>
      <c r="B68" s="1">
        <v>600</v>
      </c>
      <c r="C68" s="1">
        <v>561</v>
      </c>
      <c r="D68" s="3">
        <v>32082</v>
      </c>
      <c r="E68" s="3">
        <v>45778</v>
      </c>
      <c r="G68" s="6">
        <f>(HLOOKUP('Yearly Pension'!G$2,'Credited Service'!$G$1:$BC$80,$A68+1,FALSE)) * (IF($B68=500, (Assumptions!$B$7)*12, IF((HLOOKUP(G$2,Earnings!$G$2:$BC$81,('Yearly Pension'!$A68)+1, FALSE)) &gt; G$1, (Assumptions!$B$8)*(G$1) + (Assumptions!$B$9)*MAX(0,  (HLOOKUP(G$2,Earnings!$G$2:$BC$81,('Yearly Pension'!$A68)+1, FALSE)) - G$1), ((Assumptions!$B$8)*'Yearly Pension'!G$1))))</f>
        <v>0</v>
      </c>
      <c r="H68" s="6">
        <f>(HLOOKUP('Yearly Pension'!H$2,'Credited Service'!$G$1:$BC$80,$A68+1,FALSE)) * (IF($B68=500, (Assumptions!$B$7)*12, IF((HLOOKUP(H$2,Earnings!$G$2:$BC$81,('Yearly Pension'!$A68)+1, FALSE)) &gt; H$1, (Assumptions!$B$8)*(H$1) + (Assumptions!$B$9)*MAX(0,  (HLOOKUP(H$2,Earnings!$G$2:$BC$81,('Yearly Pension'!$A68)+1, FALSE)) - H$1), ((Assumptions!$B$8)*'Yearly Pension'!H$1))))</f>
        <v>0</v>
      </c>
      <c r="I68" s="6">
        <f>(HLOOKUP('Yearly Pension'!I$2,'Credited Service'!$G$1:$BC$80,$A68+1,FALSE)) * (IF($B68=500, (Assumptions!$B$7)*12, IF((HLOOKUP(I$2,Earnings!$G$2:$BC$81,('Yearly Pension'!$A68)+1, FALSE)) &gt; I$1, (Assumptions!$B$8)*(I$1) + (Assumptions!$B$9)*MAX(0,  (HLOOKUP(I$2,Earnings!$G$2:$BC$81,('Yearly Pension'!$A68)+1, FALSE)) - I$1), ((Assumptions!$B$8)*'Yearly Pension'!I$1))))</f>
        <v>0</v>
      </c>
      <c r="J68" s="6">
        <f>(HLOOKUP('Yearly Pension'!J$2,'Credited Service'!$G$1:$BC$80,$A68+1,FALSE)) * (IF($B68=500, (Assumptions!$B$7)*12, IF((HLOOKUP(J$2,Earnings!$G$2:$BC$81,('Yearly Pension'!$A68)+1, FALSE)) &gt; J$1, (Assumptions!$B$8)*(J$1) + (Assumptions!$B$9)*MAX(0,  (HLOOKUP(J$2,Earnings!$G$2:$BC$81,('Yearly Pension'!$A68)+1, FALSE)) - J$1), ((Assumptions!$B$8)*'Yearly Pension'!J$1))))</f>
        <v>0</v>
      </c>
      <c r="K68" s="6">
        <f>(HLOOKUP('Yearly Pension'!K$2,'Credited Service'!$G$1:$BC$80,$A68+1,FALSE)) * (IF($B68=500, (Assumptions!$B$7)*12, IF((HLOOKUP(K$2,Earnings!$G$2:$BC$81,('Yearly Pension'!$A68)+1, FALSE)) &gt; K$1, (Assumptions!$B$8)*(K$1) + (Assumptions!$B$9)*MAX(0,  (HLOOKUP(K$2,Earnings!$G$2:$BC$81,('Yearly Pension'!$A68)+1, FALSE)) - K$1), ((Assumptions!$B$8)*'Yearly Pension'!K$1))))</f>
        <v>0</v>
      </c>
      <c r="L68" s="6">
        <f>(HLOOKUP('Yearly Pension'!L$2,'Credited Service'!$G$1:$BC$80,$A68+1,FALSE)) * (IF($B68=500, (Assumptions!$B$7)*12, IF((HLOOKUP(L$2,Earnings!$G$2:$BC$81,('Yearly Pension'!$A68)+1, FALSE)) &gt; L$1, (Assumptions!$B$8)*(L$1) + (Assumptions!$B$9)*MAX(0,  (HLOOKUP(L$2,Earnings!$G$2:$BC$81,('Yearly Pension'!$A68)+1, FALSE)) - L$1), ((Assumptions!$B$8)*'Yearly Pension'!L$1))))</f>
        <v>0</v>
      </c>
      <c r="M68" s="6">
        <f>(HLOOKUP('Yearly Pension'!M$2,'Credited Service'!$G$1:$BC$80,$A68+1,FALSE)) * (IF($B68=500, (Assumptions!$B$7)*12, IF((HLOOKUP(M$2,Earnings!$G$2:$BC$81,('Yearly Pension'!$A68)+1, FALSE)) &gt; M$1, (Assumptions!$B$8)*(M$1) + (Assumptions!$B$9)*MAX(0,  (HLOOKUP(M$2,Earnings!$G$2:$BC$81,('Yearly Pension'!$A68)+1, FALSE)) - M$1), ((Assumptions!$B$8)*'Yearly Pension'!M$1))))</f>
        <v>0</v>
      </c>
      <c r="N68" s="6">
        <f>(HLOOKUP('Yearly Pension'!N$2,'Credited Service'!$G$1:$BC$80,$A68+1,FALSE)) * (IF($B68=500, (Assumptions!$B$7)*12, IF((HLOOKUP(N$2,Earnings!$G$2:$BC$81,('Yearly Pension'!$A68)+1, FALSE)) &gt; N$1, (Assumptions!$B$8)*(N$1) + (Assumptions!$B$9)*MAX(0,  (HLOOKUP(N$2,Earnings!$G$2:$BC$81,('Yearly Pension'!$A68)+1, FALSE)) - N$1), ((Assumptions!$B$8)*'Yearly Pension'!N$1))))</f>
        <v>0</v>
      </c>
      <c r="O68" s="6">
        <f>(HLOOKUP('Yearly Pension'!O$2,'Credited Service'!$G$1:$BC$80,$A68+1,FALSE)) * (IF($B68=500, (Assumptions!$B$7)*12, IF((HLOOKUP(O$2,Earnings!$G$2:$BC$81,('Yearly Pension'!$A68)+1, FALSE)) &gt; O$1, (Assumptions!$B$8)*(O$1) + (Assumptions!$B$9)*MAX(0,  (HLOOKUP(O$2,Earnings!$G$2:$BC$81,('Yearly Pension'!$A68)+1, FALSE)) - O$1), ((Assumptions!$B$8)*'Yearly Pension'!O$1))))</f>
        <v>0</v>
      </c>
      <c r="P68" s="6">
        <f>(HLOOKUP('Yearly Pension'!P$2,'Credited Service'!$G$1:$BC$80,$A68+1,FALSE)) * (IF($B68=500, (Assumptions!$B$7)*12, IF((HLOOKUP(P$2,Earnings!$G$2:$BC$81,('Yearly Pension'!$A68)+1, FALSE)) &gt; P$1, (Assumptions!$B$8)*(P$1) + (Assumptions!$B$9)*MAX(0,  (HLOOKUP(P$2,Earnings!$G$2:$BC$81,('Yearly Pension'!$A68)+1, FALSE)) - P$1), ((Assumptions!$B$8)*'Yearly Pension'!P$1))))</f>
        <v>0</v>
      </c>
      <c r="Q68" s="6">
        <f>(HLOOKUP('Yearly Pension'!Q$2,'Credited Service'!$G$1:$BC$80,$A68+1,FALSE)) * (IF($B68=500, (Assumptions!$B$7)*12, IF((HLOOKUP(Q$2,Earnings!$G$2:$BC$81,('Yearly Pension'!$A68)+1, FALSE)) &gt; Q$1, (Assumptions!$B$8)*(Q$1) + (Assumptions!$B$9)*MAX(0,  (HLOOKUP(Q$2,Earnings!$G$2:$BC$81,('Yearly Pension'!$A68)+1, FALSE)) - Q$1), ((Assumptions!$B$8)*'Yearly Pension'!Q$1))))</f>
        <v>95.130630566408513</v>
      </c>
      <c r="R68" s="6">
        <f>(HLOOKUP('Yearly Pension'!R$2,'Credited Service'!$G$1:$BC$80,$A68+1,FALSE)) * (IF($B68=500, (Assumptions!$B$7)*12, IF((HLOOKUP(R$2,Earnings!$G$2:$BC$81,('Yearly Pension'!$A68)+1, FALSE)) &gt; R$1, (Assumptions!$B$8)*(R$1) + (Assumptions!$B$9)*MAX(0,  (HLOOKUP(R$2,Earnings!$G$2:$BC$81,('Yearly Pension'!$A68)+1, FALSE)) - R$1), ((Assumptions!$B$8)*'Yearly Pension'!R$1))))</f>
        <v>596.40553473438899</v>
      </c>
      <c r="S68" s="6">
        <f>(HLOOKUP('Yearly Pension'!S$2,'Credited Service'!$G$1:$BC$80,$A68+1,FALSE)) * (IF($B68=500, (Assumptions!$B$7)*12, IF((HLOOKUP(S$2,Earnings!$G$2:$BC$81,('Yearly Pension'!$A68)+1, FALSE)) &gt; S$1, (Assumptions!$B$8)*(S$1) + (Assumptions!$B$9)*MAX(0,  (HLOOKUP(S$2,Earnings!$G$2:$BC$81,('Yearly Pension'!$A68)+1, FALSE)) - S$1), ((Assumptions!$B$8)*'Yearly Pension'!S$1))))</f>
        <v>619.36575612376464</v>
      </c>
      <c r="T68" s="6">
        <f>(HLOOKUP('Yearly Pension'!T$2,'Credited Service'!$G$1:$BC$80,$A68+1,FALSE)) * (IF($B68=500, (Assumptions!$B$7)*12, IF((HLOOKUP(T$2,Earnings!$G$2:$BC$81,('Yearly Pension'!$A68)+1, FALSE)) &gt; T$1, (Assumptions!$B$8)*(T$1) + (Assumptions!$B$9)*MAX(0,  (HLOOKUP(T$2,Earnings!$G$2:$BC$81,('Yearly Pension'!$A68)+1, FALSE)) - T$1), ((Assumptions!$B$8)*'Yearly Pension'!T$1))))</f>
        <v>643.55158636871533</v>
      </c>
      <c r="U68" s="6">
        <f>(HLOOKUP('Yearly Pension'!U$2,'Credited Service'!$G$1:$BC$80,$A68+1,FALSE)) * (IF($B68=500, (Assumptions!$B$7)*12, IF((HLOOKUP(U$2,Earnings!$G$2:$BC$81,('Yearly Pension'!$A68)+1, FALSE)) &gt; U$1, (Assumptions!$B$8)*(U$1) + (Assumptions!$B$9)*MAX(0,  (HLOOKUP(U$2,Earnings!$G$2:$BC$81,('Yearly Pension'!$A68)+1, FALSE)) - U$1), ((Assumptions!$B$8)*'Yearly Pension'!U$1))))</f>
        <v>666.45204982346399</v>
      </c>
      <c r="V68" s="6">
        <f>(HLOOKUP('Yearly Pension'!V$2,'Credited Service'!$G$1:$BC$80,$A68+1,FALSE)) * (IF($B68=500, (Assumptions!$B$7)*12, IF((HLOOKUP(V$2,Earnings!$G$2:$BC$81,('Yearly Pension'!$A68)+1, FALSE)) &gt; V$1, (Assumptions!$B$8)*(V$1) + (Assumptions!$B$9)*MAX(0,  (HLOOKUP(V$2,Earnings!$G$2:$BC$81,('Yearly Pension'!$A68)+1, FALSE)) - V$1), ((Assumptions!$B$8)*'Yearly Pension'!V$1))))</f>
        <v>690.0381318164026</v>
      </c>
      <c r="W68" s="6">
        <f>(HLOOKUP('Yearly Pension'!W$2,'Credited Service'!$G$1:$BC$80,$A68+1,FALSE)) * (IF($B68=500, (Assumptions!$B$7)*12, IF((HLOOKUP(W$2,Earnings!$G$2:$BC$81,('Yearly Pension'!$A68)+1, FALSE)) &gt; W$1, (Assumptions!$B$8)*(W$1) + (Assumptions!$B$9)*MAX(0,  (HLOOKUP(W$2,Earnings!$G$2:$BC$81,('Yearly Pension'!$A68)+1, FALSE)) - W$1), ((Assumptions!$B$8)*'Yearly Pension'!W$1))))</f>
        <v>718.20285708905863</v>
      </c>
      <c r="X68" s="6">
        <f>(HLOOKUP('Yearly Pension'!X$2,'Credited Service'!$G$1:$BC$80,$A68+1,FALSE)) * (IF($B68=500, (Assumptions!$B$7)*12, IF((HLOOKUP(X$2,Earnings!$G$2:$BC$81,('Yearly Pension'!$A68)+1, FALSE)) &gt; X$1, (Assumptions!$B$8)*(X$1) + (Assumptions!$B$9)*MAX(0,  (HLOOKUP(X$2,Earnings!$G$2:$BC$81,('Yearly Pension'!$A68)+1, FALSE)) - X$1), ((Assumptions!$B$8)*'Yearly Pension'!X$1))))</f>
        <v>749.08137137262111</v>
      </c>
      <c r="Y68" s="6">
        <f>(HLOOKUP('Yearly Pension'!Y$2,'Credited Service'!$G$1:$BC$80,$A68+1,FALSE)) * (IF($B68=500, (Assumptions!$B$7)*12, IF((HLOOKUP(Y$2,Earnings!$G$2:$BC$81,('Yearly Pension'!$A68)+1, FALSE)) &gt; Y$1, (Assumptions!$B$8)*(Y$1) + (Assumptions!$B$9)*MAX(0,  (HLOOKUP(Y$2,Earnings!$G$2:$BC$81,('Yearly Pension'!$A68)+1, FALSE)) - Y$1), ((Assumptions!$B$8)*'Yearly Pension'!Y$1))))</f>
        <v>784.65102622752579</v>
      </c>
      <c r="Z68" s="6">
        <f>(HLOOKUP('Yearly Pension'!Z$2,'Credited Service'!$G$1:$BC$80,$A68+1,FALSE)) * (IF($B68=500, (Assumptions!$B$7)*12, IF((HLOOKUP(Z$2,Earnings!$G$2:$BC$81,('Yearly Pension'!$A68)+1, FALSE)) &gt; Z$1, (Assumptions!$B$8)*(Z$1) + (Assumptions!$B$9)*MAX(0,  (HLOOKUP(Z$2,Earnings!$G$2:$BC$81,('Yearly Pension'!$A68)+1, FALSE)) - Z$1), ((Assumptions!$B$8)*'Yearly Pension'!Z$1))))</f>
        <v>821.77146727662694</v>
      </c>
      <c r="AA68" s="6">
        <f>(HLOOKUP('Yearly Pension'!AA$2,'Credited Service'!$G$1:$BC$80,$A68+1,FALSE)) * (IF($B68=500, (Assumptions!$B$7)*12, IF((HLOOKUP(AA$2,Earnings!$G$2:$BC$81,('Yearly Pension'!$A68)+1, FALSE)) &gt; AA$1, (Assumptions!$B$8)*(AA$1) + (Assumptions!$B$9)*MAX(0,  (HLOOKUP(AA$2,Earnings!$G$2:$BC$81,('Yearly Pension'!$A68)+1, FALSE)) - AA$1), ((Assumptions!$B$8)*'Yearly Pension'!AA$1))))</f>
        <v>861.14472596769201</v>
      </c>
      <c r="AB68" s="6">
        <f>(HLOOKUP('Yearly Pension'!AB$2,'Credited Service'!$G$1:$BC$80,$A68+1,FALSE)) * (IF($B68=500, (Assumptions!$B$7)*12, IF((HLOOKUP(AB$2,Earnings!$G$2:$BC$81,('Yearly Pension'!$A68)+1, FALSE)) &gt; AB$1, (Assumptions!$B$8)*(AB$1) + (Assumptions!$B$9)*MAX(0,  (HLOOKUP(AB$2,Earnings!$G$2:$BC$81,('Yearly Pension'!$A68)+1, FALSE)) - AB$1), ((Assumptions!$B$8)*'Yearly Pension'!AB$1))))</f>
        <v>897.71531500639981</v>
      </c>
      <c r="AC68" s="6">
        <f>(HLOOKUP('Yearly Pension'!AC$2,'Credited Service'!$G$1:$BC$80,$A68+1,FALSE)) * (IF($B68=500, (Assumptions!$B$7)*12, IF((HLOOKUP(AC$2,Earnings!$G$2:$BC$81,('Yearly Pension'!$A68)+1, FALSE)) &gt; AC$1, (Assumptions!$B$8)*(AC$1) + (Assumptions!$B$9)*MAX(0,  (HLOOKUP(AC$2,Earnings!$G$2:$BC$81,('Yearly Pension'!$A68)+1, FALSE)) - AC$1), ((Assumptions!$B$8)*'Yearly Pension'!AC$1))))</f>
        <v>939.87032760665579</v>
      </c>
      <c r="AD68" s="6">
        <f>(HLOOKUP('Yearly Pension'!AD$2,'Credited Service'!$G$1:$BC$80,$A68+1,FALSE)) * (IF($B68=500, (Assumptions!$B$7)*12, IF((HLOOKUP(AD$2,Earnings!$G$2:$BC$81,('Yearly Pension'!$A68)+1, FALSE)) &gt; AD$1, (Assumptions!$B$8)*(AD$1) + (Assumptions!$B$9)*MAX(0,  (HLOOKUP(AD$2,Earnings!$G$2:$BC$81,('Yearly Pension'!$A68)+1, FALSE)) - AD$1), ((Assumptions!$B$8)*'Yearly Pension'!AD$1))))</f>
        <v>985.75954071092201</v>
      </c>
      <c r="AE68" s="6">
        <f>(HLOOKUP('Yearly Pension'!AE$2,'Credited Service'!$G$1:$BC$80,$A68+1,FALSE)) * (IF($B68=500, (Assumptions!$B$7)*12, IF((HLOOKUP(AE$2,Earnings!$G$2:$BC$81,('Yearly Pension'!$A68)+1, FALSE)) &gt; AE$1, (Assumptions!$B$8)*(AE$1) + (Assumptions!$B$9)*MAX(0,  (HLOOKUP(AE$2,Earnings!$G$2:$BC$81,('Yearly Pension'!$A68)+1, FALSE)) - AE$1), ((Assumptions!$B$8)*'Yearly Pension'!AE$1))))</f>
        <v>1030.3355223393589</v>
      </c>
      <c r="AF68" s="6">
        <f>(HLOOKUP('Yearly Pension'!AF$2,'Credited Service'!$G$1:$BC$80,$A68+1,FALSE)) * (IF($B68=500, (Assumptions!$B$7)*12, IF((HLOOKUP(AF$2,Earnings!$G$2:$BC$81,('Yearly Pension'!$A68)+1, FALSE)) &gt; AF$1, (Assumptions!$B$8)*(AF$1) + (Assumptions!$B$9)*MAX(0,  (HLOOKUP(AF$2,Earnings!$G$2:$BC$81,('Yearly Pension'!$A68)+1, FALSE)) - AF$1), ((Assumptions!$B$8)*'Yearly Pension'!AF$1))))</f>
        <v>1076.2337432329332</v>
      </c>
      <c r="AG68" s="6">
        <f>(HLOOKUP('Yearly Pension'!AG$2,'Credited Service'!$G$1:$BC$80,$A68+1,FALSE)) * (IF($B68=500, (Assumptions!$B$7)*12, IF((HLOOKUP(AG$2,Earnings!$G$2:$BC$81,('Yearly Pension'!$A68)+1, FALSE)) &gt; AG$1, (Assumptions!$B$8)*(AG$1) + (Assumptions!$B$9)*MAX(0,  (HLOOKUP(AG$2,Earnings!$G$2:$BC$81,('Yearly Pension'!$A68)+1, FALSE)) - AG$1), ((Assumptions!$B$8)*'Yearly Pension'!AG$1))))</f>
        <v>1124.1726929622507</v>
      </c>
      <c r="AH68" s="6">
        <f>(HLOOKUP('Yearly Pension'!AH$2,'Credited Service'!$G$1:$BC$80,$A68+1,FALSE)) * (IF($B68=500, (Assumptions!$B$7)*12, IF((HLOOKUP(AH$2,Earnings!$G$2:$BC$81,('Yearly Pension'!$A68)+1, FALSE)) &gt; AH$1, (Assumptions!$B$8)*(AH$1) + (Assumptions!$B$9)*MAX(0,  (HLOOKUP(AH$2,Earnings!$G$2:$BC$81,('Yearly Pension'!$A68)+1, FALSE)) - AH$1), ((Assumptions!$B$8)*'Yearly Pension'!AH$1))))</f>
        <v>1175.514000680741</v>
      </c>
      <c r="AI68" s="6">
        <f>(HLOOKUP('Yearly Pension'!AI$2,'Credited Service'!$G$1:$BC$80,$A68+1,FALSE)) * (IF($B68=500, (Assumptions!$B$7)*12, IF((HLOOKUP(AI$2,Earnings!$G$2:$BC$81,('Yearly Pension'!$A68)+1, FALSE)) &gt; AI$1, (Assumptions!$B$8)*(AI$1) + (Assumptions!$B$9)*MAX(0,  (HLOOKUP(AI$2,Earnings!$G$2:$BC$81,('Yearly Pension'!$A68)+1, FALSE)) - AI$1), ((Assumptions!$B$8)*'Yearly Pension'!AI$1))))</f>
        <v>1229.0625607079703</v>
      </c>
      <c r="AJ68" s="6">
        <f>(HLOOKUP('Yearly Pension'!AJ$2,'Credited Service'!$G$1:$BC$80,$A68+1,FALSE)) * (IF($B68=500, (Assumptions!$B$7)*12, IF((HLOOKUP(AJ$2,Earnings!$G$2:$BC$81,('Yearly Pension'!$A68)+1, FALSE)) &gt; AJ$1, (Assumptions!$B$8)*(AJ$1) + (Assumptions!$B$9)*MAX(0,  (HLOOKUP(AJ$2,Earnings!$G$2:$BC$81,('Yearly Pension'!$A68)+1, FALSE)) - AJ$1), ((Assumptions!$B$8)*'Yearly Pension'!AJ$1))))</f>
        <v>1282.3466631362894</v>
      </c>
      <c r="AK68" s="6">
        <f>(HLOOKUP('Yearly Pension'!AK$2,'Credited Service'!$G$1:$BC$80,$A68+1,FALSE)) * (IF($B68=500, (Assumptions!$B$7)*12, IF((HLOOKUP(AK$2,Earnings!$G$2:$BC$81,('Yearly Pension'!$A68)+1, FALSE)) &gt; AK$1, (Assumptions!$B$8)*(AK$1) + (Assumptions!$B$9)*MAX(0,  (HLOOKUP(AK$2,Earnings!$G$2:$BC$81,('Yearly Pension'!$A68)+1, FALSE)) - AK$1), ((Assumptions!$B$8)*'Yearly Pension'!AK$1))))</f>
        <v>1334.178129661741</v>
      </c>
      <c r="AL68" s="6">
        <f>(HLOOKUP('Yearly Pension'!AL$2,'Credited Service'!$G$1:$BC$80,$A68+1,FALSE)) * (IF($B68=500, (Assumptions!$B$7)*12, IF((HLOOKUP(AL$2,Earnings!$G$2:$BC$81,('Yearly Pension'!$A68)+1, FALSE)) &gt; AL$1, (Assumptions!$B$8)*(AL$1) + (Assumptions!$B$9)*MAX(0,  (HLOOKUP(AL$2,Earnings!$G$2:$BC$81,('Yearly Pension'!$A68)+1, FALSE)) - AL$1), ((Assumptions!$B$8)*'Yearly Pension'!AL$1))))</f>
        <v>1391.0524548482106</v>
      </c>
      <c r="AM68" s="6">
        <f>(HLOOKUP('Yearly Pension'!AM$2,'Credited Service'!$G$1:$BC$80,$A68+1,FALSE)) * (IF($B68=500, (Assumptions!$B$7)*12, IF((HLOOKUP(AM$2,Earnings!$G$2:$BC$81,('Yearly Pension'!$A68)+1, FALSE)) &gt; AM$1, (Assumptions!$B$8)*(AM$1) + (Assumptions!$B$9)*MAX(0,  (HLOOKUP(AM$2,Earnings!$G$2:$BC$81,('Yearly Pension'!$A68)+1, FALSE)) - AM$1), ((Assumptions!$B$8)*'Yearly Pension'!AM$1))))</f>
        <v>1449.228953042139</v>
      </c>
      <c r="AN68" s="6">
        <f>(HLOOKUP('Yearly Pension'!AN$2,'Credited Service'!$G$1:$BC$80,$A68+1,FALSE)) * (IF($B68=500, (Assumptions!$B$7)*12, IF((HLOOKUP(AN$2,Earnings!$G$2:$BC$81,('Yearly Pension'!$A68)+1, FALSE)) &gt; AN$1, (Assumptions!$B$8)*(AN$1) + (Assumptions!$B$9)*MAX(0,  (HLOOKUP(AN$2,Earnings!$G$2:$BC$81,('Yearly Pension'!$A68)+1, FALSE)) - AN$1), ((Assumptions!$B$8)*'Yearly Pension'!AN$1))))</f>
        <v>1513.2909111638246</v>
      </c>
      <c r="AO68" s="6">
        <f>(HLOOKUP('Yearly Pension'!AO$2,'Credited Service'!$G$1:$BC$80,$A68+1,FALSE)) * (IF($B68=500, (Assumptions!$B$7)*12, IF((HLOOKUP(AO$2,Earnings!$G$2:$BC$81,('Yearly Pension'!$A68)+1, FALSE)) &gt; AO$1, (Assumptions!$B$8)*(AO$1) + (Assumptions!$B$9)*MAX(0,  (HLOOKUP(AO$2,Earnings!$G$2:$BC$81,('Yearly Pension'!$A68)+1, FALSE)) - AO$1), ((Assumptions!$B$8)*'Yearly Pension'!AO$1))))</f>
        <v>1578.8657476103776</v>
      </c>
      <c r="AP68" s="6">
        <f>(HLOOKUP('Yearly Pension'!AP$2,'Credited Service'!$G$1:$BC$80,$A68+1,FALSE)) * (IF($B68=500, (Assumptions!$B$7)*12, IF((HLOOKUP(AP$2,Earnings!$G$2:$BC$81,('Yearly Pension'!$A68)+1, FALSE)) &gt; AP$1, (Assumptions!$B$8)*(AP$1) + (Assumptions!$B$9)*MAX(0,  (HLOOKUP(AP$2,Earnings!$G$2:$BC$81,('Yearly Pension'!$A68)+1, FALSE)) - AP$1), ((Assumptions!$B$8)*'Yearly Pension'!AP$1))))</f>
        <v>1642.8651775147928</v>
      </c>
      <c r="AQ68" s="6">
        <f>(HLOOKUP('Yearly Pension'!AQ$2,'Credited Service'!$G$1:$BC$80,$A68+1,FALSE)) * (IF($B68=500, (Assumptions!$B$7)*12, IF((HLOOKUP(AQ$2,Earnings!$G$2:$BC$81,('Yearly Pension'!$A68)+1, FALSE)) &gt; AQ$1, (Assumptions!$B$8)*(AQ$1) + (Assumptions!$B$9)*MAX(0,  (HLOOKUP(AQ$2,Earnings!$G$2:$BC$81,('Yearly Pension'!$A68)+1, FALSE)) - AQ$1), ((Assumptions!$B$8)*'Yearly Pension'!AQ$1))))</f>
        <v>1715.0053846153846</v>
      </c>
      <c r="AR68" s="6">
        <f>(HLOOKUP('Yearly Pension'!AR$2,'Credited Service'!$G$1:$BC$80,$A68+1,FALSE)) * (IF($B68=500, (Assumptions!$B$7)*12, IF((HLOOKUP(AR$2,Earnings!$G$2:$BC$81,('Yearly Pension'!$A68)+1, FALSE)) &gt; AR$1, (Assumptions!$B$8)*(AR$1) + (Assumptions!$B$9)*MAX(0,  (HLOOKUP(AR$2,Earnings!$G$2:$BC$81,('Yearly Pension'!$A68)+1, FALSE)) - AR$1), ((Assumptions!$B$8)*'Yearly Pension'!AR$1))))</f>
        <v>1787.7272</v>
      </c>
      <c r="AS68" s="6">
        <f>(HLOOKUP('Yearly Pension'!AS$2,'Credited Service'!$G$1:$BC$80,$A68+1,FALSE)) * (IF($B68=500, (Assumptions!$B$7)*12, IF((HLOOKUP(AS$2,Earnings!$G$2:$BC$81,('Yearly Pension'!$A68)+1, FALSE)) &gt; AS$1, (Assumptions!$B$8)*(AS$1) + (Assumptions!$B$9)*MAX(0,  (HLOOKUP(AS$2,Earnings!$G$2:$BC$81,('Yearly Pension'!$A68)+1, FALSE)) - AS$1), ((Assumptions!$B$8)*'Yearly Pension'!AS$1))))</f>
        <v>1844.3990159999998</v>
      </c>
      <c r="AT68" s="6">
        <f>(HLOOKUP('Yearly Pension'!AT$2,'Credited Service'!$G$1:$BC$80,$A68+1,FALSE)) * (IF($B68=500, (Assumptions!$B$7)*12, IF((HLOOKUP(AT$2,Earnings!$G$2:$BC$81,('Yearly Pension'!$A68)+1, FALSE)) &gt; AT$1, (Assumptions!$B$8)*(AT$1) + (Assumptions!$B$9)*MAX(0,  (HLOOKUP(AT$2,Earnings!$G$2:$BC$81,('Yearly Pension'!$A68)+1, FALSE)) - AT$1), ((Assumptions!$B$8)*'Yearly Pension'!AT$1))))</f>
        <v>1901.7021864799999</v>
      </c>
      <c r="AU68" s="6">
        <f>(HLOOKUP('Yearly Pension'!AU$2,'Credited Service'!$G$1:$BC$80,$A68+1,FALSE)) * (IF($B68=500, (Assumptions!$B$7)*12, IF((HLOOKUP(AU$2,Earnings!$G$2:$BC$81,('Yearly Pension'!$A68)+1, FALSE)) &gt; AU$1, (Assumptions!$B$8)*(AU$1) + (Assumptions!$B$9)*MAX(0,  (HLOOKUP(AU$2,Earnings!$G$2:$BC$81,('Yearly Pension'!$A68)+1, FALSE)) - AU$1), ((Assumptions!$B$8)*'Yearly Pension'!AU$1))))</f>
        <v>1966.7340520744001</v>
      </c>
      <c r="AV68" s="6">
        <f>(HLOOKUP('Yearly Pension'!AV$2,'Credited Service'!$G$1:$BC$80,$A68+1,FALSE)) * (IF($B68=500, (Assumptions!$B$7)*12, IF((HLOOKUP(AV$2,Earnings!$G$2:$BC$81,('Yearly Pension'!$A68)+1, FALSE)) &gt; AV$1, (Assumptions!$B$8)*(AV$1) + (Assumptions!$B$9)*MAX(0,  (HLOOKUP(AV$2,Earnings!$G$2:$BC$81,('Yearly Pension'!$A68)+1, FALSE)) - AV$1), ((Assumptions!$B$8)*'Yearly Pension'!AV$1))))</f>
        <v>2032.5136736366326</v>
      </c>
      <c r="AW68" s="6">
        <f>(HLOOKUP('Yearly Pension'!AW$2,'Credited Service'!$G$1:$BC$80,$A68+1,FALSE)) * (IF($B68=500, (Assumptions!$B$7)*12, IF((HLOOKUP(AW$2,Earnings!$G$2:$BC$81,('Yearly Pension'!$A68)+1, FALSE)) &gt; AW$1, (Assumptions!$B$8)*(AW$1) + (Assumptions!$B$9)*MAX(0,  (HLOOKUP(AW$2,Earnings!$G$2:$BC$81,('Yearly Pension'!$A68)+1, FALSE)) - AW$1), ((Assumptions!$B$8)*'Yearly Pension'!AW$1))))</f>
        <v>2094.6218838457316</v>
      </c>
      <c r="AX68" s="6">
        <f>(HLOOKUP('Yearly Pension'!AX$2,'Credited Service'!$G$1:$BC$80,$A68+1,FALSE)) * (IF($B68=500, (Assumptions!$B$7)*12, IF((HLOOKUP(AX$2,Earnings!$G$2:$BC$81,('Yearly Pension'!$A68)+1, FALSE)) &gt; AX$1, (Assumptions!$B$8)*(AX$1) + (Assumptions!$B$9)*MAX(0,  (HLOOKUP(AX$2,Earnings!$G$2:$BC$81,('Yearly Pension'!$A68)+1, FALSE)) - AX$1), ((Assumptions!$B$8)*'Yearly Pension'!AX$1))))</f>
        <v>2153.7869403611035</v>
      </c>
      <c r="AY68" s="6">
        <f>(HLOOKUP('Yearly Pension'!AY$2,'Credited Service'!$G$1:$BC$80,$A68+1,FALSE)) * (IF($B68=500, (Assumptions!$B$7)*12, IF((HLOOKUP(AY$2,Earnings!$G$2:$BC$81,('Yearly Pension'!$A68)+1, FALSE)) &gt; AY$1, (Assumptions!$B$8)*(AY$1) + (Assumptions!$B$9)*MAX(0,  (HLOOKUP(AY$2,Earnings!$G$2:$BC$81,('Yearly Pension'!$A68)+1, FALSE)) - AY$1), ((Assumptions!$B$8)*'Yearly Pension'!AY$1))))</f>
        <v>2214.580004571937</v>
      </c>
      <c r="AZ68" s="6">
        <f>(HLOOKUP('Yearly Pension'!AZ$2,'Credited Service'!$G$1:$BC$80,$A68+1,FALSE)) * (IF($B68=500, (Assumptions!$B$7)*12, IF((HLOOKUP(AZ$2,Earnings!$G$2:$BC$81,('Yearly Pension'!$A68)+1, FALSE)) &gt; AZ$1, (Assumptions!$B$8)*(AZ$1) + (Assumptions!$B$9)*MAX(0,  (HLOOKUP(AZ$2,Earnings!$G$2:$BC$81,('Yearly Pension'!$A68)+1, FALSE)) - AZ$1), ((Assumptions!$B$8)*'Yearly Pension'!AZ$1))))</f>
        <v>2277.0440389490955</v>
      </c>
      <c r="BA68" s="6">
        <f>(HLOOKUP('Yearly Pension'!BA$2,'Credited Service'!$G$1:$BC$80,$A68+1,FALSE)) * (IF($B68=500, (Assumptions!$B$7)*12, IF((HLOOKUP(BA$2,Earnings!$G$2:$BC$81,('Yearly Pension'!$A68)+1, FALSE)) &gt; BA$1, (Assumptions!$B$8)*(BA$1) + (Assumptions!$B$9)*MAX(0,  (HLOOKUP(BA$2,Earnings!$G$2:$BC$81,('Yearly Pension'!$A68)+1, FALSE)) - BA$1), ((Assumptions!$B$8)*'Yearly Pension'!BA$1))))</f>
        <v>2341.2230597271682</v>
      </c>
      <c r="BB68" s="6">
        <f>(HLOOKUP('Yearly Pension'!BB$2,'Credited Service'!$G$1:$BC$80,$A68+1,FALSE)) * (IF($B68=500, (Assumptions!$B$7)*12, IF((HLOOKUP(BB$2,Earnings!$G$2:$BC$81,('Yearly Pension'!$A68)+1, FALSE)) &gt; BB$1, (Assumptions!$B$8)*(BB$1) + (Assumptions!$B$9)*MAX(0,  (HLOOKUP(BB$2,Earnings!$G$2:$BC$81,('Yearly Pension'!$A68)+1, FALSE)) - BB$1), ((Assumptions!$B$8)*'Yearly Pension'!BB$1))))</f>
        <v>2407.1621591129674</v>
      </c>
      <c r="BC68" s="6">
        <f>(HLOOKUP('Yearly Pension'!BC$2,'Credited Service'!$G$1:$BC$80,$A68+1,FALSE)) * (IF($B68=500, (Assumptions!$B$7)*12, IF((HLOOKUP(BC$2,Earnings!$G$2:$BC$81,('Yearly Pension'!$A68)+1, FALSE)) &gt; BC$1, (Assumptions!$B$8)*(BC$1) + (Assumptions!$B$9)*MAX(0,  (HLOOKUP(BC$2,Earnings!$G$2:$BC$81,('Yearly Pension'!$A68)+1, FALSE)) - BC$1), ((Assumptions!$B$8)*'Yearly Pension'!BC$1))))</f>
        <v>824.96917592803334</v>
      </c>
    </row>
    <row r="69" spans="1:55" x14ac:dyDescent="0.25">
      <c r="A69" s="204">
        <v>67</v>
      </c>
      <c r="B69" s="1">
        <v>600</v>
      </c>
      <c r="C69" s="1">
        <v>553</v>
      </c>
      <c r="D69" s="3">
        <v>31982</v>
      </c>
      <c r="E69" s="3">
        <v>48396</v>
      </c>
      <c r="G69" s="6">
        <f>(HLOOKUP('Yearly Pension'!G$2,'Credited Service'!$G$1:$BC$80,$A69+1,FALSE)) * (IF($B69=500, (Assumptions!$B$7)*12, IF((HLOOKUP(G$2,Earnings!$G$2:$BC$81,('Yearly Pension'!$A69)+1, FALSE)) &gt; G$1, (Assumptions!$B$8)*(G$1) + (Assumptions!$B$9)*MAX(0,  (HLOOKUP(G$2,Earnings!$G$2:$BC$81,('Yearly Pension'!$A69)+1, FALSE)) - G$1), ((Assumptions!$B$8)*'Yearly Pension'!G$1))))</f>
        <v>0</v>
      </c>
      <c r="H69" s="6">
        <f>(HLOOKUP('Yearly Pension'!H$2,'Credited Service'!$G$1:$BC$80,$A69+1,FALSE)) * (IF($B69=500, (Assumptions!$B$7)*12, IF((HLOOKUP(H$2,Earnings!$G$2:$BC$81,('Yearly Pension'!$A69)+1, FALSE)) &gt; H$1, (Assumptions!$B$8)*(H$1) + (Assumptions!$B$9)*MAX(0,  (HLOOKUP(H$2,Earnings!$G$2:$BC$81,('Yearly Pension'!$A69)+1, FALSE)) - H$1), ((Assumptions!$B$8)*'Yearly Pension'!H$1))))</f>
        <v>0</v>
      </c>
      <c r="I69" s="6">
        <f>(HLOOKUP('Yearly Pension'!I$2,'Credited Service'!$G$1:$BC$80,$A69+1,FALSE)) * (IF($B69=500, (Assumptions!$B$7)*12, IF((HLOOKUP(I$2,Earnings!$G$2:$BC$81,('Yearly Pension'!$A69)+1, FALSE)) &gt; I$1, (Assumptions!$B$8)*(I$1) + (Assumptions!$B$9)*MAX(0,  (HLOOKUP(I$2,Earnings!$G$2:$BC$81,('Yearly Pension'!$A69)+1, FALSE)) - I$1), ((Assumptions!$B$8)*'Yearly Pension'!I$1))))</f>
        <v>0</v>
      </c>
      <c r="J69" s="6">
        <f>(HLOOKUP('Yearly Pension'!J$2,'Credited Service'!$G$1:$BC$80,$A69+1,FALSE)) * (IF($B69=500, (Assumptions!$B$7)*12, IF((HLOOKUP(J$2,Earnings!$G$2:$BC$81,('Yearly Pension'!$A69)+1, FALSE)) &gt; J$1, (Assumptions!$B$8)*(J$1) + (Assumptions!$B$9)*MAX(0,  (HLOOKUP(J$2,Earnings!$G$2:$BC$81,('Yearly Pension'!$A69)+1, FALSE)) - J$1), ((Assumptions!$B$8)*'Yearly Pension'!J$1))))</f>
        <v>0</v>
      </c>
      <c r="K69" s="6">
        <f>(HLOOKUP('Yearly Pension'!K$2,'Credited Service'!$G$1:$BC$80,$A69+1,FALSE)) * (IF($B69=500, (Assumptions!$B$7)*12, IF((HLOOKUP(K$2,Earnings!$G$2:$BC$81,('Yearly Pension'!$A69)+1, FALSE)) &gt; K$1, (Assumptions!$B$8)*(K$1) + (Assumptions!$B$9)*MAX(0,  (HLOOKUP(K$2,Earnings!$G$2:$BC$81,('Yearly Pension'!$A69)+1, FALSE)) - K$1), ((Assumptions!$B$8)*'Yearly Pension'!K$1))))</f>
        <v>0</v>
      </c>
      <c r="L69" s="6">
        <f>(HLOOKUP('Yearly Pension'!L$2,'Credited Service'!$G$1:$BC$80,$A69+1,FALSE)) * (IF($B69=500, (Assumptions!$B$7)*12, IF((HLOOKUP(L$2,Earnings!$G$2:$BC$81,('Yearly Pension'!$A69)+1, FALSE)) &gt; L$1, (Assumptions!$B$8)*(L$1) + (Assumptions!$B$9)*MAX(0,  (HLOOKUP(L$2,Earnings!$G$2:$BC$81,('Yearly Pension'!$A69)+1, FALSE)) - L$1), ((Assumptions!$B$8)*'Yearly Pension'!L$1))))</f>
        <v>0</v>
      </c>
      <c r="M69" s="6">
        <f>(HLOOKUP('Yearly Pension'!M$2,'Credited Service'!$G$1:$BC$80,$A69+1,FALSE)) * (IF($B69=500, (Assumptions!$B$7)*12, IF((HLOOKUP(M$2,Earnings!$G$2:$BC$81,('Yearly Pension'!$A69)+1, FALSE)) &gt; M$1, (Assumptions!$B$8)*(M$1) + (Assumptions!$B$9)*MAX(0,  (HLOOKUP(M$2,Earnings!$G$2:$BC$81,('Yearly Pension'!$A69)+1, FALSE)) - M$1), ((Assumptions!$B$8)*'Yearly Pension'!M$1))))</f>
        <v>0</v>
      </c>
      <c r="N69" s="6">
        <f>(HLOOKUP('Yearly Pension'!N$2,'Credited Service'!$G$1:$BC$80,$A69+1,FALSE)) * (IF($B69=500, (Assumptions!$B$7)*12, IF((HLOOKUP(N$2,Earnings!$G$2:$BC$81,('Yearly Pension'!$A69)+1, FALSE)) &gt; N$1, (Assumptions!$B$8)*(N$1) + (Assumptions!$B$9)*MAX(0,  (HLOOKUP(N$2,Earnings!$G$2:$BC$81,('Yearly Pension'!$A69)+1, FALSE)) - N$1), ((Assumptions!$B$8)*'Yearly Pension'!N$1))))</f>
        <v>0</v>
      </c>
      <c r="O69" s="6">
        <f>(HLOOKUP('Yearly Pension'!O$2,'Credited Service'!$G$1:$BC$80,$A69+1,FALSE)) * (IF($B69=500, (Assumptions!$B$7)*12, IF((HLOOKUP(O$2,Earnings!$G$2:$BC$81,('Yearly Pension'!$A69)+1, FALSE)) &gt; O$1, (Assumptions!$B$8)*(O$1) + (Assumptions!$B$9)*MAX(0,  (HLOOKUP(O$2,Earnings!$G$2:$BC$81,('Yearly Pension'!$A69)+1, FALSE)) - O$1), ((Assumptions!$B$8)*'Yearly Pension'!O$1))))</f>
        <v>0</v>
      </c>
      <c r="P69" s="6">
        <f>(HLOOKUP('Yearly Pension'!P$2,'Credited Service'!$G$1:$BC$80,$A69+1,FALSE)) * (IF($B69=500, (Assumptions!$B$7)*12, IF((HLOOKUP(P$2,Earnings!$G$2:$BC$81,('Yearly Pension'!$A69)+1, FALSE)) &gt; P$1, (Assumptions!$B$8)*(P$1) + (Assumptions!$B$9)*MAX(0,  (HLOOKUP(P$2,Earnings!$G$2:$BC$81,('Yearly Pension'!$A69)+1, FALSE)) - P$1), ((Assumptions!$B$8)*'Yearly Pension'!P$1))))</f>
        <v>0</v>
      </c>
      <c r="Q69" s="6">
        <f>(HLOOKUP('Yearly Pension'!Q$2,'Credited Service'!$G$1:$BC$80,$A69+1,FALSE)) * (IF($B69=500, (Assumptions!$B$7)*12, IF((HLOOKUP(Q$2,Earnings!$G$2:$BC$81,('Yearly Pension'!$A69)+1, FALSE)) &gt; Q$1, (Assumptions!$B$8)*(Q$1) + (Assumptions!$B$9)*MAX(0,  (HLOOKUP(Q$2,Earnings!$G$2:$BC$81,('Yearly Pension'!$A69)+1, FALSE)) - Q$1), ((Assumptions!$B$8)*'Yearly Pension'!Q$1))))</f>
        <v>240.21039120943752</v>
      </c>
      <c r="R69" s="6">
        <f>(HLOOKUP('Yearly Pension'!R$2,'Credited Service'!$G$1:$BC$80,$A69+1,FALSE)) * (IF($B69=500, (Assumptions!$B$7)*12, IF((HLOOKUP(R$2,Earnings!$G$2:$BC$81,('Yearly Pension'!$A69)+1, FALSE)) &gt; R$1, (Assumptions!$B$8)*(R$1) + (Assumptions!$B$9)*MAX(0,  (HLOOKUP(R$2,Earnings!$G$2:$BC$81,('Yearly Pension'!$A69)+1, FALSE)) - R$1), ((Assumptions!$B$8)*'Yearly Pension'!R$1))))</f>
        <v>602.35553645875609</v>
      </c>
      <c r="S69" s="6">
        <f>(HLOOKUP('Yearly Pension'!S$2,'Credited Service'!$G$1:$BC$80,$A69+1,FALSE)) * (IF($B69=500, (Assumptions!$B$7)*12, IF((HLOOKUP(S$2,Earnings!$G$2:$BC$81,('Yearly Pension'!$A69)+1, FALSE)) &gt; S$1, (Assumptions!$B$8)*(S$1) + (Assumptions!$B$9)*MAX(0,  (HLOOKUP(S$2,Earnings!$G$2:$BC$81,('Yearly Pension'!$A69)+1, FALSE)) - S$1), ((Assumptions!$B$8)*'Yearly Pension'!S$1))))</f>
        <v>625.5537579171064</v>
      </c>
      <c r="T69" s="6">
        <f>(HLOOKUP('Yearly Pension'!T$2,'Credited Service'!$G$1:$BC$80,$A69+1,FALSE)) * (IF($B69=500, (Assumptions!$B$7)*12, IF((HLOOKUP(T$2,Earnings!$G$2:$BC$81,('Yearly Pension'!$A69)+1, FALSE)) &gt; T$1, (Assumptions!$B$8)*(T$1) + (Assumptions!$B$9)*MAX(0,  (HLOOKUP(T$2,Earnings!$G$2:$BC$81,('Yearly Pension'!$A69)+1, FALSE)) - T$1), ((Assumptions!$B$8)*'Yearly Pension'!T$1))))</f>
        <v>649.98710823379065</v>
      </c>
      <c r="U69" s="6">
        <f>(HLOOKUP('Yearly Pension'!U$2,'Credited Service'!$G$1:$BC$80,$A69+1,FALSE)) * (IF($B69=500, (Assumptions!$B$7)*12, IF((HLOOKUP(U$2,Earnings!$G$2:$BC$81,('Yearly Pension'!$A69)+1, FALSE)) &gt; U$1, (Assumptions!$B$8)*(U$1) + (Assumptions!$B$9)*MAX(0,  (HLOOKUP(U$2,Earnings!$G$2:$BC$81,('Yearly Pension'!$A69)+1, FALSE)) - U$1), ((Assumptions!$B$8)*'Yearly Pension'!U$1))))</f>
        <v>673.1449925631423</v>
      </c>
      <c r="V69" s="6">
        <f>(HLOOKUP('Yearly Pension'!V$2,'Credited Service'!$G$1:$BC$80,$A69+1,FALSE)) * (IF($B69=500, (Assumptions!$B$7)*12, IF((HLOOKUP(V$2,Earnings!$G$2:$BC$81,('Yearly Pension'!$A69)+1, FALSE)) &gt; V$1, (Assumptions!$B$8)*(V$1) + (Assumptions!$B$9)*MAX(0,  (HLOOKUP(V$2,Earnings!$G$2:$BC$81,('Yearly Pension'!$A69)+1, FALSE)) - V$1), ((Assumptions!$B$8)*'Yearly Pension'!V$1))))</f>
        <v>696.99879226566804</v>
      </c>
      <c r="W69" s="6">
        <f>(HLOOKUP('Yearly Pension'!W$2,'Credited Service'!$G$1:$BC$80,$A69+1,FALSE)) * (IF($B69=500, (Assumptions!$B$7)*12, IF((HLOOKUP(W$2,Earnings!$G$2:$BC$81,('Yearly Pension'!$A69)+1, FALSE)) &gt; W$1, (Assumptions!$B$8)*(W$1) + (Assumptions!$B$9)*MAX(0,  (HLOOKUP(W$2,Earnings!$G$2:$BC$81,('Yearly Pension'!$A69)+1, FALSE)) - W$1), ((Assumptions!$B$8)*'Yearly Pension'!W$1))))</f>
        <v>725.44194395629461</v>
      </c>
      <c r="X69" s="6">
        <f>(HLOOKUP('Yearly Pension'!X$2,'Credited Service'!$G$1:$BC$80,$A69+1,FALSE)) * (IF($B69=500, (Assumptions!$B$7)*12, IF((HLOOKUP(X$2,Earnings!$G$2:$BC$81,('Yearly Pension'!$A69)+1, FALSE)) &gt; X$1, (Assumptions!$B$8)*(X$1) + (Assumptions!$B$9)*MAX(0,  (HLOOKUP(X$2,Earnings!$G$2:$BC$81,('Yearly Pension'!$A69)+1, FALSE)) - X$1), ((Assumptions!$B$8)*'Yearly Pension'!X$1))))</f>
        <v>756.61002171454652</v>
      </c>
      <c r="Y69" s="6">
        <f>(HLOOKUP('Yearly Pension'!Y$2,'Credited Service'!$G$1:$BC$80,$A69+1,FALSE)) * (IF($B69=500, (Assumptions!$B$7)*12, IF((HLOOKUP(Y$2,Earnings!$G$2:$BC$81,('Yearly Pension'!$A69)+1, FALSE)) &gt; Y$1, (Assumptions!$B$8)*(Y$1) + (Assumptions!$B$9)*MAX(0,  (HLOOKUP(Y$2,Earnings!$G$2:$BC$81,('Yearly Pension'!$A69)+1, FALSE)) - Y$1), ((Assumptions!$B$8)*'Yearly Pension'!Y$1))))</f>
        <v>792.48082258312843</v>
      </c>
      <c r="Z69" s="6">
        <f>(HLOOKUP('Yearly Pension'!Z$2,'Credited Service'!$G$1:$BC$80,$A69+1,FALSE)) * (IF($B69=500, (Assumptions!$B$7)*12, IF((HLOOKUP(Z$2,Earnings!$G$2:$BC$81,('Yearly Pension'!$A69)+1, FALSE)) &gt; Z$1, (Assumptions!$B$8)*(Z$1) + (Assumptions!$B$9)*MAX(0,  (HLOOKUP(Z$2,Earnings!$G$2:$BC$81,('Yearly Pension'!$A69)+1, FALSE)) - Z$1), ((Assumptions!$B$8)*'Yearly Pension'!Z$1))))</f>
        <v>829.91445548645368</v>
      </c>
      <c r="AA69" s="6">
        <f>(HLOOKUP('Yearly Pension'!AA$2,'Credited Service'!$G$1:$BC$80,$A69+1,FALSE)) * (IF($B69=500, (Assumptions!$B$7)*12, IF((HLOOKUP(AA$2,Earnings!$G$2:$BC$81,('Yearly Pension'!$A69)+1, FALSE)) &gt; AA$1, (Assumptions!$B$8)*(AA$1) + (Assumptions!$B$9)*MAX(0,  (HLOOKUP(AA$2,Earnings!$G$2:$BC$81,('Yearly Pension'!$A69)+1, FALSE)) - AA$1), ((Assumptions!$B$8)*'Yearly Pension'!AA$1))))</f>
        <v>869.61343370591192</v>
      </c>
      <c r="AB69" s="6">
        <f>(HLOOKUP('Yearly Pension'!AB$2,'Credited Service'!$G$1:$BC$80,$A69+1,FALSE)) * (IF($B69=500, (Assumptions!$B$7)*12, IF((HLOOKUP(AB$2,Earnings!$G$2:$BC$81,('Yearly Pension'!$A69)+1, FALSE)) &gt; AB$1, (Assumptions!$B$8)*(AB$1) + (Assumptions!$B$9)*MAX(0,  (HLOOKUP(AB$2,Earnings!$G$2:$BC$81,('Yearly Pension'!$A69)+1, FALSE)) - AB$1), ((Assumptions!$B$8)*'Yearly Pension'!AB$1))))</f>
        <v>906.52277105414851</v>
      </c>
      <c r="AC69" s="6">
        <f>(HLOOKUP('Yearly Pension'!AC$2,'Credited Service'!$G$1:$BC$80,$A69+1,FALSE)) * (IF($B69=500, (Assumptions!$B$7)*12, IF((HLOOKUP(AC$2,Earnings!$G$2:$BC$81,('Yearly Pension'!$A69)+1, FALSE)) &gt; AC$1, (Assumptions!$B$8)*(AC$1) + (Assumptions!$B$9)*MAX(0,  (HLOOKUP(AC$2,Earnings!$G$2:$BC$81,('Yearly Pension'!$A69)+1, FALSE)) - AC$1), ((Assumptions!$B$8)*'Yearly Pension'!AC$1))))</f>
        <v>949.03008189631453</v>
      </c>
      <c r="AD69" s="6">
        <f>(HLOOKUP('Yearly Pension'!AD$2,'Credited Service'!$G$1:$BC$80,$A69+1,FALSE)) * (IF($B69=500, (Assumptions!$B$7)*12, IF((HLOOKUP(AD$2,Earnings!$G$2:$BC$81,('Yearly Pension'!$A69)+1, FALSE)) &gt; AD$1, (Assumptions!$B$8)*(AD$1) + (Assumptions!$B$9)*MAX(0,  (HLOOKUP(AD$2,Earnings!$G$2:$BC$81,('Yearly Pension'!$A69)+1, FALSE)) - AD$1), ((Assumptions!$B$8)*'Yearly Pension'!AD$1))))</f>
        <v>995.28568517216718</v>
      </c>
      <c r="AE69" s="6">
        <f>(HLOOKUP('Yearly Pension'!AE$2,'Credited Service'!$G$1:$BC$80,$A69+1,FALSE)) * (IF($B69=500, (Assumptions!$B$7)*12, IF((HLOOKUP(AE$2,Earnings!$G$2:$BC$81,('Yearly Pension'!$A69)+1, FALSE)) &gt; AE$1, (Assumptions!$B$8)*(AE$1) + (Assumptions!$B$9)*MAX(0,  (HLOOKUP(AE$2,Earnings!$G$2:$BC$81,('Yearly Pension'!$A69)+1, FALSE)) - AE$1), ((Assumptions!$B$8)*'Yearly Pension'!AE$1))))</f>
        <v>1040.2427125790539</v>
      </c>
      <c r="AF69" s="6">
        <f>(HLOOKUP('Yearly Pension'!AF$2,'Credited Service'!$G$1:$BC$80,$A69+1,FALSE)) * (IF($B69=500, (Assumptions!$B$7)*12, IF((HLOOKUP(AF$2,Earnings!$G$2:$BC$81,('Yearly Pension'!$A69)+1, FALSE)) &gt; AF$1, (Assumptions!$B$8)*(AF$1) + (Assumptions!$B$9)*MAX(0,  (HLOOKUP(AF$2,Earnings!$G$2:$BC$81,('Yearly Pension'!$A69)+1, FALSE)) - AF$1), ((Assumptions!$B$8)*'Yearly Pension'!AF$1))))</f>
        <v>1086.5372210822161</v>
      </c>
      <c r="AG69" s="6">
        <f>(HLOOKUP('Yearly Pension'!AG$2,'Credited Service'!$G$1:$BC$80,$A69+1,FALSE)) * (IF($B69=500, (Assumptions!$B$7)*12, IF((HLOOKUP(AG$2,Earnings!$G$2:$BC$81,('Yearly Pension'!$A69)+1, FALSE)) &gt; AG$1, (Assumptions!$B$8)*(AG$1) + (Assumptions!$B$9)*MAX(0,  (HLOOKUP(AG$2,Earnings!$G$2:$BC$81,('Yearly Pension'!$A69)+1, FALSE)) - AG$1), ((Assumptions!$B$8)*'Yearly Pension'!AG$1))))</f>
        <v>1134.8883099255047</v>
      </c>
      <c r="AH69" s="6">
        <f>(HLOOKUP('Yearly Pension'!AH$2,'Credited Service'!$G$1:$BC$80,$A69+1,FALSE)) * (IF($B69=500, (Assumptions!$B$7)*12, IF((HLOOKUP(AH$2,Earnings!$G$2:$BC$81,('Yearly Pension'!$A69)+1, FALSE)) &gt; AH$1, (Assumptions!$B$8)*(AH$1) + (Assumptions!$B$9)*MAX(0,  (HLOOKUP(AH$2,Earnings!$G$2:$BC$81,('Yearly Pension'!$A69)+1, FALSE)) - AH$1), ((Assumptions!$B$8)*'Yearly Pension'!AH$1))))</f>
        <v>1186.658242322525</v>
      </c>
      <c r="AI69" s="6">
        <f>(HLOOKUP('Yearly Pension'!AI$2,'Credited Service'!$G$1:$BC$80,$A69+1,FALSE)) * (IF($B69=500, (Assumptions!$B$7)*12, IF((HLOOKUP(AI$2,Earnings!$G$2:$BC$81,('Yearly Pension'!$A69)+1, FALSE)) &gt; AI$1, (Assumptions!$B$8)*(AI$1) + (Assumptions!$B$9)*MAX(0,  (HLOOKUP(AI$2,Earnings!$G$2:$BC$81,('Yearly Pension'!$A69)+1, FALSE)) - AI$1), ((Assumptions!$B$8)*'Yearly Pension'!AI$1))))</f>
        <v>1240.6525720154259</v>
      </c>
      <c r="AJ69" s="6">
        <f>(HLOOKUP('Yearly Pension'!AJ$2,'Credited Service'!$G$1:$BC$80,$A69+1,FALSE)) * (IF($B69=500, (Assumptions!$B$7)*12, IF((HLOOKUP(AJ$2,Earnings!$G$2:$BC$81,('Yearly Pension'!$A69)+1, FALSE)) &gt; AJ$1, (Assumptions!$B$8)*(AJ$1) + (Assumptions!$B$9)*MAX(0,  (HLOOKUP(AJ$2,Earnings!$G$2:$BC$81,('Yearly Pension'!$A69)+1, FALSE)) - AJ$1), ((Assumptions!$B$8)*'Yearly Pension'!AJ$1))))</f>
        <v>1294.4002748960429</v>
      </c>
      <c r="AK69" s="6">
        <f>(HLOOKUP('Yearly Pension'!AK$2,'Credited Service'!$G$1:$BC$80,$A69+1,FALSE)) * (IF($B69=500, (Assumptions!$B$7)*12, IF((HLOOKUP(AK$2,Earnings!$G$2:$BC$81,('Yearly Pension'!$A69)+1, FALSE)) &gt; AK$1, (Assumptions!$B$8)*(AK$1) + (Assumptions!$B$9)*MAX(0,  (HLOOKUP(AK$2,Earnings!$G$2:$BC$81,('Yearly Pension'!$A69)+1, FALSE)) - AK$1), ((Assumptions!$B$8)*'Yearly Pension'!AK$1))))</f>
        <v>1346.7138858918845</v>
      </c>
      <c r="AL69" s="6">
        <f>(HLOOKUP('Yearly Pension'!AL$2,'Credited Service'!$G$1:$BC$80,$A69+1,FALSE)) * (IF($B69=500, (Assumptions!$B$7)*12, IF((HLOOKUP(AL$2,Earnings!$G$2:$BC$81,('Yearly Pension'!$A69)+1, FALSE)) &gt; AL$1, (Assumptions!$B$8)*(AL$1) + (Assumptions!$B$9)*MAX(0,  (HLOOKUP(AL$2,Earnings!$G$2:$BC$81,('Yearly Pension'!$A69)+1, FALSE)) - AL$1), ((Assumptions!$B$8)*'Yearly Pension'!AL$1))))</f>
        <v>1404.08964132756</v>
      </c>
      <c r="AM69" s="6">
        <f>(HLOOKUP('Yearly Pension'!AM$2,'Credited Service'!$G$1:$BC$80,$A69+1,FALSE)) * (IF($B69=500, (Assumptions!$B$7)*12, IF((HLOOKUP(AM$2,Earnings!$G$2:$BC$81,('Yearly Pension'!$A69)+1, FALSE)) &gt; AM$1, (Assumptions!$B$8)*(AM$1) + (Assumptions!$B$9)*MAX(0,  (HLOOKUP(AM$2,Earnings!$G$2:$BC$81,('Yearly Pension'!$A69)+1, FALSE)) - AM$1), ((Assumptions!$B$8)*'Yearly Pension'!AM$1))))</f>
        <v>1462.7876269806625</v>
      </c>
      <c r="AN69" s="6">
        <f>(HLOOKUP('Yearly Pension'!AN$2,'Credited Service'!$G$1:$BC$80,$A69+1,FALSE)) * (IF($B69=500, (Assumptions!$B$7)*12, IF((HLOOKUP(AN$2,Earnings!$G$2:$BC$81,('Yearly Pension'!$A69)+1, FALSE)) &gt; AN$1, (Assumptions!$B$8)*(AN$1) + (Assumptions!$B$9)*MAX(0,  (HLOOKUP(AN$2,Earnings!$G$2:$BC$81,('Yearly Pension'!$A69)+1, FALSE)) - AN$1), ((Assumptions!$B$8)*'Yearly Pension'!AN$1))))</f>
        <v>1527.3919320598891</v>
      </c>
      <c r="AO69" s="6">
        <f>(HLOOKUP('Yearly Pension'!AO$2,'Credited Service'!$G$1:$BC$80,$A69+1,FALSE)) * (IF($B69=500, (Assumptions!$B$7)*12, IF((HLOOKUP(AO$2,Earnings!$G$2:$BC$81,('Yearly Pension'!$A69)+1, FALSE)) &gt; AO$1, (Assumptions!$B$8)*(AO$1) + (Assumptions!$B$9)*MAX(0,  (HLOOKUP(AO$2,Earnings!$G$2:$BC$81,('Yearly Pension'!$A69)+1, FALSE)) - AO$1), ((Assumptions!$B$8)*'Yearly Pension'!AO$1))))</f>
        <v>1593.5308093422846</v>
      </c>
      <c r="AP69" s="6">
        <f>(HLOOKUP('Yearly Pension'!AP$2,'Credited Service'!$G$1:$BC$80,$A69+1,FALSE)) * (IF($B69=500, (Assumptions!$B$7)*12, IF((HLOOKUP(AP$2,Earnings!$G$2:$BC$81,('Yearly Pension'!$A69)+1, FALSE)) &gt; AP$1, (Assumptions!$B$8)*(AP$1) + (Assumptions!$B$9)*MAX(0,  (HLOOKUP(AP$2,Earnings!$G$2:$BC$81,('Yearly Pension'!$A69)+1, FALSE)) - AP$1), ((Assumptions!$B$8)*'Yearly Pension'!AP$1))))</f>
        <v>1658.1168417159761</v>
      </c>
      <c r="AQ69" s="6">
        <f>(HLOOKUP('Yearly Pension'!AQ$2,'Credited Service'!$G$1:$BC$80,$A69+1,FALSE)) * (IF($B69=500, (Assumptions!$B$7)*12, IF((HLOOKUP(AQ$2,Earnings!$G$2:$BC$81,('Yearly Pension'!$A69)+1, FALSE)) &gt; AQ$1, (Assumptions!$B$8)*(AQ$1) + (Assumptions!$B$9)*MAX(0,  (HLOOKUP(AQ$2,Earnings!$G$2:$BC$81,('Yearly Pension'!$A69)+1, FALSE)) - AQ$1), ((Assumptions!$B$8)*'Yearly Pension'!AQ$1))))</f>
        <v>1730.8671153846153</v>
      </c>
      <c r="AR69" s="6">
        <f>(HLOOKUP('Yearly Pension'!AR$2,'Credited Service'!$G$1:$BC$80,$A69+1,FALSE)) * (IF($B69=500, (Assumptions!$B$7)*12, IF((HLOOKUP(AR$2,Earnings!$G$2:$BC$81,('Yearly Pension'!$A69)+1, FALSE)) &gt; AR$1, (Assumptions!$B$8)*(AR$1) + (Assumptions!$B$9)*MAX(0,  (HLOOKUP(AR$2,Earnings!$G$2:$BC$81,('Yearly Pension'!$A69)+1, FALSE)) - AR$1), ((Assumptions!$B$8)*'Yearly Pension'!AR$1))))</f>
        <v>1804.2234000000001</v>
      </c>
      <c r="AS69" s="6">
        <f>(HLOOKUP('Yearly Pension'!AS$2,'Credited Service'!$G$1:$BC$80,$A69+1,FALSE)) * (IF($B69=500, (Assumptions!$B$7)*12, IF((HLOOKUP(AS$2,Earnings!$G$2:$BC$81,('Yearly Pension'!$A69)+1, FALSE)) &gt; AS$1, (Assumptions!$B$8)*(AS$1) + (Assumptions!$B$9)*MAX(0,  (HLOOKUP(AS$2,Earnings!$G$2:$BC$81,('Yearly Pension'!$A69)+1, FALSE)) - AS$1), ((Assumptions!$B$8)*'Yearly Pension'!AS$1))))</f>
        <v>1861.3901019999998</v>
      </c>
      <c r="AT69" s="6">
        <f>(HLOOKUP('Yearly Pension'!AT$2,'Credited Service'!$G$1:$BC$80,$A69+1,FALSE)) * (IF($B69=500, (Assumptions!$B$7)*12, IF((HLOOKUP(AT$2,Earnings!$G$2:$BC$81,('Yearly Pension'!$A69)+1, FALSE)) &gt; AT$1, (Assumptions!$B$8)*(AT$1) + (Assumptions!$B$9)*MAX(0,  (HLOOKUP(AT$2,Earnings!$G$2:$BC$81,('Yearly Pension'!$A69)+1, FALSE)) - AT$1), ((Assumptions!$B$8)*'Yearly Pension'!AT$1))))</f>
        <v>1919.2030050600001</v>
      </c>
      <c r="AU69" s="6">
        <f>(HLOOKUP('Yearly Pension'!AU$2,'Credited Service'!$G$1:$BC$80,$A69+1,FALSE)) * (IF($B69=500, (Assumptions!$B$7)*12, IF((HLOOKUP(AU$2,Earnings!$G$2:$BC$81,('Yearly Pension'!$A69)+1, FALSE)) &gt; AU$1, (Assumptions!$B$8)*(AU$1) + (Assumptions!$B$9)*MAX(0,  (HLOOKUP(AU$2,Earnings!$G$2:$BC$81,('Yearly Pension'!$A69)+1, FALSE)) - AU$1), ((Assumptions!$B$8)*'Yearly Pension'!AU$1))))</f>
        <v>1984.7598952118001</v>
      </c>
      <c r="AV69" s="6">
        <f>(HLOOKUP('Yearly Pension'!AV$2,'Credited Service'!$G$1:$BC$80,$A69+1,FALSE)) * (IF($B69=500, (Assumptions!$B$7)*12, IF((HLOOKUP(AV$2,Earnings!$G$2:$BC$81,('Yearly Pension'!$A69)+1, FALSE)) &gt; AV$1, (Assumptions!$B$8)*(AV$1) + (Assumptions!$B$9)*MAX(0,  (HLOOKUP(AV$2,Earnings!$G$2:$BC$81,('Yearly Pension'!$A69)+1, FALSE)) - AV$1), ((Assumptions!$B$8)*'Yearly Pension'!AV$1))))</f>
        <v>2051.0802920681544</v>
      </c>
      <c r="AW69" s="6">
        <f>(HLOOKUP('Yearly Pension'!AW$2,'Credited Service'!$G$1:$BC$80,$A69+1,FALSE)) * (IF($B69=500, (Assumptions!$B$7)*12, IF((HLOOKUP(AW$2,Earnings!$G$2:$BC$81,('Yearly Pension'!$A69)+1, FALSE)) &gt; AW$1, (Assumptions!$B$8)*(AW$1) + (Assumptions!$B$9)*MAX(0,  (HLOOKUP(AW$2,Earnings!$G$2:$BC$81,('Yearly Pension'!$A69)+1, FALSE)) - AW$1), ((Assumptions!$B$8)*'Yearly Pension'!AW$1))))</f>
        <v>2113.745500830199</v>
      </c>
      <c r="AX69" s="6">
        <f>(HLOOKUP('Yearly Pension'!AX$2,'Credited Service'!$G$1:$BC$80,$A69+1,FALSE)) * (IF($B69=500, (Assumptions!$B$7)*12, IF((HLOOKUP(AX$2,Earnings!$G$2:$BC$81,('Yearly Pension'!$A69)+1, FALSE)) &gt; AX$1, (Assumptions!$B$8)*(AX$1) + (Assumptions!$B$9)*MAX(0,  (HLOOKUP(AX$2,Earnings!$G$2:$BC$81,('Yearly Pension'!$A69)+1, FALSE)) - AX$1), ((Assumptions!$B$8)*'Yearly Pension'!AX$1))))</f>
        <v>2173.4842658551051</v>
      </c>
      <c r="AY69" s="6">
        <f>(HLOOKUP('Yearly Pension'!AY$2,'Credited Service'!$G$1:$BC$80,$A69+1,FALSE)) * (IF($B69=500, (Assumptions!$B$7)*12, IF((HLOOKUP(AY$2,Earnings!$G$2:$BC$81,('Yearly Pension'!$A69)+1, FALSE)) &gt; AY$1, (Assumptions!$B$8)*(AY$1) + (Assumptions!$B$9)*MAX(0,  (HLOOKUP(AY$2,Earnings!$G$2:$BC$81,('Yearly Pension'!$A69)+1, FALSE)) - AY$1), ((Assumptions!$B$8)*'Yearly Pension'!AY$1))))</f>
        <v>2234.868249830758</v>
      </c>
      <c r="AZ69" s="6">
        <f>(HLOOKUP('Yearly Pension'!AZ$2,'Credited Service'!$G$1:$BC$80,$A69+1,FALSE)) * (IF($B69=500, (Assumptions!$B$7)*12, IF((HLOOKUP(AZ$2,Earnings!$G$2:$BC$81,('Yearly Pension'!$A69)+1, FALSE)) &gt; AZ$1, (Assumptions!$B$8)*(AZ$1) + (Assumptions!$B$9)*MAX(0,  (HLOOKUP(AZ$2,Earnings!$G$2:$BC$81,('Yearly Pension'!$A69)+1, FALSE)) - AZ$1), ((Assumptions!$B$8)*'Yearly Pension'!AZ$1))))</f>
        <v>2297.9409315656812</v>
      </c>
      <c r="BA69" s="6">
        <f>(HLOOKUP('Yearly Pension'!BA$2,'Credited Service'!$G$1:$BC$80,$A69+1,FALSE)) * (IF($B69=500, (Assumptions!$B$7)*12, IF((HLOOKUP(BA$2,Earnings!$G$2:$BC$81,('Yearly Pension'!$A69)+1, FALSE)) &gt; BA$1, (Assumptions!$B$8)*(BA$1) + (Assumptions!$B$9)*MAX(0,  (HLOOKUP(BA$2,Earnings!$G$2:$BC$81,('Yearly Pension'!$A69)+1, FALSE)) - BA$1), ((Assumptions!$B$8)*'Yearly Pension'!BA$1))))</f>
        <v>2362.7468591222514</v>
      </c>
      <c r="BB69" s="6">
        <f>(HLOOKUP('Yearly Pension'!BB$2,'Credited Service'!$G$1:$BC$80,$A69+1,FALSE)) * (IF($B69=500, (Assumptions!$B$7)*12, IF((HLOOKUP(BB$2,Earnings!$G$2:$BC$81,('Yearly Pension'!$A69)+1, FALSE)) &gt; BB$1, (Assumptions!$B$8)*(BB$1) + (Assumptions!$B$9)*MAX(0,  (HLOOKUP(BB$2,Earnings!$G$2:$BC$81,('Yearly Pension'!$A69)+1, FALSE)) - BB$1), ((Assumptions!$B$8)*'Yearly Pension'!BB$1))))</f>
        <v>2429.3316724899037</v>
      </c>
      <c r="BC69" s="6">
        <f>(HLOOKUP('Yearly Pension'!BC$2,'Credited Service'!$G$1:$BC$80,$A69+1,FALSE)) * (IF($B69=500, (Assumptions!$B$7)*12, IF((HLOOKUP(BC$2,Earnings!$G$2:$BC$81,('Yearly Pension'!$A69)+1, FALSE)) &gt; BC$1, (Assumptions!$B$8)*(BC$1) + (Assumptions!$B$9)*MAX(0,  (HLOOKUP(BC$2,Earnings!$G$2:$BC$81,('Yearly Pension'!$A69)+1, FALSE)) - BC$1), ((Assumptions!$B$8)*'Yearly Pension'!BC$1))))</f>
        <v>2497.7421265623443</v>
      </c>
    </row>
    <row r="70" spans="1:55" x14ac:dyDescent="0.25">
      <c r="A70" s="204">
        <v>68</v>
      </c>
      <c r="B70" s="1">
        <v>600</v>
      </c>
      <c r="C70" s="1">
        <v>547</v>
      </c>
      <c r="D70" s="3">
        <v>31750</v>
      </c>
      <c r="E70" s="3">
        <v>48396</v>
      </c>
      <c r="G70" s="6">
        <f>(HLOOKUP('Yearly Pension'!G$2,'Credited Service'!$G$1:$BC$80,$A70+1,FALSE)) * (IF($B70=500, (Assumptions!$B$7)*12, IF((HLOOKUP(G$2,Earnings!$G$2:$BC$81,('Yearly Pension'!$A70)+1, FALSE)) &gt; G$1, (Assumptions!$B$8)*(G$1) + (Assumptions!$B$9)*MAX(0,  (HLOOKUP(G$2,Earnings!$G$2:$BC$81,('Yearly Pension'!$A70)+1, FALSE)) - G$1), ((Assumptions!$B$8)*'Yearly Pension'!G$1))))</f>
        <v>0</v>
      </c>
      <c r="H70" s="6">
        <f>(HLOOKUP('Yearly Pension'!H$2,'Credited Service'!$G$1:$BC$80,$A70+1,FALSE)) * (IF($B70=500, (Assumptions!$B$7)*12, IF((HLOOKUP(H$2,Earnings!$G$2:$BC$81,('Yearly Pension'!$A70)+1, FALSE)) &gt; H$1, (Assumptions!$B$8)*(H$1) + (Assumptions!$B$9)*MAX(0,  (HLOOKUP(H$2,Earnings!$G$2:$BC$81,('Yearly Pension'!$A70)+1, FALSE)) - H$1), ((Assumptions!$B$8)*'Yearly Pension'!H$1))))</f>
        <v>0</v>
      </c>
      <c r="I70" s="6">
        <f>(HLOOKUP('Yearly Pension'!I$2,'Credited Service'!$G$1:$BC$80,$A70+1,FALSE)) * (IF($B70=500, (Assumptions!$B$7)*12, IF((HLOOKUP(I$2,Earnings!$G$2:$BC$81,('Yearly Pension'!$A70)+1, FALSE)) &gt; I$1, (Assumptions!$B$8)*(I$1) + (Assumptions!$B$9)*MAX(0,  (HLOOKUP(I$2,Earnings!$G$2:$BC$81,('Yearly Pension'!$A70)+1, FALSE)) - I$1), ((Assumptions!$B$8)*'Yearly Pension'!I$1))))</f>
        <v>0</v>
      </c>
      <c r="J70" s="6">
        <f>(HLOOKUP('Yearly Pension'!J$2,'Credited Service'!$G$1:$BC$80,$A70+1,FALSE)) * (IF($B70=500, (Assumptions!$B$7)*12, IF((HLOOKUP(J$2,Earnings!$G$2:$BC$81,('Yearly Pension'!$A70)+1, FALSE)) &gt; J$1, (Assumptions!$B$8)*(J$1) + (Assumptions!$B$9)*MAX(0,  (HLOOKUP(J$2,Earnings!$G$2:$BC$81,('Yearly Pension'!$A70)+1, FALSE)) - J$1), ((Assumptions!$B$8)*'Yearly Pension'!J$1))))</f>
        <v>0</v>
      </c>
      <c r="K70" s="6">
        <f>(HLOOKUP('Yearly Pension'!K$2,'Credited Service'!$G$1:$BC$80,$A70+1,FALSE)) * (IF($B70=500, (Assumptions!$B$7)*12, IF((HLOOKUP(K$2,Earnings!$G$2:$BC$81,('Yearly Pension'!$A70)+1, FALSE)) &gt; K$1, (Assumptions!$B$8)*(K$1) + (Assumptions!$B$9)*MAX(0,  (HLOOKUP(K$2,Earnings!$G$2:$BC$81,('Yearly Pension'!$A70)+1, FALSE)) - K$1), ((Assumptions!$B$8)*'Yearly Pension'!K$1))))</f>
        <v>0</v>
      </c>
      <c r="L70" s="6">
        <f>(HLOOKUP('Yearly Pension'!L$2,'Credited Service'!$G$1:$BC$80,$A70+1,FALSE)) * (IF($B70=500, (Assumptions!$B$7)*12, IF((HLOOKUP(L$2,Earnings!$G$2:$BC$81,('Yearly Pension'!$A70)+1, FALSE)) &gt; L$1, (Assumptions!$B$8)*(L$1) + (Assumptions!$B$9)*MAX(0,  (HLOOKUP(L$2,Earnings!$G$2:$BC$81,('Yearly Pension'!$A70)+1, FALSE)) - L$1), ((Assumptions!$B$8)*'Yearly Pension'!L$1))))</f>
        <v>0</v>
      </c>
      <c r="M70" s="6">
        <f>(HLOOKUP('Yearly Pension'!M$2,'Credited Service'!$G$1:$BC$80,$A70+1,FALSE)) * (IF($B70=500, (Assumptions!$B$7)*12, IF((HLOOKUP(M$2,Earnings!$G$2:$BC$81,('Yearly Pension'!$A70)+1, FALSE)) &gt; M$1, (Assumptions!$B$8)*(M$1) + (Assumptions!$B$9)*MAX(0,  (HLOOKUP(M$2,Earnings!$G$2:$BC$81,('Yearly Pension'!$A70)+1, FALSE)) - M$1), ((Assumptions!$B$8)*'Yearly Pension'!M$1))))</f>
        <v>0</v>
      </c>
      <c r="N70" s="6">
        <f>(HLOOKUP('Yearly Pension'!N$2,'Credited Service'!$G$1:$BC$80,$A70+1,FALSE)) * (IF($B70=500, (Assumptions!$B$7)*12, IF((HLOOKUP(N$2,Earnings!$G$2:$BC$81,('Yearly Pension'!$A70)+1, FALSE)) &gt; N$1, (Assumptions!$B$8)*(N$1) + (Assumptions!$B$9)*MAX(0,  (HLOOKUP(N$2,Earnings!$G$2:$BC$81,('Yearly Pension'!$A70)+1, FALSE)) - N$1), ((Assumptions!$B$8)*'Yearly Pension'!N$1))))</f>
        <v>0</v>
      </c>
      <c r="O70" s="6">
        <f>(HLOOKUP('Yearly Pension'!O$2,'Credited Service'!$G$1:$BC$80,$A70+1,FALSE)) * (IF($B70=500, (Assumptions!$B$7)*12, IF((HLOOKUP(O$2,Earnings!$G$2:$BC$81,('Yearly Pension'!$A70)+1, FALSE)) &gt; O$1, (Assumptions!$B$8)*(O$1) + (Assumptions!$B$9)*MAX(0,  (HLOOKUP(O$2,Earnings!$G$2:$BC$81,('Yearly Pension'!$A70)+1, FALSE)) - O$1), ((Assumptions!$B$8)*'Yearly Pension'!O$1))))</f>
        <v>0</v>
      </c>
      <c r="P70" s="6">
        <f>(HLOOKUP('Yearly Pension'!P$2,'Credited Service'!$G$1:$BC$80,$A70+1,FALSE)) * (IF($B70=500, (Assumptions!$B$7)*12, IF((HLOOKUP(P$2,Earnings!$G$2:$BC$81,('Yearly Pension'!$A70)+1, FALSE)) &gt; P$1, (Assumptions!$B$8)*(P$1) + (Assumptions!$B$9)*MAX(0,  (HLOOKUP(P$2,Earnings!$G$2:$BC$81,('Yearly Pension'!$A70)+1, FALSE)) - P$1), ((Assumptions!$B$8)*'Yearly Pension'!P$1))))</f>
        <v>0</v>
      </c>
      <c r="Q70" s="6">
        <f>(HLOOKUP('Yearly Pension'!Q$2,'Credited Service'!$G$1:$BC$80,$A70+1,FALSE)) * (IF($B70=500, (Assumptions!$B$7)*12, IF((HLOOKUP(Q$2,Earnings!$G$2:$BC$81,('Yearly Pension'!$A70)+1, FALSE)) &gt; Q$1, (Assumptions!$B$8)*(Q$1) + (Assumptions!$B$9)*MAX(0,  (HLOOKUP(Q$2,Earnings!$G$2:$BC$81,('Yearly Pension'!$A70)+1, FALSE)) - Q$1), ((Assumptions!$B$8)*'Yearly Pension'!Q$1))))</f>
        <v>582.22616377016311</v>
      </c>
      <c r="R70" s="6">
        <f>(HLOOKUP('Yearly Pension'!R$2,'Credited Service'!$G$1:$BC$80,$A70+1,FALSE)) * (IF($B70=500, (Assumptions!$B$7)*12, IF((HLOOKUP(R$2,Earnings!$G$2:$BC$81,('Yearly Pension'!$A70)+1, FALSE)) &gt; R$1, (Assumptions!$B$8)*(R$1) + (Assumptions!$B$9)*MAX(0,  (HLOOKUP(R$2,Earnings!$G$2:$BC$81,('Yearly Pension'!$A70)+1, FALSE)) - R$1), ((Assumptions!$B$8)*'Yearly Pension'!R$1))))</f>
        <v>608.30561032096966</v>
      </c>
      <c r="S70" s="6">
        <f>(HLOOKUP('Yearly Pension'!S$2,'Credited Service'!$G$1:$BC$80,$A70+1,FALSE)) * (IF($B70=500, (Assumptions!$B$7)*12, IF((HLOOKUP(S$2,Earnings!$G$2:$BC$81,('Yearly Pension'!$A70)+1, FALSE)) &gt; S$1, (Assumptions!$B$8)*(S$1) + (Assumptions!$B$9)*MAX(0,  (HLOOKUP(S$2,Earnings!$G$2:$BC$81,('Yearly Pension'!$A70)+1, FALSE)) - S$1), ((Assumptions!$B$8)*'Yearly Pension'!S$1))))</f>
        <v>631.74183473380845</v>
      </c>
      <c r="T70" s="6">
        <f>(HLOOKUP('Yearly Pension'!T$2,'Credited Service'!$G$1:$BC$80,$A70+1,FALSE)) * (IF($B70=500, (Assumptions!$B$7)*12, IF((HLOOKUP(T$2,Earnings!$G$2:$BC$81,('Yearly Pension'!$A70)+1, FALSE)) &gt; T$1, (Assumptions!$B$8)*(T$1) + (Assumptions!$B$9)*MAX(0,  (HLOOKUP(T$2,Earnings!$G$2:$BC$81,('Yearly Pension'!$A70)+1, FALSE)) - T$1), ((Assumptions!$B$8)*'Yearly Pension'!T$1))))</f>
        <v>656.42270812316087</v>
      </c>
      <c r="U70" s="6">
        <f>(HLOOKUP('Yearly Pension'!U$2,'Credited Service'!$G$1:$BC$80,$A70+1,FALSE)) * (IF($B70=500, (Assumptions!$B$7)*12, IF((HLOOKUP(U$2,Earnings!$G$2:$BC$81,('Yearly Pension'!$A70)+1, FALSE)) &gt; U$1, (Assumptions!$B$8)*(U$1) + (Assumptions!$B$9)*MAX(0,  (HLOOKUP(U$2,Earnings!$G$2:$BC$81,('Yearly Pension'!$A70)+1, FALSE)) - U$1), ((Assumptions!$B$8)*'Yearly Pension'!U$1))))</f>
        <v>679.83801644808727</v>
      </c>
      <c r="V70" s="6">
        <f>(HLOOKUP('Yearly Pension'!V$2,'Credited Service'!$G$1:$BC$80,$A70+1,FALSE)) * (IF($B70=500, (Assumptions!$B$7)*12, IF((HLOOKUP(V$2,Earnings!$G$2:$BC$81,('Yearly Pension'!$A70)+1, FALSE)) &gt; V$1, (Assumptions!$B$8)*(V$1) + (Assumptions!$B$9)*MAX(0,  (HLOOKUP(V$2,Earnings!$G$2:$BC$81,('Yearly Pension'!$A70)+1, FALSE)) - V$1), ((Assumptions!$B$8)*'Yearly Pension'!V$1))))</f>
        <v>703.95953710601077</v>
      </c>
      <c r="W70" s="6">
        <f>(HLOOKUP('Yearly Pension'!W$2,'Credited Service'!$G$1:$BC$80,$A70+1,FALSE)) * (IF($B70=500, (Assumptions!$B$7)*12, IF((HLOOKUP(W$2,Earnings!$G$2:$BC$81,('Yearly Pension'!$A70)+1, FALSE)) &gt; W$1, (Assumptions!$B$8)*(W$1) + (Assumptions!$B$9)*MAX(0,  (HLOOKUP(W$2,Earnings!$G$2:$BC$81,('Yearly Pension'!$A70)+1, FALSE)) - W$1), ((Assumptions!$B$8)*'Yearly Pension'!W$1))))</f>
        <v>732.68111859025123</v>
      </c>
      <c r="X70" s="6">
        <f>(HLOOKUP('Yearly Pension'!X$2,'Credited Service'!$G$1:$BC$80,$A70+1,FALSE)) * (IF($B70=500, (Assumptions!$B$7)*12, IF((HLOOKUP(X$2,Earnings!$G$2:$BC$81,('Yearly Pension'!$A70)+1, FALSE)) &gt; X$1, (Assumptions!$B$8)*(X$1) + (Assumptions!$B$9)*MAX(0,  (HLOOKUP(X$2,Earnings!$G$2:$BC$81,('Yearly Pension'!$A70)+1, FALSE)) - X$1), ((Assumptions!$B$8)*'Yearly Pension'!X$1))))</f>
        <v>764.13876333386133</v>
      </c>
      <c r="Y70" s="6">
        <f>(HLOOKUP('Yearly Pension'!Y$2,'Credited Service'!$G$1:$BC$80,$A70+1,FALSE)) * (IF($B70=500, (Assumptions!$B$7)*12, IF((HLOOKUP(Y$2,Earnings!$G$2:$BC$81,('Yearly Pension'!$A70)+1, FALSE)) &gt; Y$1, (Assumptions!$B$8)*(Y$1) + (Assumptions!$B$9)*MAX(0,  (HLOOKUP(Y$2,Earnings!$G$2:$BC$81,('Yearly Pension'!$A70)+1, FALSE)) - Y$1), ((Assumptions!$B$8)*'Yearly Pension'!Y$1))))</f>
        <v>800.31071386721601</v>
      </c>
      <c r="Z70" s="6">
        <f>(HLOOKUP('Yearly Pension'!Z$2,'Credited Service'!$G$1:$BC$80,$A70+1,FALSE)) * (IF($B70=500, (Assumptions!$B$7)*12, IF((HLOOKUP(Z$2,Earnings!$G$2:$BC$81,('Yearly Pension'!$A70)+1, FALSE)) &gt; Z$1, (Assumptions!$B$8)*(Z$1) + (Assumptions!$B$9)*MAX(0,  (HLOOKUP(Z$2,Earnings!$G$2:$BC$81,('Yearly Pension'!$A70)+1, FALSE)) - Z$1), ((Assumptions!$B$8)*'Yearly Pension'!Z$1))))</f>
        <v>838.0575424219046</v>
      </c>
      <c r="AA70" s="6">
        <f>(HLOOKUP('Yearly Pension'!AA$2,'Credited Service'!$G$1:$BC$80,$A70+1,FALSE)) * (IF($B70=500, (Assumptions!$B$7)*12, IF((HLOOKUP(AA$2,Earnings!$G$2:$BC$81,('Yearly Pension'!$A70)+1, FALSE)) &gt; AA$1, (Assumptions!$B$8)*(AA$1) + (Assumptions!$B$9)*MAX(0,  (HLOOKUP(AA$2,Earnings!$G$2:$BC$81,('Yearly Pension'!$A70)+1, FALSE)) - AA$1), ((Assumptions!$B$8)*'Yearly Pension'!AA$1))))</f>
        <v>878.08224411878098</v>
      </c>
      <c r="AB70" s="6">
        <f>(HLOOKUP('Yearly Pension'!AB$2,'Credited Service'!$G$1:$BC$80,$A70+1,FALSE)) * (IF($B70=500, (Assumptions!$B$7)*12, IF((HLOOKUP(AB$2,Earnings!$G$2:$BC$81,('Yearly Pension'!$A70)+1, FALSE)) &gt; AB$1, (Assumptions!$B$8)*(AB$1) + (Assumptions!$B$9)*MAX(0,  (HLOOKUP(AB$2,Earnings!$G$2:$BC$81,('Yearly Pension'!$A70)+1, FALSE)) - AB$1), ((Assumptions!$B$8)*'Yearly Pension'!AB$1))))</f>
        <v>915.33033388353215</v>
      </c>
      <c r="AC70" s="6">
        <f>(HLOOKUP('Yearly Pension'!AC$2,'Credited Service'!$G$1:$BC$80,$A70+1,FALSE)) * (IF($B70=500, (Assumptions!$B$7)*12, IF((HLOOKUP(AC$2,Earnings!$G$2:$BC$81,('Yearly Pension'!$A70)+1, FALSE)) &gt; AC$1, (Assumptions!$B$8)*(AC$1) + (Assumptions!$B$9)*MAX(0,  (HLOOKUP(AC$2,Earnings!$G$2:$BC$81,('Yearly Pension'!$A70)+1, FALSE)) - AC$1), ((Assumptions!$B$8)*'Yearly Pension'!AC$1))))</f>
        <v>958.1899472388734</v>
      </c>
      <c r="AD70" s="6">
        <f>(HLOOKUP('Yearly Pension'!AD$2,'Credited Service'!$G$1:$BC$80,$A70+1,FALSE)) * (IF($B70=500, (Assumptions!$B$7)*12, IF((HLOOKUP(AD$2,Earnings!$G$2:$BC$81,('Yearly Pension'!$A70)+1, FALSE)) &gt; AD$1, (Assumptions!$B$8)*(AD$1) + (Assumptions!$B$9)*MAX(0,  (HLOOKUP(AD$2,Earnings!$G$2:$BC$81,('Yearly Pension'!$A70)+1, FALSE)) - AD$1), ((Assumptions!$B$8)*'Yearly Pension'!AD$1))))</f>
        <v>1004.8119451284283</v>
      </c>
      <c r="AE70" s="6">
        <f>(HLOOKUP('Yearly Pension'!AE$2,'Credited Service'!$G$1:$BC$80,$A70+1,FALSE)) * (IF($B70=500, (Assumptions!$B$7)*12, IF((HLOOKUP(AE$2,Earnings!$G$2:$BC$81,('Yearly Pension'!$A70)+1, FALSE)) &gt; AE$1, (Assumptions!$B$8)*(AE$1) + (Assumptions!$B$9)*MAX(0,  (HLOOKUP(AE$2,Earnings!$G$2:$BC$81,('Yearly Pension'!$A70)+1, FALSE)) - AE$1), ((Assumptions!$B$8)*'Yearly Pension'!AE$1))))</f>
        <v>1050.1500229335657</v>
      </c>
      <c r="AF70" s="6">
        <f>(HLOOKUP('Yearly Pension'!AF$2,'Credited Service'!$G$1:$BC$80,$A70+1,FALSE)) * (IF($B70=500, (Assumptions!$B$7)*12, IF((HLOOKUP(AF$2,Earnings!$G$2:$BC$81,('Yearly Pension'!$A70)+1, FALSE)) &gt; AF$1, (Assumptions!$B$8)*(AF$1) + (Assumptions!$B$9)*MAX(0,  (HLOOKUP(AF$2,Earnings!$G$2:$BC$81,('Yearly Pension'!$A70)+1, FALSE)) - AF$1), ((Assumptions!$B$8)*'Yearly Pension'!AF$1))))</f>
        <v>1096.8408238509082</v>
      </c>
      <c r="AG70" s="6">
        <f>(HLOOKUP('Yearly Pension'!AG$2,'Credited Service'!$G$1:$BC$80,$A70+1,FALSE)) * (IF($B70=500, (Assumptions!$B$7)*12, IF((HLOOKUP(AG$2,Earnings!$G$2:$BC$81,('Yearly Pension'!$A70)+1, FALSE)) &gt; AG$1, (Assumptions!$B$8)*(AG$1) + (Assumptions!$B$9)*MAX(0,  (HLOOKUP(AG$2,Earnings!$G$2:$BC$81,('Yearly Pension'!$A70)+1, FALSE)) - AG$1), ((Assumptions!$B$8)*'Yearly Pension'!AG$1))))</f>
        <v>1145.6040568049448</v>
      </c>
      <c r="AH70" s="6">
        <f>(HLOOKUP('Yearly Pension'!AH$2,'Credited Service'!$G$1:$BC$80,$A70+1,FALSE)) * (IF($B70=500, (Assumptions!$B$7)*12, IF((HLOOKUP(AH$2,Earnings!$G$2:$BC$81,('Yearly Pension'!$A70)+1, FALSE)) &gt; AH$1, (Assumptions!$B$8)*(AH$1) + (Assumptions!$B$9)*MAX(0,  (HLOOKUP(AH$2,Earnings!$G$2:$BC$81,('Yearly Pension'!$A70)+1, FALSE)) - AH$1), ((Assumptions!$B$8)*'Yearly Pension'!AH$1))))</f>
        <v>1197.8026190771425</v>
      </c>
      <c r="AI70" s="6">
        <f>(HLOOKUP('Yearly Pension'!AI$2,'Credited Service'!$G$1:$BC$80,$A70+1,FALSE)) * (IF($B70=500, (Assumptions!$B$7)*12, IF((HLOOKUP(AI$2,Earnings!$G$2:$BC$81,('Yearly Pension'!$A70)+1, FALSE)) &gt; AI$1, (Assumptions!$B$8)*(AI$1) + (Assumptions!$B$9)*MAX(0,  (HLOOKUP(AI$2,Earnings!$G$2:$BC$81,('Yearly Pension'!$A70)+1, FALSE)) - AI$1), ((Assumptions!$B$8)*'Yearly Pension'!AI$1))))</f>
        <v>1252.2427238402283</v>
      </c>
      <c r="AJ70" s="6">
        <f>(HLOOKUP('Yearly Pension'!AJ$2,'Credited Service'!$G$1:$BC$80,$A70+1,FALSE)) * (IF($B70=500, (Assumptions!$B$7)*12, IF((HLOOKUP(AJ$2,Earnings!$G$2:$BC$81,('Yearly Pension'!$A70)+1, FALSE)) &gt; AJ$1, (Assumptions!$B$8)*(AJ$1) + (Assumptions!$B$9)*MAX(0,  (HLOOKUP(AJ$2,Earnings!$G$2:$BC$81,('Yearly Pension'!$A70)+1, FALSE)) - AJ$1), ((Assumptions!$B$8)*'Yearly Pension'!AJ$1))))</f>
        <v>1306.4540327938375</v>
      </c>
      <c r="AK70" s="6">
        <f>(HLOOKUP('Yearly Pension'!AK$2,'Credited Service'!$G$1:$BC$80,$A70+1,FALSE)) * (IF($B70=500, (Assumptions!$B$7)*12, IF((HLOOKUP(AK$2,Earnings!$G$2:$BC$81,('Yearly Pension'!$A70)+1, FALSE)) &gt; AK$1, (Assumptions!$B$8)*(AK$1) + (Assumptions!$B$9)*MAX(0,  (HLOOKUP(AK$2,Earnings!$G$2:$BC$81,('Yearly Pension'!$A70)+1, FALSE)) - AK$1), ((Assumptions!$B$8)*'Yearly Pension'!AK$1))))</f>
        <v>1359.249794105591</v>
      </c>
      <c r="AL70" s="6">
        <f>(HLOOKUP('Yearly Pension'!AL$2,'Credited Service'!$G$1:$BC$80,$A70+1,FALSE)) * (IF($B70=500, (Assumptions!$B$7)*12, IF((HLOOKUP(AL$2,Earnings!$G$2:$BC$81,('Yearly Pension'!$A70)+1, FALSE)) &gt; AL$1, (Assumptions!$B$8)*(AL$1) + (Assumptions!$B$9)*MAX(0,  (HLOOKUP(AL$2,Earnings!$G$2:$BC$81,('Yearly Pension'!$A70)+1, FALSE)) - AL$1), ((Assumptions!$B$8)*'Yearly Pension'!AL$1))))</f>
        <v>1417.1269858698147</v>
      </c>
      <c r="AM70" s="6">
        <f>(HLOOKUP('Yearly Pension'!AM$2,'Credited Service'!$G$1:$BC$80,$A70+1,FALSE)) * (IF($B70=500, (Assumptions!$B$7)*12, IF((HLOOKUP(AM$2,Earnings!$G$2:$BC$81,('Yearly Pension'!$A70)+1, FALSE)) &gt; AM$1, (Assumptions!$B$8)*(AM$1) + (Assumptions!$B$9)*MAX(0,  (HLOOKUP(AM$2,Earnings!$G$2:$BC$81,('Yearly Pension'!$A70)+1, FALSE)) - AM$1), ((Assumptions!$B$8)*'Yearly Pension'!AM$1))))</f>
        <v>1476.3464653046074</v>
      </c>
      <c r="AN70" s="6">
        <f>(HLOOKUP('Yearly Pension'!AN$2,'Credited Service'!$G$1:$BC$80,$A70+1,FALSE)) * (IF($B70=500, (Assumptions!$B$7)*12, IF((HLOOKUP(AN$2,Earnings!$G$2:$BC$81,('Yearly Pension'!$A70)+1, FALSE)) &gt; AN$1, (Assumptions!$B$8)*(AN$1) + (Assumptions!$B$9)*MAX(0,  (HLOOKUP(AN$2,Earnings!$G$2:$BC$81,('Yearly Pension'!$A70)+1, FALSE)) - AN$1), ((Assumptions!$B$8)*'Yearly Pension'!AN$1))))</f>
        <v>1541.4931239167918</v>
      </c>
      <c r="AO70" s="6">
        <f>(HLOOKUP('Yearly Pension'!AO$2,'Credited Service'!$G$1:$BC$80,$A70+1,FALSE)) * (IF($B70=500, (Assumptions!$B$7)*12, IF((HLOOKUP(AO$2,Earnings!$G$2:$BC$81,('Yearly Pension'!$A70)+1, FALSE)) &gt; AO$1, (Assumptions!$B$8)*(AO$1) + (Assumptions!$B$9)*MAX(0,  (HLOOKUP(AO$2,Earnings!$G$2:$BC$81,('Yearly Pension'!$A70)+1, FALSE)) - AO$1), ((Assumptions!$B$8)*'Yearly Pension'!AO$1))))</f>
        <v>1608.1960488734635</v>
      </c>
      <c r="AP70" s="6">
        <f>(HLOOKUP('Yearly Pension'!AP$2,'Credited Service'!$G$1:$BC$80,$A70+1,FALSE)) * (IF($B70=500, (Assumptions!$B$7)*12, IF((HLOOKUP(AP$2,Earnings!$G$2:$BC$81,('Yearly Pension'!$A70)+1, FALSE)) &gt; AP$1, (Assumptions!$B$8)*(AP$1) + (Assumptions!$B$9)*MAX(0,  (HLOOKUP(AP$2,Earnings!$G$2:$BC$81,('Yearly Pension'!$A70)+1, FALSE)) - AP$1), ((Assumptions!$B$8)*'Yearly Pension'!AP$1))))</f>
        <v>1673.3686908284021</v>
      </c>
      <c r="AQ70" s="6">
        <f>(HLOOKUP('Yearly Pension'!AQ$2,'Credited Service'!$G$1:$BC$80,$A70+1,FALSE)) * (IF($B70=500, (Assumptions!$B$7)*12, IF((HLOOKUP(AQ$2,Earnings!$G$2:$BC$81,('Yearly Pension'!$A70)+1, FALSE)) &gt; AQ$1, (Assumptions!$B$8)*(AQ$1) + (Assumptions!$B$9)*MAX(0,  (HLOOKUP(AQ$2,Earnings!$G$2:$BC$81,('Yearly Pension'!$A70)+1, FALSE)) - AQ$1), ((Assumptions!$B$8)*'Yearly Pension'!AQ$1))))</f>
        <v>1746.7290384615385</v>
      </c>
      <c r="AR70" s="6">
        <f>(HLOOKUP('Yearly Pension'!AR$2,'Credited Service'!$G$1:$BC$80,$A70+1,FALSE)) * (IF($B70=500, (Assumptions!$B$7)*12, IF((HLOOKUP(AR$2,Earnings!$G$2:$BC$81,('Yearly Pension'!$A70)+1, FALSE)) &gt; AR$1, (Assumptions!$B$8)*(AR$1) + (Assumptions!$B$9)*MAX(0,  (HLOOKUP(AR$2,Earnings!$G$2:$BC$81,('Yearly Pension'!$A70)+1, FALSE)) - AR$1), ((Assumptions!$B$8)*'Yearly Pension'!AR$1))))</f>
        <v>1820.7198000000001</v>
      </c>
      <c r="AS70" s="6">
        <f>(HLOOKUP('Yearly Pension'!AS$2,'Credited Service'!$G$1:$BC$80,$A70+1,FALSE)) * (IF($B70=500, (Assumptions!$B$7)*12, IF((HLOOKUP(AS$2,Earnings!$G$2:$BC$81,('Yearly Pension'!$A70)+1, FALSE)) &gt; AS$1, (Assumptions!$B$8)*(AS$1) + (Assumptions!$B$9)*MAX(0,  (HLOOKUP(AS$2,Earnings!$G$2:$BC$81,('Yearly Pension'!$A70)+1, FALSE)) - AS$1), ((Assumptions!$B$8)*'Yearly Pension'!AS$1))))</f>
        <v>1878.381394</v>
      </c>
      <c r="AT70" s="6">
        <f>(HLOOKUP('Yearly Pension'!AT$2,'Credited Service'!$G$1:$BC$80,$A70+1,FALSE)) * (IF($B70=500, (Assumptions!$B$7)*12, IF((HLOOKUP(AT$2,Earnings!$G$2:$BC$81,('Yearly Pension'!$A70)+1, FALSE)) &gt; AT$1, (Assumptions!$B$8)*(AT$1) + (Assumptions!$B$9)*MAX(0,  (HLOOKUP(AT$2,Earnings!$G$2:$BC$81,('Yearly Pension'!$A70)+1, FALSE)) - AT$1), ((Assumptions!$B$8)*'Yearly Pension'!AT$1))))</f>
        <v>1936.7040358200002</v>
      </c>
      <c r="AU70" s="6">
        <f>(HLOOKUP('Yearly Pension'!AU$2,'Credited Service'!$G$1:$BC$80,$A70+1,FALSE)) * (IF($B70=500, (Assumptions!$B$7)*12, IF((HLOOKUP(AU$2,Earnings!$G$2:$BC$81,('Yearly Pension'!$A70)+1, FALSE)) &gt; AU$1, (Assumptions!$B$8)*(AU$1) + (Assumptions!$B$9)*MAX(0,  (HLOOKUP(AU$2,Earnings!$G$2:$BC$81,('Yearly Pension'!$A70)+1, FALSE)) - AU$1), ((Assumptions!$B$8)*'Yearly Pension'!AU$1))))</f>
        <v>2002.7859568946003</v>
      </c>
      <c r="AV70" s="6">
        <f>(HLOOKUP('Yearly Pension'!AV$2,'Credited Service'!$G$1:$BC$80,$A70+1,FALSE)) * (IF($B70=500, (Assumptions!$B$7)*12, IF((HLOOKUP(AV$2,Earnings!$G$2:$BC$81,('Yearly Pension'!$A70)+1, FALSE)) &gt; AV$1, (Assumptions!$B$8)*(AV$1) + (Assumptions!$B$9)*MAX(0,  (HLOOKUP(AV$2,Earnings!$G$2:$BC$81,('Yearly Pension'!$A70)+1, FALSE)) - AV$1), ((Assumptions!$B$8)*'Yearly Pension'!AV$1))))</f>
        <v>2069.6471356014381</v>
      </c>
      <c r="AW70" s="6">
        <f>(HLOOKUP('Yearly Pension'!AW$2,'Credited Service'!$G$1:$BC$80,$A70+1,FALSE)) * (IF($B70=500, (Assumptions!$B$7)*12, IF((HLOOKUP(AW$2,Earnings!$G$2:$BC$81,('Yearly Pension'!$A70)+1, FALSE)) &gt; AW$1, (Assumptions!$B$8)*(AW$1) + (Assumptions!$B$9)*MAX(0,  (HLOOKUP(AW$2,Earnings!$G$2:$BC$81,('Yearly Pension'!$A70)+1, FALSE)) - AW$1), ((Assumptions!$B$8)*'Yearly Pension'!AW$1))))</f>
        <v>2132.8693496694814</v>
      </c>
      <c r="AX70" s="6">
        <f>(HLOOKUP('Yearly Pension'!AX$2,'Credited Service'!$G$1:$BC$80,$A70+1,FALSE)) * (IF($B70=500, (Assumptions!$B$7)*12, IF((HLOOKUP(AX$2,Earnings!$G$2:$BC$81,('Yearly Pension'!$A70)+1, FALSE)) &gt; AX$1, (Assumptions!$B$8)*(AX$1) + (Assumptions!$B$9)*MAX(0,  (HLOOKUP(AX$2,Earnings!$G$2:$BC$81,('Yearly Pension'!$A70)+1, FALSE)) - AX$1), ((Assumptions!$B$8)*'Yearly Pension'!AX$1))))</f>
        <v>2193.1818301595658</v>
      </c>
      <c r="AY70" s="6">
        <f>(HLOOKUP('Yearly Pension'!AY$2,'Credited Service'!$G$1:$BC$80,$A70+1,FALSE)) * (IF($B70=500, (Assumptions!$B$7)*12, IF((HLOOKUP(AY$2,Earnings!$G$2:$BC$81,('Yearly Pension'!$A70)+1, FALSE)) &gt; AY$1, (Assumptions!$B$8)*(AY$1) + (Assumptions!$B$9)*MAX(0,  (HLOOKUP(AY$2,Earnings!$G$2:$BC$81,('Yearly Pension'!$A70)+1, FALSE)) - AY$1), ((Assumptions!$B$8)*'Yearly Pension'!AY$1))))</f>
        <v>2255.1567410643529</v>
      </c>
      <c r="AZ70" s="6">
        <f>(HLOOKUP('Yearly Pension'!AZ$2,'Credited Service'!$G$1:$BC$80,$A70+1,FALSE)) * (IF($B70=500, (Assumptions!$B$7)*12, IF((HLOOKUP(AZ$2,Earnings!$G$2:$BC$81,('Yearly Pension'!$A70)+1, FALSE)) &gt; AZ$1, (Assumptions!$B$8)*(AZ$1) + (Assumptions!$B$9)*MAX(0,  (HLOOKUP(AZ$2,Earnings!$G$2:$BC$81,('Yearly Pension'!$A70)+1, FALSE)) - AZ$1), ((Assumptions!$B$8)*'Yearly Pension'!AZ$1))))</f>
        <v>2318.8380775362839</v>
      </c>
      <c r="BA70" s="6">
        <f>(HLOOKUP('Yearly Pension'!BA$2,'Credited Service'!$G$1:$BC$80,$A70+1,FALSE)) * (IF($B70=500, (Assumptions!$B$7)*12, IF((HLOOKUP(BA$2,Earnings!$G$2:$BC$81,('Yearly Pension'!$A70)+1, FALSE)) &gt; BA$1, (Assumptions!$B$8)*(BA$1) + (Assumptions!$B$9)*MAX(0,  (HLOOKUP(BA$2,Earnings!$G$2:$BC$81,('Yearly Pension'!$A70)+1, FALSE)) - BA$1), ((Assumptions!$B$8)*'Yearly Pension'!BA$1))))</f>
        <v>2384.2709194719728</v>
      </c>
      <c r="BB70" s="6">
        <f>(HLOOKUP('Yearly Pension'!BB$2,'Credited Service'!$G$1:$BC$80,$A70+1,FALSE)) * (IF($B70=500, (Assumptions!$B$7)*12, IF((HLOOKUP(BB$2,Earnings!$G$2:$BC$81,('Yearly Pension'!$A70)+1, FALSE)) &gt; BB$1, (Assumptions!$B$8)*(BB$1) + (Assumptions!$B$9)*MAX(0,  (HLOOKUP(BB$2,Earnings!$G$2:$BC$81,('Yearly Pension'!$A70)+1, FALSE)) - BB$1), ((Assumptions!$B$8)*'Yearly Pension'!BB$1))))</f>
        <v>2451.5014546501161</v>
      </c>
      <c r="BC70" s="6">
        <f>(HLOOKUP('Yearly Pension'!BC$2,'Credited Service'!$G$1:$BC$80,$A70+1,FALSE)) * (IF($B70=500, (Assumptions!$B$7)*12, IF((HLOOKUP(BC$2,Earnings!$G$2:$BC$81,('Yearly Pension'!$A70)+1, FALSE)) &gt; BC$1, (Assumptions!$B$8)*(BC$1) + (Assumptions!$B$9)*MAX(0,  (HLOOKUP(BC$2,Earnings!$G$2:$BC$81,('Yearly Pension'!$A70)+1, FALSE)) - BC$1), ((Assumptions!$B$8)*'Yearly Pension'!BC$1))))</f>
        <v>2520.5770021873627</v>
      </c>
    </row>
    <row r="71" spans="1:55" x14ac:dyDescent="0.25">
      <c r="A71" s="204">
        <v>69</v>
      </c>
      <c r="B71" s="1">
        <v>600</v>
      </c>
      <c r="C71" s="1">
        <v>524</v>
      </c>
      <c r="D71" s="3">
        <v>31491</v>
      </c>
      <c r="E71" s="3">
        <v>44348</v>
      </c>
      <c r="G71" s="6">
        <f>(HLOOKUP('Yearly Pension'!G$2,'Credited Service'!$G$1:$BC$80,$A71+1,FALSE)) * (IF($B71=500, (Assumptions!$B$7)*12, IF((HLOOKUP(G$2,Earnings!$G$2:$BC$81,('Yearly Pension'!$A71)+1, FALSE)) &gt; G$1, (Assumptions!$B$8)*(G$1) + (Assumptions!$B$9)*MAX(0,  (HLOOKUP(G$2,Earnings!$G$2:$BC$81,('Yearly Pension'!$A71)+1, FALSE)) - G$1), ((Assumptions!$B$8)*'Yearly Pension'!G$1))))</f>
        <v>0</v>
      </c>
      <c r="H71" s="6">
        <f>(HLOOKUP('Yearly Pension'!H$2,'Credited Service'!$G$1:$BC$80,$A71+1,FALSE)) * (IF($B71=500, (Assumptions!$B$7)*12, IF((HLOOKUP(H$2,Earnings!$G$2:$BC$81,('Yearly Pension'!$A71)+1, FALSE)) &gt; H$1, (Assumptions!$B$8)*(H$1) + (Assumptions!$B$9)*MAX(0,  (HLOOKUP(H$2,Earnings!$G$2:$BC$81,('Yearly Pension'!$A71)+1, FALSE)) - H$1), ((Assumptions!$B$8)*'Yearly Pension'!H$1))))</f>
        <v>0</v>
      </c>
      <c r="I71" s="6">
        <f>(HLOOKUP('Yearly Pension'!I$2,'Credited Service'!$G$1:$BC$80,$A71+1,FALSE)) * (IF($B71=500, (Assumptions!$B$7)*12, IF((HLOOKUP(I$2,Earnings!$G$2:$BC$81,('Yearly Pension'!$A71)+1, FALSE)) &gt; I$1, (Assumptions!$B$8)*(I$1) + (Assumptions!$B$9)*MAX(0,  (HLOOKUP(I$2,Earnings!$G$2:$BC$81,('Yearly Pension'!$A71)+1, FALSE)) - I$1), ((Assumptions!$B$8)*'Yearly Pension'!I$1))))</f>
        <v>0</v>
      </c>
      <c r="J71" s="6">
        <f>(HLOOKUP('Yearly Pension'!J$2,'Credited Service'!$G$1:$BC$80,$A71+1,FALSE)) * (IF($B71=500, (Assumptions!$B$7)*12, IF((HLOOKUP(J$2,Earnings!$G$2:$BC$81,('Yearly Pension'!$A71)+1, FALSE)) &gt; J$1, (Assumptions!$B$8)*(J$1) + (Assumptions!$B$9)*MAX(0,  (HLOOKUP(J$2,Earnings!$G$2:$BC$81,('Yearly Pension'!$A71)+1, FALSE)) - J$1), ((Assumptions!$B$8)*'Yearly Pension'!J$1))))</f>
        <v>0</v>
      </c>
      <c r="K71" s="6">
        <f>(HLOOKUP('Yearly Pension'!K$2,'Credited Service'!$G$1:$BC$80,$A71+1,FALSE)) * (IF($B71=500, (Assumptions!$B$7)*12, IF((HLOOKUP(K$2,Earnings!$G$2:$BC$81,('Yearly Pension'!$A71)+1, FALSE)) &gt; K$1, (Assumptions!$B$8)*(K$1) + (Assumptions!$B$9)*MAX(0,  (HLOOKUP(K$2,Earnings!$G$2:$BC$81,('Yearly Pension'!$A71)+1, FALSE)) - K$1), ((Assumptions!$B$8)*'Yearly Pension'!K$1))))</f>
        <v>0</v>
      </c>
      <c r="L71" s="6">
        <f>(HLOOKUP('Yearly Pension'!L$2,'Credited Service'!$G$1:$BC$80,$A71+1,FALSE)) * (IF($B71=500, (Assumptions!$B$7)*12, IF((HLOOKUP(L$2,Earnings!$G$2:$BC$81,('Yearly Pension'!$A71)+1, FALSE)) &gt; L$1, (Assumptions!$B$8)*(L$1) + (Assumptions!$B$9)*MAX(0,  (HLOOKUP(L$2,Earnings!$G$2:$BC$81,('Yearly Pension'!$A71)+1, FALSE)) - L$1), ((Assumptions!$B$8)*'Yearly Pension'!L$1))))</f>
        <v>0</v>
      </c>
      <c r="M71" s="6">
        <f>(HLOOKUP('Yearly Pension'!M$2,'Credited Service'!$G$1:$BC$80,$A71+1,FALSE)) * (IF($B71=500, (Assumptions!$B$7)*12, IF((HLOOKUP(M$2,Earnings!$G$2:$BC$81,('Yearly Pension'!$A71)+1, FALSE)) &gt; M$1, (Assumptions!$B$8)*(M$1) + (Assumptions!$B$9)*MAX(0,  (HLOOKUP(M$2,Earnings!$G$2:$BC$81,('Yearly Pension'!$A71)+1, FALSE)) - M$1), ((Assumptions!$B$8)*'Yearly Pension'!M$1))))</f>
        <v>0</v>
      </c>
      <c r="N71" s="6">
        <f>(HLOOKUP('Yearly Pension'!N$2,'Credited Service'!$G$1:$BC$80,$A71+1,FALSE)) * (IF($B71=500, (Assumptions!$B$7)*12, IF((HLOOKUP(N$2,Earnings!$G$2:$BC$81,('Yearly Pension'!$A71)+1, FALSE)) &gt; N$1, (Assumptions!$B$8)*(N$1) + (Assumptions!$B$9)*MAX(0,  (HLOOKUP(N$2,Earnings!$G$2:$BC$81,('Yearly Pension'!$A71)+1, FALSE)) - N$1), ((Assumptions!$B$8)*'Yearly Pension'!N$1))))</f>
        <v>0</v>
      </c>
      <c r="O71" s="6">
        <f>(HLOOKUP('Yearly Pension'!O$2,'Credited Service'!$G$1:$BC$80,$A71+1,FALSE)) * (IF($B71=500, (Assumptions!$B$7)*12, IF((HLOOKUP(O$2,Earnings!$G$2:$BC$81,('Yearly Pension'!$A71)+1, FALSE)) &gt; O$1, (Assumptions!$B$8)*(O$1) + (Assumptions!$B$9)*MAX(0,  (HLOOKUP(O$2,Earnings!$G$2:$BC$81,('Yearly Pension'!$A71)+1, FALSE)) - O$1), ((Assumptions!$B$8)*'Yearly Pension'!O$1))))</f>
        <v>0</v>
      </c>
      <c r="P71" s="6">
        <f>(HLOOKUP('Yearly Pension'!P$2,'Credited Service'!$G$1:$BC$80,$A71+1,FALSE)) * (IF($B71=500, (Assumptions!$B$7)*12, IF((HLOOKUP(P$2,Earnings!$G$2:$BC$81,('Yearly Pension'!$A71)+1, FALSE)) &gt; P$1, (Assumptions!$B$8)*(P$1) + (Assumptions!$B$9)*MAX(0,  (HLOOKUP(P$2,Earnings!$G$2:$BC$81,('Yearly Pension'!$A71)+1, FALSE)) - P$1), ((Assumptions!$B$8)*'Yearly Pension'!P$1))))</f>
        <v>419.69893216901124</v>
      </c>
      <c r="Q71" s="6">
        <f>(HLOOKUP('Yearly Pension'!Q$2,'Credited Service'!$G$1:$BC$80,$A71+1,FALSE)) * (IF($B71=500, (Assumptions!$B$7)*12, IF((HLOOKUP(Q$2,Earnings!$G$2:$BC$81,('Yearly Pension'!$A71)+1, FALSE)) &gt; Q$1, (Assumptions!$B$8)*(Q$1) + (Assumptions!$B$9)*MAX(0,  (HLOOKUP(Q$2,Earnings!$G$2:$BC$81,('Yearly Pension'!$A71)+1, FALSE)) - Q$1), ((Assumptions!$B$8)*'Yearly Pension'!Q$1))))</f>
        <v>587.94731927436237</v>
      </c>
      <c r="R71" s="6">
        <f>(HLOOKUP('Yearly Pension'!R$2,'Credited Service'!$G$1:$BC$80,$A71+1,FALSE)) * (IF($B71=500, (Assumptions!$B$7)*12, IF((HLOOKUP(R$2,Earnings!$G$2:$BC$81,('Yearly Pension'!$A71)+1, FALSE)) &gt; R$1, (Assumptions!$B$8)*(R$1) + (Assumptions!$B$9)*MAX(0,  (HLOOKUP(R$2,Earnings!$G$2:$BC$81,('Yearly Pension'!$A71)+1, FALSE)) - R$1), ((Assumptions!$B$8)*'Yearly Pension'!R$1))))</f>
        <v>614.25561204533687</v>
      </c>
      <c r="S71" s="6">
        <f>(HLOOKUP('Yearly Pension'!S$2,'Credited Service'!$G$1:$BC$80,$A71+1,FALSE)) * (IF($B71=500, (Assumptions!$B$7)*12, IF((HLOOKUP(S$2,Earnings!$G$2:$BC$81,('Yearly Pension'!$A71)+1, FALSE)) &gt; S$1, (Assumptions!$B$8)*(S$1) + (Assumptions!$B$9)*MAX(0,  (HLOOKUP(S$2,Earnings!$G$2:$BC$81,('Yearly Pension'!$A71)+1, FALSE)) - S$1), ((Assumptions!$B$8)*'Yearly Pension'!S$1))))</f>
        <v>637.92983652715031</v>
      </c>
      <c r="T71" s="6">
        <f>(HLOOKUP('Yearly Pension'!T$2,'Credited Service'!$G$1:$BC$80,$A71+1,FALSE)) * (IF($B71=500, (Assumptions!$B$7)*12, IF((HLOOKUP(T$2,Earnings!$G$2:$BC$81,('Yearly Pension'!$A71)+1, FALSE)) &gt; T$1, (Assumptions!$B$8)*(T$1) + (Assumptions!$B$9)*MAX(0,  (HLOOKUP(T$2,Earnings!$G$2:$BC$81,('Yearly Pension'!$A71)+1, FALSE)) - T$1), ((Assumptions!$B$8)*'Yearly Pension'!T$1))))</f>
        <v>662.85822998823642</v>
      </c>
      <c r="U71" s="6">
        <f>(HLOOKUP('Yearly Pension'!U$2,'Credited Service'!$G$1:$BC$80,$A71+1,FALSE)) * (IF($B71=500, (Assumptions!$B$7)*12, IF((HLOOKUP(U$2,Earnings!$G$2:$BC$81,('Yearly Pension'!$A71)+1, FALSE)) &gt; U$1, (Assumptions!$B$8)*(U$1) + (Assumptions!$B$9)*MAX(0,  (HLOOKUP(U$2,Earnings!$G$2:$BC$81,('Yearly Pension'!$A71)+1, FALSE)) - U$1), ((Assumptions!$B$8)*'Yearly Pension'!U$1))))</f>
        <v>686.5309591877658</v>
      </c>
      <c r="V71" s="6">
        <f>(HLOOKUP('Yearly Pension'!V$2,'Credited Service'!$G$1:$BC$80,$A71+1,FALSE)) * (IF($B71=500, (Assumptions!$B$7)*12, IF((HLOOKUP(V$2,Earnings!$G$2:$BC$81,('Yearly Pension'!$A71)+1, FALSE)) &gt; V$1, (Assumptions!$B$8)*(V$1) + (Assumptions!$B$9)*MAX(0,  (HLOOKUP(V$2,Earnings!$G$2:$BC$81,('Yearly Pension'!$A71)+1, FALSE)) - V$1), ((Assumptions!$B$8)*'Yearly Pension'!V$1))))</f>
        <v>710.92019755527645</v>
      </c>
      <c r="W71" s="6">
        <f>(HLOOKUP('Yearly Pension'!W$2,'Credited Service'!$G$1:$BC$80,$A71+1,FALSE)) * (IF($B71=500, (Assumptions!$B$7)*12, IF((HLOOKUP(W$2,Earnings!$G$2:$BC$81,('Yearly Pension'!$A71)+1, FALSE)) &gt; W$1, (Assumptions!$B$8)*(W$1) + (Assumptions!$B$9)*MAX(0,  (HLOOKUP(W$2,Earnings!$G$2:$BC$81,('Yearly Pension'!$A71)+1, FALSE)) - W$1), ((Assumptions!$B$8)*'Yearly Pension'!W$1))))</f>
        <v>739.92020545748755</v>
      </c>
      <c r="X71" s="6">
        <f>(HLOOKUP('Yearly Pension'!X$2,'Credited Service'!$G$1:$BC$80,$A71+1,FALSE)) * (IF($B71=500, (Assumptions!$B$7)*12, IF((HLOOKUP(X$2,Earnings!$G$2:$BC$81,('Yearly Pension'!$A71)+1, FALSE)) &gt; X$1, (Assumptions!$B$8)*(X$1) + (Assumptions!$B$9)*MAX(0,  (HLOOKUP(X$2,Earnings!$G$2:$BC$81,('Yearly Pension'!$A71)+1, FALSE)) - X$1), ((Assumptions!$B$8)*'Yearly Pension'!X$1))))</f>
        <v>771.66741367578709</v>
      </c>
      <c r="Y71" s="6">
        <f>(HLOOKUP('Yearly Pension'!Y$2,'Credited Service'!$G$1:$BC$80,$A71+1,FALSE)) * (IF($B71=500, (Assumptions!$B$7)*12, IF((HLOOKUP(Y$2,Earnings!$G$2:$BC$81,('Yearly Pension'!$A71)+1, FALSE)) &gt; Y$1, (Assumptions!$B$8)*(Y$1) + (Assumptions!$B$9)*MAX(0,  (HLOOKUP(Y$2,Earnings!$G$2:$BC$81,('Yearly Pension'!$A71)+1, FALSE)) - Y$1), ((Assumptions!$B$8)*'Yearly Pension'!Y$1))))</f>
        <v>808.14051022281853</v>
      </c>
      <c r="Z71" s="6">
        <f>(HLOOKUP('Yearly Pension'!Z$2,'Credited Service'!$G$1:$BC$80,$A71+1,FALSE)) * (IF($B71=500, (Assumptions!$B$7)*12, IF((HLOOKUP(Z$2,Earnings!$G$2:$BC$81,('Yearly Pension'!$A71)+1, FALSE)) &gt; Z$1, (Assumptions!$B$8)*(Z$1) + (Assumptions!$B$9)*MAX(0,  (HLOOKUP(Z$2,Earnings!$G$2:$BC$81,('Yearly Pension'!$A71)+1, FALSE)) - Z$1), ((Assumptions!$B$8)*'Yearly Pension'!Z$1))))</f>
        <v>846.20053063173145</v>
      </c>
      <c r="AA71" s="6">
        <f>(HLOOKUP('Yearly Pension'!AA$2,'Credited Service'!$G$1:$BC$80,$A71+1,FALSE)) * (IF($B71=500, (Assumptions!$B$7)*12, IF((HLOOKUP(AA$2,Earnings!$G$2:$BC$81,('Yearly Pension'!$A71)+1, FALSE)) &gt; AA$1, (Assumptions!$B$8)*(AA$1) + (Assumptions!$B$9)*MAX(0,  (HLOOKUP(AA$2,Earnings!$G$2:$BC$81,('Yearly Pension'!$A71)+1, FALSE)) - AA$1), ((Assumptions!$B$8)*'Yearly Pension'!AA$1))))</f>
        <v>886.55095185700065</v>
      </c>
      <c r="AB71" s="6">
        <f>(HLOOKUP('Yearly Pension'!AB$2,'Credited Service'!$G$1:$BC$80,$A71+1,FALSE)) * (IF($B71=500, (Assumptions!$B$7)*12, IF((HLOOKUP(AB$2,Earnings!$G$2:$BC$81,('Yearly Pension'!$A71)+1, FALSE)) &gt; AB$1, (Assumptions!$B$8)*(AB$1) + (Assumptions!$B$9)*MAX(0,  (HLOOKUP(AB$2,Earnings!$G$2:$BC$81,('Yearly Pension'!$A71)+1, FALSE)) - AB$1), ((Assumptions!$B$8)*'Yearly Pension'!AB$1))))</f>
        <v>924.13778993128062</v>
      </c>
      <c r="AC71" s="6">
        <f>(HLOOKUP('Yearly Pension'!AC$2,'Credited Service'!$G$1:$BC$80,$A71+1,FALSE)) * (IF($B71=500, (Assumptions!$B$7)*12, IF((HLOOKUP(AC$2,Earnings!$G$2:$BC$81,('Yearly Pension'!$A71)+1, FALSE)) &gt; AC$1, (Assumptions!$B$8)*(AC$1) + (Assumptions!$B$9)*MAX(0,  (HLOOKUP(AC$2,Earnings!$G$2:$BC$81,('Yearly Pension'!$A71)+1, FALSE)) - AC$1), ((Assumptions!$B$8)*'Yearly Pension'!AC$1))))</f>
        <v>967.34970152853202</v>
      </c>
      <c r="AD71" s="6">
        <f>(HLOOKUP('Yearly Pension'!AD$2,'Credited Service'!$G$1:$BC$80,$A71+1,FALSE)) * (IF($B71=500, (Assumptions!$B$7)*12, IF((HLOOKUP(AD$2,Earnings!$G$2:$BC$81,('Yearly Pension'!$A71)+1, FALSE)) &gt; AD$1, (Assumptions!$B$8)*(AD$1) + (Assumptions!$B$9)*MAX(0,  (HLOOKUP(AD$2,Earnings!$G$2:$BC$81,('Yearly Pension'!$A71)+1, FALSE)) - AD$1), ((Assumptions!$B$8)*'Yearly Pension'!AD$1))))</f>
        <v>1014.3380895896732</v>
      </c>
      <c r="AE71" s="6">
        <f>(HLOOKUP('Yearly Pension'!AE$2,'Credited Service'!$G$1:$BC$80,$A71+1,FALSE)) * (IF($B71=500, (Assumptions!$B$7)*12, IF((HLOOKUP(AE$2,Earnings!$G$2:$BC$81,('Yearly Pension'!$A71)+1, FALSE)) &gt; AE$1, (Assumptions!$B$8)*(AE$1) + (Assumptions!$B$9)*MAX(0,  (HLOOKUP(AE$2,Earnings!$G$2:$BC$81,('Yearly Pension'!$A71)+1, FALSE)) - AE$1), ((Assumptions!$B$8)*'Yearly Pension'!AE$1))))</f>
        <v>1060.0572131732602</v>
      </c>
      <c r="AF71" s="6">
        <f>(HLOOKUP('Yearly Pension'!AF$2,'Credited Service'!$G$1:$BC$80,$A71+1,FALSE)) * (IF($B71=500, (Assumptions!$B$7)*12, IF((HLOOKUP(AF$2,Earnings!$G$2:$BC$81,('Yearly Pension'!$A71)+1, FALSE)) &gt; AF$1, (Assumptions!$B$8)*(AF$1) + (Assumptions!$B$9)*MAX(0,  (HLOOKUP(AF$2,Earnings!$G$2:$BC$81,('Yearly Pension'!$A71)+1, FALSE)) - AF$1), ((Assumptions!$B$8)*'Yearly Pension'!AF$1))))</f>
        <v>1107.1443017001907</v>
      </c>
      <c r="AG71" s="6">
        <f>(HLOOKUP('Yearly Pension'!AG$2,'Credited Service'!$G$1:$BC$80,$A71+1,FALSE)) * (IF($B71=500, (Assumptions!$B$7)*12, IF((HLOOKUP(AG$2,Earnings!$G$2:$BC$81,('Yearly Pension'!$A71)+1, FALSE)) &gt; AG$1, (Assumptions!$B$8)*(AG$1) + (Assumptions!$B$9)*MAX(0,  (HLOOKUP(AG$2,Earnings!$G$2:$BC$81,('Yearly Pension'!$A71)+1, FALSE)) - AG$1), ((Assumptions!$B$8)*'Yearly Pension'!AG$1))))</f>
        <v>1156.3196737681983</v>
      </c>
      <c r="AH71" s="6">
        <f>(HLOOKUP('Yearly Pension'!AH$2,'Credited Service'!$G$1:$BC$80,$A71+1,FALSE)) * (IF($B71=500, (Assumptions!$B$7)*12, IF((HLOOKUP(AH$2,Earnings!$G$2:$BC$81,('Yearly Pension'!$A71)+1, FALSE)) &gt; AH$1, (Assumptions!$B$8)*(AH$1) + (Assumptions!$B$9)*MAX(0,  (HLOOKUP(AH$2,Earnings!$G$2:$BC$81,('Yearly Pension'!$A71)+1, FALSE)) - AH$1), ((Assumptions!$B$8)*'Yearly Pension'!AH$1))))</f>
        <v>1208.9468607189265</v>
      </c>
      <c r="AI71" s="6">
        <f>(HLOOKUP('Yearly Pension'!AI$2,'Credited Service'!$G$1:$BC$80,$A71+1,FALSE)) * (IF($B71=500, (Assumptions!$B$7)*12, IF((HLOOKUP(AI$2,Earnings!$G$2:$BC$81,('Yearly Pension'!$A71)+1, FALSE)) &gt; AI$1, (Assumptions!$B$8)*(AI$1) + (Assumptions!$B$9)*MAX(0,  (HLOOKUP(AI$2,Earnings!$G$2:$BC$81,('Yearly Pension'!$A71)+1, FALSE)) - AI$1), ((Assumptions!$B$8)*'Yearly Pension'!AI$1))))</f>
        <v>1263.8327351476837</v>
      </c>
      <c r="AJ71" s="6">
        <f>(HLOOKUP('Yearly Pension'!AJ$2,'Credited Service'!$G$1:$BC$80,$A71+1,FALSE)) * (IF($B71=500, (Assumptions!$B$7)*12, IF((HLOOKUP(AJ$2,Earnings!$G$2:$BC$81,('Yearly Pension'!$A71)+1, FALSE)) &gt; AJ$1, (Assumptions!$B$8)*(AJ$1) + (Assumptions!$B$9)*MAX(0,  (HLOOKUP(AJ$2,Earnings!$G$2:$BC$81,('Yearly Pension'!$A71)+1, FALSE)) - AJ$1), ((Assumptions!$B$8)*'Yearly Pension'!AJ$1))))</f>
        <v>1318.507644553591</v>
      </c>
      <c r="AK71" s="6">
        <f>(HLOOKUP('Yearly Pension'!AK$2,'Credited Service'!$G$1:$BC$80,$A71+1,FALSE)) * (IF($B71=500, (Assumptions!$B$7)*12, IF((HLOOKUP(AK$2,Earnings!$G$2:$BC$81,('Yearly Pension'!$A71)+1, FALSE)) &gt; AK$1, (Assumptions!$B$8)*(AK$1) + (Assumptions!$B$9)*MAX(0,  (HLOOKUP(AK$2,Earnings!$G$2:$BC$81,('Yearly Pension'!$A71)+1, FALSE)) - AK$1), ((Assumptions!$B$8)*'Yearly Pension'!AK$1))))</f>
        <v>1371.7855503357346</v>
      </c>
      <c r="AL71" s="6">
        <f>(HLOOKUP('Yearly Pension'!AL$2,'Credited Service'!$G$1:$BC$80,$A71+1,FALSE)) * (IF($B71=500, (Assumptions!$B$7)*12, IF((HLOOKUP(AL$2,Earnings!$G$2:$BC$81,('Yearly Pension'!$A71)+1, FALSE)) &gt; AL$1, (Assumptions!$B$8)*(AL$1) + (Assumptions!$B$9)*MAX(0,  (HLOOKUP(AL$2,Earnings!$G$2:$BC$81,('Yearly Pension'!$A71)+1, FALSE)) - AL$1), ((Assumptions!$B$8)*'Yearly Pension'!AL$1))))</f>
        <v>1430.1641723491641</v>
      </c>
      <c r="AM71" s="6">
        <f>(HLOOKUP('Yearly Pension'!AM$2,'Credited Service'!$G$1:$BC$80,$A71+1,FALSE)) * (IF($B71=500, (Assumptions!$B$7)*12, IF((HLOOKUP(AM$2,Earnings!$G$2:$BC$81,('Yearly Pension'!$A71)+1, FALSE)) &gt; AM$1, (Assumptions!$B$8)*(AM$1) + (Assumptions!$B$9)*MAX(0,  (HLOOKUP(AM$2,Earnings!$G$2:$BC$81,('Yearly Pension'!$A71)+1, FALSE)) - AM$1), ((Assumptions!$B$8)*'Yearly Pension'!AM$1))))</f>
        <v>1489.9051392431306</v>
      </c>
      <c r="AN71" s="6">
        <f>(HLOOKUP('Yearly Pension'!AN$2,'Credited Service'!$G$1:$BC$80,$A71+1,FALSE)) * (IF($B71=500, (Assumptions!$B$7)*12, IF((HLOOKUP(AN$2,Earnings!$G$2:$BC$81,('Yearly Pension'!$A71)+1, FALSE)) &gt; AN$1, (Assumptions!$B$8)*(AN$1) + (Assumptions!$B$9)*MAX(0,  (HLOOKUP(AN$2,Earnings!$G$2:$BC$81,('Yearly Pension'!$A71)+1, FALSE)) - AN$1), ((Assumptions!$B$8)*'Yearly Pension'!AN$1))))</f>
        <v>1555.594144812856</v>
      </c>
      <c r="AO71" s="6">
        <f>(HLOOKUP('Yearly Pension'!AO$2,'Credited Service'!$G$1:$BC$80,$A71+1,FALSE)) * (IF($B71=500, (Assumptions!$B$7)*12, IF((HLOOKUP(AO$2,Earnings!$G$2:$BC$81,('Yearly Pension'!$A71)+1, FALSE)) &gt; AO$1, (Assumptions!$B$8)*(AO$1) + (Assumptions!$B$9)*MAX(0,  (HLOOKUP(AO$2,Earnings!$G$2:$BC$81,('Yearly Pension'!$A71)+1, FALSE)) - AO$1), ((Assumptions!$B$8)*'Yearly Pension'!AO$1))))</f>
        <v>1622.8611106053704</v>
      </c>
      <c r="AP71" s="6">
        <f>(HLOOKUP('Yearly Pension'!AP$2,'Credited Service'!$G$1:$BC$80,$A71+1,FALSE)) * (IF($B71=500, (Assumptions!$B$7)*12, IF((HLOOKUP(AP$2,Earnings!$G$2:$BC$81,('Yearly Pension'!$A71)+1, FALSE)) &gt; AP$1, (Assumptions!$B$8)*(AP$1) + (Assumptions!$B$9)*MAX(0,  (HLOOKUP(AP$2,Earnings!$G$2:$BC$81,('Yearly Pension'!$A71)+1, FALSE)) - AP$1), ((Assumptions!$B$8)*'Yearly Pension'!AP$1))))</f>
        <v>1688.6203550295854</v>
      </c>
      <c r="AQ71" s="6">
        <f>(HLOOKUP('Yearly Pension'!AQ$2,'Credited Service'!$G$1:$BC$80,$A71+1,FALSE)) * (IF($B71=500, (Assumptions!$B$7)*12, IF((HLOOKUP(AQ$2,Earnings!$G$2:$BC$81,('Yearly Pension'!$A71)+1, FALSE)) &gt; AQ$1, (Assumptions!$B$8)*(AQ$1) + (Assumptions!$B$9)*MAX(0,  (HLOOKUP(AQ$2,Earnings!$G$2:$BC$81,('Yearly Pension'!$A71)+1, FALSE)) - AQ$1), ((Assumptions!$B$8)*'Yearly Pension'!AQ$1))))</f>
        <v>1762.5907692307692</v>
      </c>
      <c r="AR71" s="6">
        <f>(HLOOKUP('Yearly Pension'!AR$2,'Credited Service'!$G$1:$BC$80,$A71+1,FALSE)) * (IF($B71=500, (Assumptions!$B$7)*12, IF((HLOOKUP(AR$2,Earnings!$G$2:$BC$81,('Yearly Pension'!$A71)+1, FALSE)) &gt; AR$1, (Assumptions!$B$8)*(AR$1) + (Assumptions!$B$9)*MAX(0,  (HLOOKUP(AR$2,Earnings!$G$2:$BC$81,('Yearly Pension'!$A71)+1, FALSE)) - AR$1), ((Assumptions!$B$8)*'Yearly Pension'!AR$1))))</f>
        <v>1837.2160000000001</v>
      </c>
      <c r="AS71" s="6">
        <f>(HLOOKUP('Yearly Pension'!AS$2,'Credited Service'!$G$1:$BC$80,$A71+1,FALSE)) * (IF($B71=500, (Assumptions!$B$7)*12, IF((HLOOKUP(AS$2,Earnings!$G$2:$BC$81,('Yearly Pension'!$A71)+1, FALSE)) &gt; AS$1, (Assumptions!$B$8)*(AS$1) + (Assumptions!$B$9)*MAX(0,  (HLOOKUP(AS$2,Earnings!$G$2:$BC$81,('Yearly Pension'!$A71)+1, FALSE)) - AS$1), ((Assumptions!$B$8)*'Yearly Pension'!AS$1))))</f>
        <v>1895.37248</v>
      </c>
      <c r="AT71" s="6">
        <f>(HLOOKUP('Yearly Pension'!AT$2,'Credited Service'!$G$1:$BC$80,$A71+1,FALSE)) * (IF($B71=500, (Assumptions!$B$7)*12, IF((HLOOKUP(AT$2,Earnings!$G$2:$BC$81,('Yearly Pension'!$A71)+1, FALSE)) &gt; AT$1, (Assumptions!$B$8)*(AT$1) + (Assumptions!$B$9)*MAX(0,  (HLOOKUP(AT$2,Earnings!$G$2:$BC$81,('Yearly Pension'!$A71)+1, FALSE)) - AT$1), ((Assumptions!$B$8)*'Yearly Pension'!AT$1))))</f>
        <v>1954.2048544000004</v>
      </c>
      <c r="AU71" s="6">
        <f>(HLOOKUP('Yearly Pension'!AU$2,'Credited Service'!$G$1:$BC$80,$A71+1,FALSE)) * (IF($B71=500, (Assumptions!$B$7)*12, IF((HLOOKUP(AU$2,Earnings!$G$2:$BC$81,('Yearly Pension'!$A71)+1, FALSE)) &gt; AU$1, (Assumptions!$B$8)*(AU$1) + (Assumptions!$B$9)*MAX(0,  (HLOOKUP(AU$2,Earnings!$G$2:$BC$81,('Yearly Pension'!$A71)+1, FALSE)) - AU$1), ((Assumptions!$B$8)*'Yearly Pension'!AU$1))))</f>
        <v>2020.8118000320001</v>
      </c>
      <c r="AV71" s="6">
        <f>(HLOOKUP('Yearly Pension'!AV$2,'Credited Service'!$G$1:$BC$80,$A71+1,FALSE)) * (IF($B71=500, (Assumptions!$B$7)*12, IF((HLOOKUP(AV$2,Earnings!$G$2:$BC$81,('Yearly Pension'!$A71)+1, FALSE)) &gt; AV$1, (Assumptions!$B$8)*(AV$1) + (Assumptions!$B$9)*MAX(0,  (HLOOKUP(AV$2,Earnings!$G$2:$BC$81,('Yearly Pension'!$A71)+1, FALSE)) - AV$1), ((Assumptions!$B$8)*'Yearly Pension'!AV$1))))</f>
        <v>2088.2137540329604</v>
      </c>
      <c r="AW71" s="6">
        <f>(HLOOKUP('Yearly Pension'!AW$2,'Credited Service'!$G$1:$BC$80,$A71+1,FALSE)) * (IF($B71=500, (Assumptions!$B$7)*12, IF((HLOOKUP(AW$2,Earnings!$G$2:$BC$81,('Yearly Pension'!$A71)+1, FALSE)) &gt; AW$1, (Assumptions!$B$8)*(AW$1) + (Assumptions!$B$9)*MAX(0,  (HLOOKUP(AW$2,Earnings!$G$2:$BC$81,('Yearly Pension'!$A71)+1, FALSE)) - AW$1), ((Assumptions!$B$8)*'Yearly Pension'!AW$1))))</f>
        <v>2151.9929666539492</v>
      </c>
      <c r="AX71" s="6">
        <f>(HLOOKUP('Yearly Pension'!AX$2,'Credited Service'!$G$1:$BC$80,$A71+1,FALSE)) * (IF($B71=500, (Assumptions!$B$7)*12, IF((HLOOKUP(AX$2,Earnings!$G$2:$BC$81,('Yearly Pension'!$A71)+1, FALSE)) &gt; AX$1, (Assumptions!$B$8)*(AX$1) + (Assumptions!$B$9)*MAX(0,  (HLOOKUP(AX$2,Earnings!$G$2:$BC$81,('Yearly Pension'!$A71)+1, FALSE)) - AX$1), ((Assumptions!$B$8)*'Yearly Pension'!AX$1))))</f>
        <v>2212.8791556535675</v>
      </c>
      <c r="AY71" s="6">
        <f>(HLOOKUP('Yearly Pension'!AY$2,'Credited Service'!$G$1:$BC$80,$A71+1,FALSE)) * (IF($B71=500, (Assumptions!$B$7)*12, IF((HLOOKUP(AY$2,Earnings!$G$2:$BC$81,('Yearly Pension'!$A71)+1, FALSE)) &gt; AY$1, (Assumptions!$B$8)*(AY$1) + (Assumptions!$B$9)*MAX(0,  (HLOOKUP(AY$2,Earnings!$G$2:$BC$81,('Yearly Pension'!$A71)+1, FALSE)) - AY$1), ((Assumptions!$B$8)*'Yearly Pension'!AY$1))))</f>
        <v>948.10207763465621</v>
      </c>
      <c r="AZ71" s="6">
        <f>(HLOOKUP('Yearly Pension'!AZ$2,'Credited Service'!$G$1:$BC$80,$A71+1,FALSE)) * (IF($B71=500, (Assumptions!$B$7)*12, IF((HLOOKUP(AZ$2,Earnings!$G$2:$BC$81,('Yearly Pension'!$A71)+1, FALSE)) &gt; AZ$1, (Assumptions!$B$8)*(AZ$1) + (Assumptions!$B$9)*MAX(0,  (HLOOKUP(AZ$2,Earnings!$G$2:$BC$81,('Yearly Pension'!$A71)+1, FALSE)) - AZ$1), ((Assumptions!$B$8)*'Yearly Pension'!AZ$1))))</f>
        <v>0</v>
      </c>
      <c r="BA71" s="6">
        <f>(HLOOKUP('Yearly Pension'!BA$2,'Credited Service'!$G$1:$BC$80,$A71+1,FALSE)) * (IF($B71=500, (Assumptions!$B$7)*12, IF((HLOOKUP(BA$2,Earnings!$G$2:$BC$81,('Yearly Pension'!$A71)+1, FALSE)) &gt; BA$1, (Assumptions!$B$8)*(BA$1) + (Assumptions!$B$9)*MAX(0,  (HLOOKUP(BA$2,Earnings!$G$2:$BC$81,('Yearly Pension'!$A71)+1, FALSE)) - BA$1), ((Assumptions!$B$8)*'Yearly Pension'!BA$1))))</f>
        <v>0</v>
      </c>
      <c r="BB71" s="6">
        <f>(HLOOKUP('Yearly Pension'!BB$2,'Credited Service'!$G$1:$BC$80,$A71+1,FALSE)) * (IF($B71=500, (Assumptions!$B$7)*12, IF((HLOOKUP(BB$2,Earnings!$G$2:$BC$81,('Yearly Pension'!$A71)+1, FALSE)) &gt; BB$1, (Assumptions!$B$8)*(BB$1) + (Assumptions!$B$9)*MAX(0,  (HLOOKUP(BB$2,Earnings!$G$2:$BC$81,('Yearly Pension'!$A71)+1, FALSE)) - BB$1), ((Assumptions!$B$8)*'Yearly Pension'!BB$1))))</f>
        <v>0</v>
      </c>
      <c r="BC71" s="6">
        <f>(HLOOKUP('Yearly Pension'!BC$2,'Credited Service'!$G$1:$BC$80,$A71+1,FALSE)) * (IF($B71=500, (Assumptions!$B$7)*12, IF((HLOOKUP(BC$2,Earnings!$G$2:$BC$81,('Yearly Pension'!$A71)+1, FALSE)) &gt; BC$1, (Assumptions!$B$8)*(BC$1) + (Assumptions!$B$9)*MAX(0,  (HLOOKUP(BC$2,Earnings!$G$2:$BC$81,('Yearly Pension'!$A71)+1, FALSE)) - BC$1), ((Assumptions!$B$8)*'Yearly Pension'!BC$1))))</f>
        <v>0</v>
      </c>
    </row>
    <row r="72" spans="1:55" x14ac:dyDescent="0.25">
      <c r="A72" s="204">
        <v>70</v>
      </c>
      <c r="B72" s="1">
        <v>600</v>
      </c>
      <c r="C72" s="1">
        <v>514</v>
      </c>
      <c r="D72" s="3">
        <v>31188</v>
      </c>
      <c r="E72" s="3">
        <v>46753</v>
      </c>
      <c r="G72" s="6">
        <f>(HLOOKUP('Yearly Pension'!G$2,'Credited Service'!$G$1:$BC$80,$A72+1,FALSE)) * (IF($B72=500, (Assumptions!$B$7)*12, IF((HLOOKUP(G$2,Earnings!$G$2:$BC$81,('Yearly Pension'!$A72)+1, FALSE)) &gt; G$1, (Assumptions!$B$8)*(G$1) + (Assumptions!$B$9)*MAX(0,  (HLOOKUP(G$2,Earnings!$G$2:$BC$81,('Yearly Pension'!$A72)+1, FALSE)) - G$1), ((Assumptions!$B$8)*'Yearly Pension'!G$1))))</f>
        <v>0</v>
      </c>
      <c r="H72" s="6">
        <f>(HLOOKUP('Yearly Pension'!H$2,'Credited Service'!$G$1:$BC$80,$A72+1,FALSE)) * (IF($B72=500, (Assumptions!$B$7)*12, IF((HLOOKUP(H$2,Earnings!$G$2:$BC$81,('Yearly Pension'!$A72)+1, FALSE)) &gt; H$1, (Assumptions!$B$8)*(H$1) + (Assumptions!$B$9)*MAX(0,  (HLOOKUP(H$2,Earnings!$G$2:$BC$81,('Yearly Pension'!$A72)+1, FALSE)) - H$1), ((Assumptions!$B$8)*'Yearly Pension'!H$1))))</f>
        <v>0</v>
      </c>
      <c r="I72" s="6">
        <f>(HLOOKUP('Yearly Pension'!I$2,'Credited Service'!$G$1:$BC$80,$A72+1,FALSE)) * (IF($B72=500, (Assumptions!$B$7)*12, IF((HLOOKUP(I$2,Earnings!$G$2:$BC$81,('Yearly Pension'!$A72)+1, FALSE)) &gt; I$1, (Assumptions!$B$8)*(I$1) + (Assumptions!$B$9)*MAX(0,  (HLOOKUP(I$2,Earnings!$G$2:$BC$81,('Yearly Pension'!$A72)+1, FALSE)) - I$1), ((Assumptions!$B$8)*'Yearly Pension'!I$1))))</f>
        <v>0</v>
      </c>
      <c r="J72" s="6">
        <f>(HLOOKUP('Yearly Pension'!J$2,'Credited Service'!$G$1:$BC$80,$A72+1,FALSE)) * (IF($B72=500, (Assumptions!$B$7)*12, IF((HLOOKUP(J$2,Earnings!$G$2:$BC$81,('Yearly Pension'!$A72)+1, FALSE)) &gt; J$1, (Assumptions!$B$8)*(J$1) + (Assumptions!$B$9)*MAX(0,  (HLOOKUP(J$2,Earnings!$G$2:$BC$81,('Yearly Pension'!$A72)+1, FALSE)) - J$1), ((Assumptions!$B$8)*'Yearly Pension'!J$1))))</f>
        <v>0</v>
      </c>
      <c r="K72" s="6">
        <f>(HLOOKUP('Yearly Pension'!K$2,'Credited Service'!$G$1:$BC$80,$A72+1,FALSE)) * (IF($B72=500, (Assumptions!$B$7)*12, IF((HLOOKUP(K$2,Earnings!$G$2:$BC$81,('Yearly Pension'!$A72)+1, FALSE)) &gt; K$1, (Assumptions!$B$8)*(K$1) + (Assumptions!$B$9)*MAX(0,  (HLOOKUP(K$2,Earnings!$G$2:$BC$81,('Yearly Pension'!$A72)+1, FALSE)) - K$1), ((Assumptions!$B$8)*'Yearly Pension'!K$1))))</f>
        <v>0</v>
      </c>
      <c r="L72" s="6">
        <f>(HLOOKUP('Yearly Pension'!L$2,'Credited Service'!$G$1:$BC$80,$A72+1,FALSE)) * (IF($B72=500, (Assumptions!$B$7)*12, IF((HLOOKUP(L$2,Earnings!$G$2:$BC$81,('Yearly Pension'!$A72)+1, FALSE)) &gt; L$1, (Assumptions!$B$8)*(L$1) + (Assumptions!$B$9)*MAX(0,  (HLOOKUP(L$2,Earnings!$G$2:$BC$81,('Yearly Pension'!$A72)+1, FALSE)) - L$1), ((Assumptions!$B$8)*'Yearly Pension'!L$1))))</f>
        <v>0</v>
      </c>
      <c r="M72" s="6">
        <f>(HLOOKUP('Yearly Pension'!M$2,'Credited Service'!$G$1:$BC$80,$A72+1,FALSE)) * (IF($B72=500, (Assumptions!$B$7)*12, IF((HLOOKUP(M$2,Earnings!$G$2:$BC$81,('Yearly Pension'!$A72)+1, FALSE)) &gt; M$1, (Assumptions!$B$8)*(M$1) + (Assumptions!$B$9)*MAX(0,  (HLOOKUP(M$2,Earnings!$G$2:$BC$81,('Yearly Pension'!$A72)+1, FALSE)) - M$1), ((Assumptions!$B$8)*'Yearly Pension'!M$1))))</f>
        <v>0</v>
      </c>
      <c r="N72" s="6">
        <f>(HLOOKUP('Yearly Pension'!N$2,'Credited Service'!$G$1:$BC$80,$A72+1,FALSE)) * (IF($B72=500, (Assumptions!$B$7)*12, IF((HLOOKUP(N$2,Earnings!$G$2:$BC$81,('Yearly Pension'!$A72)+1, FALSE)) &gt; N$1, (Assumptions!$B$8)*(N$1) + (Assumptions!$B$9)*MAX(0,  (HLOOKUP(N$2,Earnings!$G$2:$BC$81,('Yearly Pension'!$A72)+1, FALSE)) - N$1), ((Assumptions!$B$8)*'Yearly Pension'!N$1))))</f>
        <v>0</v>
      </c>
      <c r="O72" s="6">
        <f>(HLOOKUP('Yearly Pension'!O$2,'Credited Service'!$G$1:$BC$80,$A72+1,FALSE)) * (IF($B72=500, (Assumptions!$B$7)*12, IF((HLOOKUP(O$2,Earnings!$G$2:$BC$81,('Yearly Pension'!$A72)+1, FALSE)) &gt; O$1, (Assumptions!$B$8)*(O$1) + (Assumptions!$B$9)*MAX(0,  (HLOOKUP(O$2,Earnings!$G$2:$BC$81,('Yearly Pension'!$A72)+1, FALSE)) - O$1), ((Assumptions!$B$8)*'Yearly Pension'!O$1))))</f>
        <v>322.21835024114995</v>
      </c>
      <c r="P72" s="6">
        <f>(HLOOKUP('Yearly Pension'!P$2,'Credited Service'!$G$1:$BC$80,$A72+1,FALSE)) * (IF($B72=500, (Assumptions!$B$7)*12, IF((HLOOKUP(P$2,Earnings!$G$2:$BC$81,('Yearly Pension'!$A72)+1, FALSE)) &gt; P$1, (Assumptions!$B$8)*(P$1) + (Assumptions!$B$9)*MAX(0,  (HLOOKUP(P$2,Earnings!$G$2:$BC$81,('Yearly Pension'!$A72)+1, FALSE)) - P$1), ((Assumptions!$B$8)*'Yearly Pension'!P$1))))</f>
        <v>565.09968728707872</v>
      </c>
      <c r="Q72" s="6">
        <f>(HLOOKUP('Yearly Pension'!Q$2,'Credited Service'!$G$1:$BC$80,$A72+1,FALSE)) * (IF($B72=500, (Assumptions!$B$7)*12, IF((HLOOKUP(Q$2,Earnings!$G$2:$BC$81,('Yearly Pension'!$A72)+1, FALSE)) &gt; Q$1, (Assumptions!$B$8)*(Q$1) + (Assumptions!$B$9)*MAX(0,  (HLOOKUP(Q$2,Earnings!$G$2:$BC$81,('Yearly Pension'!$A72)+1, FALSE)) - Q$1), ((Assumptions!$B$8)*'Yearly Pension'!Q$1))))</f>
        <v>593.66847477856186</v>
      </c>
      <c r="R72" s="6">
        <f>(HLOOKUP('Yearly Pension'!R$2,'Credited Service'!$G$1:$BC$80,$A72+1,FALSE)) * (IF($B72=500, (Assumptions!$B$7)*12, IF((HLOOKUP(R$2,Earnings!$G$2:$BC$81,('Yearly Pension'!$A72)+1, FALSE)) &gt; R$1, (Assumptions!$B$8)*(R$1) + (Assumptions!$B$9)*MAX(0,  (HLOOKUP(R$2,Earnings!$G$2:$BC$81,('Yearly Pension'!$A72)+1, FALSE)) - R$1), ((Assumptions!$B$8)*'Yearly Pension'!R$1))))</f>
        <v>620.20561376970454</v>
      </c>
      <c r="S72" s="6">
        <f>(HLOOKUP('Yearly Pension'!S$2,'Credited Service'!$G$1:$BC$80,$A72+1,FALSE)) * (IF($B72=500, (Assumptions!$B$7)*12, IF((HLOOKUP(S$2,Earnings!$G$2:$BC$81,('Yearly Pension'!$A72)+1, FALSE)) &gt; S$1, (Assumptions!$B$8)*(S$1) + (Assumptions!$B$9)*MAX(0,  (HLOOKUP(S$2,Earnings!$G$2:$BC$81,('Yearly Pension'!$A72)+1, FALSE)) - S$1), ((Assumptions!$B$8)*'Yearly Pension'!S$1))))</f>
        <v>644.11783832049264</v>
      </c>
      <c r="T72" s="6">
        <f>(HLOOKUP('Yearly Pension'!T$2,'Credited Service'!$G$1:$BC$80,$A72+1,FALSE)) * (IF($B72=500, (Assumptions!$B$7)*12, IF((HLOOKUP(T$2,Earnings!$G$2:$BC$81,('Yearly Pension'!$A72)+1, FALSE)) &gt; T$1, (Assumptions!$B$8)*(T$1) + (Assumptions!$B$9)*MAX(0,  (HLOOKUP(T$2,Earnings!$G$2:$BC$81,('Yearly Pension'!$A72)+1, FALSE)) - T$1), ((Assumptions!$B$8)*'Yearly Pension'!T$1))))</f>
        <v>669.29375185331241</v>
      </c>
      <c r="U72" s="6">
        <f>(HLOOKUP('Yearly Pension'!U$2,'Credited Service'!$G$1:$BC$80,$A72+1,FALSE)) * (IF($B72=500, (Assumptions!$B$7)*12, IF((HLOOKUP(U$2,Earnings!$G$2:$BC$81,('Yearly Pension'!$A72)+1, FALSE)) &gt; U$1, (Assumptions!$B$8)*(U$1) + (Assumptions!$B$9)*MAX(0,  (HLOOKUP(U$2,Earnings!$G$2:$BC$81,('Yearly Pension'!$A72)+1, FALSE)) - U$1), ((Assumptions!$B$8)*'Yearly Pension'!U$1))))</f>
        <v>693.22390192744501</v>
      </c>
      <c r="V72" s="6">
        <f>(HLOOKUP('Yearly Pension'!V$2,'Credited Service'!$G$1:$BC$80,$A72+1,FALSE)) * (IF($B72=500, (Assumptions!$B$7)*12, IF((HLOOKUP(V$2,Earnings!$G$2:$BC$81,('Yearly Pension'!$A72)+1, FALSE)) &gt; V$1, (Assumptions!$B$8)*(V$1) + (Assumptions!$B$9)*MAX(0,  (HLOOKUP(V$2,Earnings!$G$2:$BC$81,('Yearly Pension'!$A72)+1, FALSE)) - V$1), ((Assumptions!$B$8)*'Yearly Pension'!V$1))))</f>
        <v>717.8808580045428</v>
      </c>
      <c r="W72" s="6">
        <f>(HLOOKUP('Yearly Pension'!W$2,'Credited Service'!$G$1:$BC$80,$A72+1,FALSE)) * (IF($B72=500, (Assumptions!$B$7)*12, IF((HLOOKUP(W$2,Earnings!$G$2:$BC$81,('Yearly Pension'!$A72)+1, FALSE)) &gt; W$1, (Assumptions!$B$8)*(W$1) + (Assumptions!$B$9)*MAX(0,  (HLOOKUP(W$2,Earnings!$G$2:$BC$81,('Yearly Pension'!$A72)+1, FALSE)) - W$1), ((Assumptions!$B$8)*'Yearly Pension'!W$1))))</f>
        <v>747.15929232472445</v>
      </c>
      <c r="X72" s="6">
        <f>(HLOOKUP('Yearly Pension'!X$2,'Credited Service'!$G$1:$BC$80,$A72+1,FALSE)) * (IF($B72=500, (Assumptions!$B$7)*12, IF((HLOOKUP(X$2,Earnings!$G$2:$BC$81,('Yearly Pension'!$A72)+1, FALSE)) &gt; X$1, (Assumptions!$B$8)*(X$1) + (Assumptions!$B$9)*MAX(0,  (HLOOKUP(X$2,Earnings!$G$2:$BC$81,('Yearly Pension'!$A72)+1, FALSE)) - X$1), ((Assumptions!$B$8)*'Yearly Pension'!X$1))))</f>
        <v>779.19606401771352</v>
      </c>
      <c r="Y72" s="6">
        <f>(HLOOKUP('Yearly Pension'!Y$2,'Credited Service'!$G$1:$BC$80,$A72+1,FALSE)) * (IF($B72=500, (Assumptions!$B$7)*12, IF((HLOOKUP(Y$2,Earnings!$G$2:$BC$81,('Yearly Pension'!$A72)+1, FALSE)) &gt; Y$1, (Assumptions!$B$8)*(Y$1) + (Assumptions!$B$9)*MAX(0,  (HLOOKUP(Y$2,Earnings!$G$2:$BC$81,('Yearly Pension'!$A72)+1, FALSE)) - Y$1), ((Assumptions!$B$8)*'Yearly Pension'!Y$1))))</f>
        <v>815.97030657842197</v>
      </c>
      <c r="Z72" s="6">
        <f>(HLOOKUP('Yearly Pension'!Z$2,'Credited Service'!$G$1:$BC$80,$A72+1,FALSE)) * (IF($B72=500, (Assumptions!$B$7)*12, IF((HLOOKUP(Z$2,Earnings!$G$2:$BC$81,('Yearly Pension'!$A72)+1, FALSE)) &gt; Z$1, (Assumptions!$B$8)*(Z$1) + (Assumptions!$B$9)*MAX(0,  (HLOOKUP(Z$2,Earnings!$G$2:$BC$81,('Yearly Pension'!$A72)+1, FALSE)) - Z$1), ((Assumptions!$B$8)*'Yearly Pension'!Z$1))))</f>
        <v>854.34351884155899</v>
      </c>
      <c r="AA72" s="6">
        <f>(HLOOKUP('Yearly Pension'!AA$2,'Credited Service'!$G$1:$BC$80,$A72+1,FALSE)) * (IF($B72=500, (Assumptions!$B$7)*12, IF((HLOOKUP(AA$2,Earnings!$G$2:$BC$81,('Yearly Pension'!$A72)+1, FALSE)) &gt; AA$1, (Assumptions!$B$8)*(AA$1) + (Assumptions!$B$9)*MAX(0,  (HLOOKUP(AA$2,Earnings!$G$2:$BC$81,('Yearly Pension'!$A72)+1, FALSE)) - AA$1), ((Assumptions!$B$8)*'Yearly Pension'!AA$1))))</f>
        <v>895.01965959522136</v>
      </c>
      <c r="AB72" s="6">
        <f>(HLOOKUP('Yearly Pension'!AB$2,'Credited Service'!$G$1:$BC$80,$A72+1,FALSE)) * (IF($B72=500, (Assumptions!$B$7)*12, IF((HLOOKUP(AB$2,Earnings!$G$2:$BC$81,('Yearly Pension'!$A72)+1, FALSE)) &gt; AB$1, (Assumptions!$B$8)*(AB$1) + (Assumptions!$B$9)*MAX(0,  (HLOOKUP(AB$2,Earnings!$G$2:$BC$81,('Yearly Pension'!$A72)+1, FALSE)) - AB$1), ((Assumptions!$B$8)*'Yearly Pension'!AB$1))))</f>
        <v>932.94524597903012</v>
      </c>
      <c r="AC72" s="6">
        <f>(HLOOKUP('Yearly Pension'!AC$2,'Credited Service'!$G$1:$BC$80,$A72+1,FALSE)) * (IF($B72=500, (Assumptions!$B$7)*12, IF((HLOOKUP(AC$2,Earnings!$G$2:$BC$81,('Yearly Pension'!$A72)+1, FALSE)) &gt; AC$1, (Assumptions!$B$8)*(AC$1) + (Assumptions!$B$9)*MAX(0,  (HLOOKUP(AC$2,Earnings!$G$2:$BC$81,('Yearly Pension'!$A72)+1, FALSE)) - AC$1), ((Assumptions!$B$8)*'Yearly Pension'!AC$1))))</f>
        <v>976.50945581819133</v>
      </c>
      <c r="AD72" s="6">
        <f>(HLOOKUP('Yearly Pension'!AD$2,'Credited Service'!$G$1:$BC$80,$A72+1,FALSE)) * (IF($B72=500, (Assumptions!$B$7)*12, IF((HLOOKUP(AD$2,Earnings!$G$2:$BC$81,('Yearly Pension'!$A72)+1, FALSE)) &gt; AD$1, (Assumptions!$B$8)*(AD$1) + (Assumptions!$B$9)*MAX(0,  (HLOOKUP(AD$2,Earnings!$G$2:$BC$81,('Yearly Pension'!$A72)+1, FALSE)) - AD$1), ((Assumptions!$B$8)*'Yearly Pension'!AD$1))))</f>
        <v>1023.8642340509191</v>
      </c>
      <c r="AE72" s="6">
        <f>(HLOOKUP('Yearly Pension'!AE$2,'Credited Service'!$G$1:$BC$80,$A72+1,FALSE)) * (IF($B72=500, (Assumptions!$B$7)*12, IF((HLOOKUP(AE$2,Earnings!$G$2:$BC$81,('Yearly Pension'!$A72)+1, FALSE)) &gt; AE$1, (Assumptions!$B$8)*(AE$1) + (Assumptions!$B$9)*MAX(0,  (HLOOKUP(AE$2,Earnings!$G$2:$BC$81,('Yearly Pension'!$A72)+1, FALSE)) - AE$1), ((Assumptions!$B$8)*'Yearly Pension'!AE$1))))</f>
        <v>1069.964403412956</v>
      </c>
      <c r="AF72" s="6">
        <f>(HLOOKUP('Yearly Pension'!AF$2,'Credited Service'!$G$1:$BC$80,$A72+1,FALSE)) * (IF($B72=500, (Assumptions!$B$7)*12, IF((HLOOKUP(AF$2,Earnings!$G$2:$BC$81,('Yearly Pension'!$A72)+1, FALSE)) &gt; AF$1, (Assumptions!$B$8)*(AF$1) + (Assumptions!$B$9)*MAX(0,  (HLOOKUP(AF$2,Earnings!$G$2:$BC$81,('Yearly Pension'!$A72)+1, FALSE)) - AF$1), ((Assumptions!$B$8)*'Yearly Pension'!AF$1))))</f>
        <v>1117.447779549474</v>
      </c>
      <c r="AG72" s="6">
        <f>(HLOOKUP('Yearly Pension'!AG$2,'Credited Service'!$G$1:$BC$80,$A72+1,FALSE)) * (IF($B72=500, (Assumptions!$B$7)*12, IF((HLOOKUP(AG$2,Earnings!$G$2:$BC$81,('Yearly Pension'!$A72)+1, FALSE)) &gt; AG$1, (Assumptions!$B$8)*(AG$1) + (Assumptions!$B$9)*MAX(0,  (HLOOKUP(AG$2,Earnings!$G$2:$BC$81,('Yearly Pension'!$A72)+1, FALSE)) - AG$1), ((Assumptions!$B$8)*'Yearly Pension'!AG$1))))</f>
        <v>1167.035290731453</v>
      </c>
      <c r="AH72" s="6">
        <f>(HLOOKUP('Yearly Pension'!AH$2,'Credited Service'!$G$1:$BC$80,$A72+1,FALSE)) * (IF($B72=500, (Assumptions!$B$7)*12, IF((HLOOKUP(AH$2,Earnings!$G$2:$BC$81,('Yearly Pension'!$A72)+1, FALSE)) &gt; AH$1, (Assumptions!$B$8)*(AH$1) + (Assumptions!$B$9)*MAX(0,  (HLOOKUP(AH$2,Earnings!$G$2:$BC$81,('Yearly Pension'!$A72)+1, FALSE)) - AH$1), ((Assumptions!$B$8)*'Yearly Pension'!AH$1))))</f>
        <v>1220.0911023607109</v>
      </c>
      <c r="AI72" s="6">
        <f>(HLOOKUP('Yearly Pension'!AI$2,'Credited Service'!$G$1:$BC$80,$A72+1,FALSE)) * (IF($B72=500, (Assumptions!$B$7)*12, IF((HLOOKUP(AI$2,Earnings!$G$2:$BC$81,('Yearly Pension'!$A72)+1, FALSE)) &gt; AI$1, (Assumptions!$B$8)*(AI$1) + (Assumptions!$B$9)*MAX(0,  (HLOOKUP(AI$2,Earnings!$G$2:$BC$81,('Yearly Pension'!$A72)+1, FALSE)) - AI$1), ((Assumptions!$B$8)*'Yearly Pension'!AI$1))))</f>
        <v>1275.4227464551395</v>
      </c>
      <c r="AJ72" s="6">
        <f>(HLOOKUP('Yearly Pension'!AJ$2,'Credited Service'!$G$1:$BC$80,$A72+1,FALSE)) * (IF($B72=500, (Assumptions!$B$7)*12, IF((HLOOKUP(AJ$2,Earnings!$G$2:$BC$81,('Yearly Pension'!$A72)+1, FALSE)) &gt; AJ$1, (Assumptions!$B$8)*(AJ$1) + (Assumptions!$B$9)*MAX(0,  (HLOOKUP(AJ$2,Earnings!$G$2:$BC$81,('Yearly Pension'!$A72)+1, FALSE)) - AJ$1), ((Assumptions!$B$8)*'Yearly Pension'!AJ$1))))</f>
        <v>1330.5612563133452</v>
      </c>
      <c r="AK72" s="6">
        <f>(HLOOKUP('Yearly Pension'!AK$2,'Credited Service'!$G$1:$BC$80,$A72+1,FALSE)) * (IF($B72=500, (Assumptions!$B$7)*12, IF((HLOOKUP(AK$2,Earnings!$G$2:$BC$81,('Yearly Pension'!$A72)+1, FALSE)) &gt; AK$1, (Assumptions!$B$8)*(AK$1) + (Assumptions!$B$9)*MAX(0,  (HLOOKUP(AK$2,Earnings!$G$2:$BC$81,('Yearly Pension'!$A72)+1, FALSE)) - AK$1), ((Assumptions!$B$8)*'Yearly Pension'!AK$1))))</f>
        <v>1384.3213065658792</v>
      </c>
      <c r="AL72" s="6">
        <f>(HLOOKUP('Yearly Pension'!AL$2,'Credited Service'!$G$1:$BC$80,$A72+1,FALSE)) * (IF($B72=500, (Assumptions!$B$7)*12, IF((HLOOKUP(AL$2,Earnings!$G$2:$BC$81,('Yearly Pension'!$A72)+1, FALSE)) &gt; AL$1, (Assumptions!$B$8)*(AL$1) + (Assumptions!$B$9)*MAX(0,  (HLOOKUP(AL$2,Earnings!$G$2:$BC$81,('Yearly Pension'!$A72)+1, FALSE)) - AL$1), ((Assumptions!$B$8)*'Yearly Pension'!AL$1))))</f>
        <v>1443.2013588285145</v>
      </c>
      <c r="AM72" s="6">
        <f>(HLOOKUP('Yearly Pension'!AM$2,'Credited Service'!$G$1:$BC$80,$A72+1,FALSE)) * (IF($B72=500, (Assumptions!$B$7)*12, IF((HLOOKUP(AM$2,Earnings!$G$2:$BC$81,('Yearly Pension'!$A72)+1, FALSE)) &gt; AM$1, (Assumptions!$B$8)*(AM$1) + (Assumptions!$B$9)*MAX(0,  (HLOOKUP(AM$2,Earnings!$G$2:$BC$81,('Yearly Pension'!$A72)+1, FALSE)) - AM$1), ((Assumptions!$B$8)*'Yearly Pension'!AM$1))))</f>
        <v>1503.4638131816548</v>
      </c>
      <c r="AN72" s="6">
        <f>(HLOOKUP('Yearly Pension'!AN$2,'Credited Service'!$G$1:$BC$80,$A72+1,FALSE)) * (IF($B72=500, (Assumptions!$B$7)*12, IF((HLOOKUP(AN$2,Earnings!$G$2:$BC$81,('Yearly Pension'!$A72)+1, FALSE)) &gt; AN$1, (Assumptions!$B$8)*(AN$1) + (Assumptions!$B$9)*MAX(0,  (HLOOKUP(AN$2,Earnings!$G$2:$BC$81,('Yearly Pension'!$A72)+1, FALSE)) - AN$1), ((Assumptions!$B$8)*'Yearly Pension'!AN$1))))</f>
        <v>1569.695165708921</v>
      </c>
      <c r="AO72" s="6">
        <f>(HLOOKUP('Yearly Pension'!AO$2,'Credited Service'!$G$1:$BC$80,$A72+1,FALSE)) * (IF($B72=500, (Assumptions!$B$7)*12, IF((HLOOKUP(AO$2,Earnings!$G$2:$BC$81,('Yearly Pension'!$A72)+1, FALSE)) &gt; AO$1, (Assumptions!$B$8)*(AO$1) + (Assumptions!$B$9)*MAX(0,  (HLOOKUP(AO$2,Earnings!$G$2:$BC$81,('Yearly Pension'!$A72)+1, FALSE)) - AO$1), ((Assumptions!$B$8)*'Yearly Pension'!AO$1))))</f>
        <v>1637.526172337278</v>
      </c>
      <c r="AP72" s="6">
        <f>(HLOOKUP('Yearly Pension'!AP$2,'Credited Service'!$G$1:$BC$80,$A72+1,FALSE)) * (IF($B72=500, (Assumptions!$B$7)*12, IF((HLOOKUP(AP$2,Earnings!$G$2:$BC$81,('Yearly Pension'!$A72)+1, FALSE)) &gt; AP$1, (Assumptions!$B$8)*(AP$1) + (Assumptions!$B$9)*MAX(0,  (HLOOKUP(AP$2,Earnings!$G$2:$BC$81,('Yearly Pension'!$A72)+1, FALSE)) - AP$1), ((Assumptions!$B$8)*'Yearly Pension'!AP$1))))</f>
        <v>1703.8720192307692</v>
      </c>
      <c r="AQ72" s="6">
        <f>(HLOOKUP('Yearly Pension'!AQ$2,'Credited Service'!$G$1:$BC$80,$A72+1,FALSE)) * (IF($B72=500, (Assumptions!$B$7)*12, IF((HLOOKUP(AQ$2,Earnings!$G$2:$BC$81,('Yearly Pension'!$A72)+1, FALSE)) &gt; AQ$1, (Assumptions!$B$8)*(AQ$1) + (Assumptions!$B$9)*MAX(0,  (HLOOKUP(AQ$2,Earnings!$G$2:$BC$81,('Yearly Pension'!$A72)+1, FALSE)) - AQ$1), ((Assumptions!$B$8)*'Yearly Pension'!AQ$1))))</f>
        <v>1778.4524999999999</v>
      </c>
      <c r="AR72" s="6">
        <f>(HLOOKUP('Yearly Pension'!AR$2,'Credited Service'!$G$1:$BC$80,$A72+1,FALSE)) * (IF($B72=500, (Assumptions!$B$7)*12, IF((HLOOKUP(AR$2,Earnings!$G$2:$BC$81,('Yearly Pension'!$A72)+1, FALSE)) &gt; AR$1, (Assumptions!$B$8)*(AR$1) + (Assumptions!$B$9)*MAX(0,  (HLOOKUP(AR$2,Earnings!$G$2:$BC$81,('Yearly Pension'!$A72)+1, FALSE)) - AR$1), ((Assumptions!$B$8)*'Yearly Pension'!AR$1))))</f>
        <v>1853.7121999999999</v>
      </c>
      <c r="AS72" s="6">
        <f>(HLOOKUP('Yearly Pension'!AS$2,'Credited Service'!$G$1:$BC$80,$A72+1,FALSE)) * (IF($B72=500, (Assumptions!$B$7)*12, IF((HLOOKUP(AS$2,Earnings!$G$2:$BC$81,('Yearly Pension'!$A72)+1, FALSE)) &gt; AS$1, (Assumptions!$B$8)*(AS$1) + (Assumptions!$B$9)*MAX(0,  (HLOOKUP(AS$2,Earnings!$G$2:$BC$81,('Yearly Pension'!$A72)+1, FALSE)) - AS$1), ((Assumptions!$B$8)*'Yearly Pension'!AS$1))))</f>
        <v>1912.363566</v>
      </c>
      <c r="AT72" s="6">
        <f>(HLOOKUP('Yearly Pension'!AT$2,'Credited Service'!$G$1:$BC$80,$A72+1,FALSE)) * (IF($B72=500, (Assumptions!$B$7)*12, IF((HLOOKUP(AT$2,Earnings!$G$2:$BC$81,('Yearly Pension'!$A72)+1, FALSE)) &gt; AT$1, (Assumptions!$B$8)*(AT$1) + (Assumptions!$B$9)*MAX(0,  (HLOOKUP(AT$2,Earnings!$G$2:$BC$81,('Yearly Pension'!$A72)+1, FALSE)) - AT$1), ((Assumptions!$B$8)*'Yearly Pension'!AT$1))))</f>
        <v>1971.7056729800001</v>
      </c>
      <c r="AU72" s="6">
        <f>(HLOOKUP('Yearly Pension'!AU$2,'Credited Service'!$G$1:$BC$80,$A72+1,FALSE)) * (IF($B72=500, (Assumptions!$B$7)*12, IF((HLOOKUP(AU$2,Earnings!$G$2:$BC$81,('Yearly Pension'!$A72)+1, FALSE)) &gt; AU$1, (Assumptions!$B$8)*(AU$1) + (Assumptions!$B$9)*MAX(0,  (HLOOKUP(AU$2,Earnings!$G$2:$BC$81,('Yearly Pension'!$A72)+1, FALSE)) - AU$1), ((Assumptions!$B$8)*'Yearly Pension'!AU$1))))</f>
        <v>2038.8376431694001</v>
      </c>
      <c r="AV72" s="6">
        <f>(HLOOKUP('Yearly Pension'!AV$2,'Credited Service'!$G$1:$BC$80,$A72+1,FALSE)) * (IF($B72=500, (Assumptions!$B$7)*12, IF((HLOOKUP(AV$2,Earnings!$G$2:$BC$81,('Yearly Pension'!$A72)+1, FALSE)) &gt; AV$1, (Assumptions!$B$8)*(AV$1) + (Assumptions!$B$9)*MAX(0,  (HLOOKUP(AV$2,Earnings!$G$2:$BC$81,('Yearly Pension'!$A72)+1, FALSE)) - AV$1), ((Assumptions!$B$8)*'Yearly Pension'!AV$1))))</f>
        <v>2106.7803724644823</v>
      </c>
      <c r="AW72" s="6">
        <f>(HLOOKUP('Yearly Pension'!AW$2,'Credited Service'!$G$1:$BC$80,$A72+1,FALSE)) * (IF($B72=500, (Assumptions!$B$7)*12, IF((HLOOKUP(AW$2,Earnings!$G$2:$BC$81,('Yearly Pension'!$A72)+1, FALSE)) &gt; AW$1, (Assumptions!$B$8)*(AW$1) + (Assumptions!$B$9)*MAX(0,  (HLOOKUP(AW$2,Earnings!$G$2:$BC$81,('Yearly Pension'!$A72)+1, FALSE)) - AW$1), ((Assumptions!$B$8)*'Yearly Pension'!AW$1))))</f>
        <v>2171.1165836384166</v>
      </c>
      <c r="AX72" s="6">
        <f>(HLOOKUP('Yearly Pension'!AX$2,'Credited Service'!$G$1:$BC$80,$A72+1,FALSE)) * (IF($B72=500, (Assumptions!$B$7)*12, IF((HLOOKUP(AX$2,Earnings!$G$2:$BC$81,('Yearly Pension'!$A72)+1, FALSE)) &gt; AX$1, (Assumptions!$B$8)*(AX$1) + (Assumptions!$B$9)*MAX(0,  (HLOOKUP(AX$2,Earnings!$G$2:$BC$81,('Yearly Pension'!$A72)+1, FALSE)) - AX$1), ((Assumptions!$B$8)*'Yearly Pension'!AX$1))))</f>
        <v>2232.5764811475697</v>
      </c>
      <c r="AY72" s="6">
        <f>(HLOOKUP('Yearly Pension'!AY$2,'Credited Service'!$G$1:$BC$80,$A72+1,FALSE)) * (IF($B72=500, (Assumptions!$B$7)*12, IF((HLOOKUP(AY$2,Earnings!$G$2:$BC$81,('Yearly Pension'!$A72)+1, FALSE)) &gt; AY$1, (Assumptions!$B$8)*(AY$1) + (Assumptions!$B$9)*MAX(0,  (HLOOKUP(AY$2,Earnings!$G$2:$BC$81,('Yearly Pension'!$A72)+1, FALSE)) - AY$1), ((Assumptions!$B$8)*'Yearly Pension'!AY$1))))</f>
        <v>2295.7332315819967</v>
      </c>
      <c r="AZ72" s="6">
        <f>(HLOOKUP('Yearly Pension'!AZ$2,'Credited Service'!$G$1:$BC$80,$A72+1,FALSE)) * (IF($B72=500, (Assumptions!$B$7)*12, IF((HLOOKUP(AZ$2,Earnings!$G$2:$BC$81,('Yearly Pension'!$A72)+1, FALSE)) &gt; AZ$1, (Assumptions!$B$8)*(AZ$1) + (Assumptions!$B$9)*MAX(0,  (HLOOKUP(AZ$2,Earnings!$G$2:$BC$81,('Yearly Pension'!$A72)+1, FALSE)) - AZ$1), ((Assumptions!$B$8)*'Yearly Pension'!AZ$1))))</f>
        <v>2360.6318627694563</v>
      </c>
      <c r="BA72" s="6">
        <f>(HLOOKUP('Yearly Pension'!BA$2,'Credited Service'!$G$1:$BC$80,$A72+1,FALSE)) * (IF($B72=500, (Assumptions!$B$7)*12, IF((HLOOKUP(BA$2,Earnings!$G$2:$BC$81,('Yearly Pension'!$A72)+1, FALSE)) &gt; BA$1, (Assumptions!$B$8)*(BA$1) + (Assumptions!$B$9)*MAX(0,  (HLOOKUP(BA$2,Earnings!$G$2:$BC$81,('Yearly Pension'!$A72)+1, FALSE)) - BA$1), ((Assumptions!$B$8)*'Yearly Pension'!BA$1))))</f>
        <v>2427.3185182621401</v>
      </c>
      <c r="BB72" s="6">
        <f>(HLOOKUP('Yearly Pension'!BB$2,'Credited Service'!$G$1:$BC$80,$A72+1,FALSE)) * (IF($B72=500, (Assumptions!$B$7)*12, IF((HLOOKUP(BB$2,Earnings!$G$2:$BC$81,('Yearly Pension'!$A72)+1, FALSE)) &gt; BB$1, (Assumptions!$B$8)*(BB$1) + (Assumptions!$B$9)*MAX(0,  (HLOOKUP(BB$2,Earnings!$G$2:$BC$81,('Yearly Pension'!$A72)+1, FALSE)) - BB$1), ((Assumptions!$B$8)*'Yearly Pension'!BB$1))))</f>
        <v>2495.8404814039882</v>
      </c>
      <c r="BC72" s="6">
        <f>(HLOOKUP('Yearly Pension'!BC$2,'Credited Service'!$G$1:$BC$80,$A72+1,FALSE)) * (IF($B72=500, (Assumptions!$B$7)*12, IF((HLOOKUP(BC$2,Earnings!$G$2:$BC$81,('Yearly Pension'!$A72)+1, FALSE)) &gt; BC$1, (Assumptions!$B$8)*(BC$1) + (Assumptions!$B$9)*MAX(0,  (HLOOKUP(BC$2,Earnings!$G$2:$BC$81,('Yearly Pension'!$A72)+1, FALSE)) - BC$1), ((Assumptions!$B$8)*'Yearly Pension'!BC$1))))</f>
        <v>2566.2461997438513</v>
      </c>
    </row>
    <row r="73" spans="1:55" x14ac:dyDescent="0.25">
      <c r="A73" s="204">
        <v>71</v>
      </c>
      <c r="B73" s="1">
        <v>600</v>
      </c>
      <c r="C73" s="1">
        <v>498</v>
      </c>
      <c r="D73" s="3">
        <v>30984</v>
      </c>
      <c r="E73" s="3">
        <v>46478</v>
      </c>
      <c r="G73" s="6">
        <f>(HLOOKUP('Yearly Pension'!G$2,'Credited Service'!$G$1:$BC$80,$A73+1,FALSE)) * (IF($B73=500, (Assumptions!$B$7)*12, IF((HLOOKUP(G$2,Earnings!$G$2:$BC$81,('Yearly Pension'!$A73)+1, FALSE)) &gt; G$1, (Assumptions!$B$8)*(G$1) + (Assumptions!$B$9)*MAX(0,  (HLOOKUP(G$2,Earnings!$G$2:$BC$81,('Yearly Pension'!$A73)+1, FALSE)) - G$1), ((Assumptions!$B$8)*'Yearly Pension'!G$1))))</f>
        <v>0</v>
      </c>
      <c r="H73" s="6">
        <f>(HLOOKUP('Yearly Pension'!H$2,'Credited Service'!$G$1:$BC$80,$A73+1,FALSE)) * (IF($B73=500, (Assumptions!$B$7)*12, IF((HLOOKUP(H$2,Earnings!$G$2:$BC$81,('Yearly Pension'!$A73)+1, FALSE)) &gt; H$1, (Assumptions!$B$8)*(H$1) + (Assumptions!$B$9)*MAX(0,  (HLOOKUP(H$2,Earnings!$G$2:$BC$81,('Yearly Pension'!$A73)+1, FALSE)) - H$1), ((Assumptions!$B$8)*'Yearly Pension'!H$1))))</f>
        <v>0</v>
      </c>
      <c r="I73" s="6">
        <f>(HLOOKUP('Yearly Pension'!I$2,'Credited Service'!$G$1:$BC$80,$A73+1,FALSE)) * (IF($B73=500, (Assumptions!$B$7)*12, IF((HLOOKUP(I$2,Earnings!$G$2:$BC$81,('Yearly Pension'!$A73)+1, FALSE)) &gt; I$1, (Assumptions!$B$8)*(I$1) + (Assumptions!$B$9)*MAX(0,  (HLOOKUP(I$2,Earnings!$G$2:$BC$81,('Yearly Pension'!$A73)+1, FALSE)) - I$1), ((Assumptions!$B$8)*'Yearly Pension'!I$1))))</f>
        <v>0</v>
      </c>
      <c r="J73" s="6">
        <f>(HLOOKUP('Yearly Pension'!J$2,'Credited Service'!$G$1:$BC$80,$A73+1,FALSE)) * (IF($B73=500, (Assumptions!$B$7)*12, IF((HLOOKUP(J$2,Earnings!$G$2:$BC$81,('Yearly Pension'!$A73)+1, FALSE)) &gt; J$1, (Assumptions!$B$8)*(J$1) + (Assumptions!$B$9)*MAX(0,  (HLOOKUP(J$2,Earnings!$G$2:$BC$81,('Yearly Pension'!$A73)+1, FALSE)) - J$1), ((Assumptions!$B$8)*'Yearly Pension'!J$1))))</f>
        <v>0</v>
      </c>
      <c r="K73" s="6">
        <f>(HLOOKUP('Yearly Pension'!K$2,'Credited Service'!$G$1:$BC$80,$A73+1,FALSE)) * (IF($B73=500, (Assumptions!$B$7)*12, IF((HLOOKUP(K$2,Earnings!$G$2:$BC$81,('Yearly Pension'!$A73)+1, FALSE)) &gt; K$1, (Assumptions!$B$8)*(K$1) + (Assumptions!$B$9)*MAX(0,  (HLOOKUP(K$2,Earnings!$G$2:$BC$81,('Yearly Pension'!$A73)+1, FALSE)) - K$1), ((Assumptions!$B$8)*'Yearly Pension'!K$1))))</f>
        <v>0</v>
      </c>
      <c r="L73" s="6">
        <f>(HLOOKUP('Yearly Pension'!L$2,'Credited Service'!$G$1:$BC$80,$A73+1,FALSE)) * (IF($B73=500, (Assumptions!$B$7)*12, IF((HLOOKUP(L$2,Earnings!$G$2:$BC$81,('Yearly Pension'!$A73)+1, FALSE)) &gt; L$1, (Assumptions!$B$8)*(L$1) + (Assumptions!$B$9)*MAX(0,  (HLOOKUP(L$2,Earnings!$G$2:$BC$81,('Yearly Pension'!$A73)+1, FALSE)) - L$1), ((Assumptions!$B$8)*'Yearly Pension'!L$1))))</f>
        <v>0</v>
      </c>
      <c r="M73" s="6">
        <f>(HLOOKUP('Yearly Pension'!M$2,'Credited Service'!$G$1:$BC$80,$A73+1,FALSE)) * (IF($B73=500, (Assumptions!$B$7)*12, IF((HLOOKUP(M$2,Earnings!$G$2:$BC$81,('Yearly Pension'!$A73)+1, FALSE)) &gt; M$1, (Assumptions!$B$8)*(M$1) + (Assumptions!$B$9)*MAX(0,  (HLOOKUP(M$2,Earnings!$G$2:$BC$81,('Yearly Pension'!$A73)+1, FALSE)) - M$1), ((Assumptions!$B$8)*'Yearly Pension'!M$1))))</f>
        <v>0</v>
      </c>
      <c r="N73" s="6">
        <f>(HLOOKUP('Yearly Pension'!N$2,'Credited Service'!$G$1:$BC$80,$A73+1,FALSE)) * (IF($B73=500, (Assumptions!$B$7)*12, IF((HLOOKUP(N$2,Earnings!$G$2:$BC$81,('Yearly Pension'!$A73)+1, FALSE)) &gt; N$1, (Assumptions!$B$8)*(N$1) + (Assumptions!$B$9)*MAX(0,  (HLOOKUP(N$2,Earnings!$G$2:$BC$81,('Yearly Pension'!$A73)+1, FALSE)) - N$1), ((Assumptions!$B$8)*'Yearly Pension'!N$1))))</f>
        <v>91.182539193295128</v>
      </c>
      <c r="O73" s="6">
        <f>(HLOOKUP('Yearly Pension'!O$2,'Credited Service'!$G$1:$BC$80,$A73+1,FALSE)) * (IF($B73=500, (Assumptions!$B$7)*12, IF((HLOOKUP(O$2,Earnings!$G$2:$BC$81,('Yearly Pension'!$A73)+1, FALSE)) &gt; O$1, (Assumptions!$B$8)*(O$1) + (Assumptions!$B$9)*MAX(0,  (HLOOKUP(O$2,Earnings!$G$2:$BC$81,('Yearly Pension'!$A73)+1, FALSE)) - O$1), ((Assumptions!$B$8)*'Yearly Pension'!O$1))))</f>
        <v>557.66384456616174</v>
      </c>
      <c r="P73" s="6">
        <f>(HLOOKUP('Yearly Pension'!P$2,'Credited Service'!$G$1:$BC$80,$A73+1,FALSE)) * (IF($B73=500, (Assumptions!$B$7)*12, IF((HLOOKUP(P$2,Earnings!$G$2:$BC$81,('Yearly Pension'!$A73)+1, FALSE)) &gt; P$1, (Assumptions!$B$8)*(P$1) + (Assumptions!$B$9)*MAX(0,  (HLOOKUP(P$2,Earnings!$G$2:$BC$81,('Yearly Pension'!$A73)+1, FALSE)) - P$1), ((Assumptions!$B$8)*'Yearly Pension'!P$1))))</f>
        <v>570.60079834880821</v>
      </c>
      <c r="Q73" s="6">
        <f>(HLOOKUP('Yearly Pension'!Q$2,'Credited Service'!$G$1:$BC$80,$A73+1,FALSE)) * (IF($B73=500, (Assumptions!$B$7)*12, IF((HLOOKUP(Q$2,Earnings!$G$2:$BC$81,('Yearly Pension'!$A73)+1, FALSE)) &gt; Q$1, (Assumptions!$B$8)*(Q$1) + (Assumptions!$B$9)*MAX(0,  (HLOOKUP(Q$2,Earnings!$G$2:$BC$81,('Yearly Pension'!$A73)+1, FALSE)) - Q$1), ((Assumptions!$B$8)*'Yearly Pension'!Q$1))))</f>
        <v>599.38963028276044</v>
      </c>
      <c r="R73" s="6">
        <f>(HLOOKUP('Yearly Pension'!R$2,'Credited Service'!$G$1:$BC$80,$A73+1,FALSE)) * (IF($B73=500, (Assumptions!$B$7)*12, IF((HLOOKUP(R$2,Earnings!$G$2:$BC$81,('Yearly Pension'!$A73)+1, FALSE)) &gt; R$1, (Assumptions!$B$8)*(R$1) + (Assumptions!$B$9)*MAX(0,  (HLOOKUP(R$2,Earnings!$G$2:$BC$81,('Yearly Pension'!$A73)+1, FALSE)) - R$1), ((Assumptions!$B$8)*'Yearly Pension'!R$1))))</f>
        <v>626.15561549407096</v>
      </c>
      <c r="S73" s="6">
        <f>(HLOOKUP('Yearly Pension'!S$2,'Credited Service'!$G$1:$BC$80,$A73+1,FALSE)) * (IF($B73=500, (Assumptions!$B$7)*12, IF((HLOOKUP(S$2,Earnings!$G$2:$BC$81,('Yearly Pension'!$A73)+1, FALSE)) &gt; S$1, (Assumptions!$B$8)*(S$1) + (Assumptions!$B$9)*MAX(0,  (HLOOKUP(S$2,Earnings!$G$2:$BC$81,('Yearly Pension'!$A73)+1, FALSE)) - S$1), ((Assumptions!$B$8)*'Yearly Pension'!S$1))))</f>
        <v>650.30584011383382</v>
      </c>
      <c r="T73" s="6">
        <f>(HLOOKUP('Yearly Pension'!T$2,'Credited Service'!$G$1:$BC$80,$A73+1,FALSE)) * (IF($B73=500, (Assumptions!$B$7)*12, IF((HLOOKUP(T$2,Earnings!$G$2:$BC$81,('Yearly Pension'!$A73)+1, FALSE)) &gt; T$1, (Assumptions!$B$8)*(T$1) + (Assumptions!$B$9)*MAX(0,  (HLOOKUP(T$2,Earnings!$G$2:$BC$81,('Yearly Pension'!$A73)+1, FALSE)) - T$1), ((Assumptions!$B$8)*'Yearly Pension'!T$1))))</f>
        <v>675.72927371838728</v>
      </c>
      <c r="U73" s="6">
        <f>(HLOOKUP('Yearly Pension'!U$2,'Credited Service'!$G$1:$BC$80,$A73+1,FALSE)) * (IF($B73=500, (Assumptions!$B$7)*12, IF((HLOOKUP(U$2,Earnings!$G$2:$BC$81,('Yearly Pension'!$A73)+1, FALSE)) &gt; U$1, (Assumptions!$B$8)*(U$1) + (Assumptions!$B$9)*MAX(0,  (HLOOKUP(U$2,Earnings!$G$2:$BC$81,('Yearly Pension'!$A73)+1, FALSE)) - U$1), ((Assumptions!$B$8)*'Yearly Pension'!U$1))))</f>
        <v>699.91684466712275</v>
      </c>
      <c r="V73" s="6">
        <f>(HLOOKUP('Yearly Pension'!V$2,'Credited Service'!$G$1:$BC$80,$A73+1,FALSE)) * (IF($B73=500, (Assumptions!$B$7)*12, IF((HLOOKUP(V$2,Earnings!$G$2:$BC$81,('Yearly Pension'!$A73)+1, FALSE)) &gt; V$1, (Assumptions!$B$8)*(V$1) + (Assumptions!$B$9)*MAX(0,  (HLOOKUP(V$2,Earnings!$G$2:$BC$81,('Yearly Pension'!$A73)+1, FALSE)) - V$1), ((Assumptions!$B$8)*'Yearly Pension'!V$1))))</f>
        <v>724.84151845380757</v>
      </c>
      <c r="W73" s="6">
        <f>(HLOOKUP('Yearly Pension'!W$2,'Credited Service'!$G$1:$BC$80,$A73+1,FALSE)) * (IF($B73=500, (Assumptions!$B$7)*12, IF((HLOOKUP(W$2,Earnings!$G$2:$BC$81,('Yearly Pension'!$A73)+1, FALSE)) &gt; W$1, (Assumptions!$B$8)*(W$1) + (Assumptions!$B$9)*MAX(0,  (HLOOKUP(W$2,Earnings!$G$2:$BC$81,('Yearly Pension'!$A73)+1, FALSE)) - W$1), ((Assumptions!$B$8)*'Yearly Pension'!W$1))))</f>
        <v>754.39837919195998</v>
      </c>
      <c r="X73" s="6">
        <f>(HLOOKUP('Yearly Pension'!X$2,'Credited Service'!$G$1:$BC$80,$A73+1,FALSE)) * (IF($B73=500, (Assumptions!$B$7)*12, IF((HLOOKUP(X$2,Earnings!$G$2:$BC$81,('Yearly Pension'!$A73)+1, FALSE)) &gt; X$1, (Assumptions!$B$8)*(X$1) + (Assumptions!$B$9)*MAX(0,  (HLOOKUP(X$2,Earnings!$G$2:$BC$81,('Yearly Pension'!$A73)+1, FALSE)) - X$1), ((Assumptions!$B$8)*'Yearly Pension'!X$1))))</f>
        <v>786.72471435963848</v>
      </c>
      <c r="Y73" s="6">
        <f>(HLOOKUP('Yearly Pension'!Y$2,'Credited Service'!$G$1:$BC$80,$A73+1,FALSE)) * (IF($B73=500, (Assumptions!$B$7)*12, IF((HLOOKUP(Y$2,Earnings!$G$2:$BC$81,('Yearly Pension'!$A73)+1, FALSE)) &gt; Y$1, (Assumptions!$B$8)*(Y$1) + (Assumptions!$B$9)*MAX(0,  (HLOOKUP(Y$2,Earnings!$G$2:$BC$81,('Yearly Pension'!$A73)+1, FALSE)) - Y$1), ((Assumptions!$B$8)*'Yearly Pension'!Y$1))))</f>
        <v>823.80010293402404</v>
      </c>
      <c r="Z73" s="6">
        <f>(HLOOKUP('Yearly Pension'!Z$2,'Credited Service'!$G$1:$BC$80,$A73+1,FALSE)) * (IF($B73=500, (Assumptions!$B$7)*12, IF((HLOOKUP(Z$2,Earnings!$G$2:$BC$81,('Yearly Pension'!$A73)+1, FALSE)) &gt; Z$1, (Assumptions!$B$8)*(Z$1) + (Assumptions!$B$9)*MAX(0,  (HLOOKUP(Z$2,Earnings!$G$2:$BC$81,('Yearly Pension'!$A73)+1, FALSE)) - Z$1), ((Assumptions!$B$8)*'Yearly Pension'!Z$1))))</f>
        <v>862.48650705138493</v>
      </c>
      <c r="AA73" s="6">
        <f>(HLOOKUP('Yearly Pension'!AA$2,'Credited Service'!$G$1:$BC$80,$A73+1,FALSE)) * (IF($B73=500, (Assumptions!$B$7)*12, IF((HLOOKUP(AA$2,Earnings!$G$2:$BC$81,('Yearly Pension'!$A73)+1, FALSE)) &gt; AA$1, (Assumptions!$B$8)*(AA$1) + (Assumptions!$B$9)*MAX(0,  (HLOOKUP(AA$2,Earnings!$G$2:$BC$81,('Yearly Pension'!$A73)+1, FALSE)) - AA$1), ((Assumptions!$B$8)*'Yearly Pension'!AA$1))))</f>
        <v>903.48836733344046</v>
      </c>
      <c r="AB73" s="6">
        <f>(HLOOKUP('Yearly Pension'!AB$2,'Credited Service'!$G$1:$BC$80,$A73+1,FALSE)) * (IF($B73=500, (Assumptions!$B$7)*12, IF((HLOOKUP(AB$2,Earnings!$G$2:$BC$81,('Yearly Pension'!$A73)+1, FALSE)) &gt; AB$1, (Assumptions!$B$8)*(AB$1) + (Assumptions!$B$9)*MAX(0,  (HLOOKUP(AB$2,Earnings!$G$2:$BC$81,('Yearly Pension'!$A73)+1, FALSE)) - AB$1), ((Assumptions!$B$8)*'Yearly Pension'!AB$1))))</f>
        <v>941.75270202677802</v>
      </c>
      <c r="AC73" s="6">
        <f>(HLOOKUP('Yearly Pension'!AC$2,'Credited Service'!$G$1:$BC$80,$A73+1,FALSE)) * (IF($B73=500, (Assumptions!$B$7)*12, IF((HLOOKUP(AC$2,Earnings!$G$2:$BC$81,('Yearly Pension'!$A73)+1, FALSE)) &gt; AC$1, (Assumptions!$B$8)*(AC$1) + (Assumptions!$B$9)*MAX(0,  (HLOOKUP(AC$2,Earnings!$G$2:$BC$81,('Yearly Pension'!$A73)+1, FALSE)) - AC$1), ((Assumptions!$B$8)*'Yearly Pension'!AC$1))))</f>
        <v>985.66921010784927</v>
      </c>
      <c r="AD73" s="6">
        <f>(HLOOKUP('Yearly Pension'!AD$2,'Credited Service'!$G$1:$BC$80,$A73+1,FALSE)) * (IF($B73=500, (Assumptions!$B$7)*12, IF((HLOOKUP(AD$2,Earnings!$G$2:$BC$81,('Yearly Pension'!$A73)+1, FALSE)) &gt; AD$1, (Assumptions!$B$8)*(AD$1) + (Assumptions!$B$9)*MAX(0,  (HLOOKUP(AD$2,Earnings!$G$2:$BC$81,('Yearly Pension'!$A73)+1, FALSE)) - AD$1), ((Assumptions!$B$8)*'Yearly Pension'!AD$1))))</f>
        <v>1033.3903785121634</v>
      </c>
      <c r="AE73" s="6">
        <f>(HLOOKUP('Yearly Pension'!AE$2,'Credited Service'!$G$1:$BC$80,$A73+1,FALSE)) * (IF($B73=500, (Assumptions!$B$7)*12, IF((HLOOKUP(AE$2,Earnings!$G$2:$BC$81,('Yearly Pension'!$A73)+1, FALSE)) &gt; AE$1, (Assumptions!$B$8)*(AE$1) + (Assumptions!$B$9)*MAX(0,  (HLOOKUP(AE$2,Earnings!$G$2:$BC$81,('Yearly Pension'!$A73)+1, FALSE)) - AE$1), ((Assumptions!$B$8)*'Yearly Pension'!AE$1))))</f>
        <v>1079.8715936526501</v>
      </c>
      <c r="AF73" s="6">
        <f>(HLOOKUP('Yearly Pension'!AF$2,'Credited Service'!$G$1:$BC$80,$A73+1,FALSE)) * (IF($B73=500, (Assumptions!$B$7)*12, IF((HLOOKUP(AF$2,Earnings!$G$2:$BC$81,('Yearly Pension'!$A73)+1, FALSE)) &gt; AF$1, (Assumptions!$B$8)*(AF$1) + (Assumptions!$B$9)*MAX(0,  (HLOOKUP(AF$2,Earnings!$G$2:$BC$81,('Yearly Pension'!$A73)+1, FALSE)) - AF$1), ((Assumptions!$B$8)*'Yearly Pension'!AF$1))))</f>
        <v>1127.751257398756</v>
      </c>
      <c r="AG73" s="6">
        <f>(HLOOKUP('Yearly Pension'!AG$2,'Credited Service'!$G$1:$BC$80,$A73+1,FALSE)) * (IF($B73=500, (Assumptions!$B$7)*12, IF((HLOOKUP(AG$2,Earnings!$G$2:$BC$81,('Yearly Pension'!$A73)+1, FALSE)) &gt; AG$1, (Assumptions!$B$8)*(AG$1) + (Assumptions!$B$9)*MAX(0,  (HLOOKUP(AG$2,Earnings!$G$2:$BC$81,('Yearly Pension'!$A73)+1, FALSE)) - AG$1), ((Assumptions!$B$8)*'Yearly Pension'!AG$1))))</f>
        <v>1177.7509076947063</v>
      </c>
      <c r="AH73" s="6">
        <f>(HLOOKUP('Yearly Pension'!AH$2,'Credited Service'!$G$1:$BC$80,$A73+1,FALSE)) * (IF($B73=500, (Assumptions!$B$7)*12, IF((HLOOKUP(AH$2,Earnings!$G$2:$BC$81,('Yearly Pension'!$A73)+1, FALSE)) &gt; AH$1, (Assumptions!$B$8)*(AH$1) + (Assumptions!$B$9)*MAX(0,  (HLOOKUP(AH$2,Earnings!$G$2:$BC$81,('Yearly Pension'!$A73)+1, FALSE)) - AH$1), ((Assumptions!$B$8)*'Yearly Pension'!AH$1))))</f>
        <v>1231.2353440024949</v>
      </c>
      <c r="AI73" s="6">
        <f>(HLOOKUP('Yearly Pension'!AI$2,'Credited Service'!$G$1:$BC$80,$A73+1,FALSE)) * (IF($B73=500, (Assumptions!$B$7)*12, IF((HLOOKUP(AI$2,Earnings!$G$2:$BC$81,('Yearly Pension'!$A73)+1, FALSE)) &gt; AI$1, (Assumptions!$B$8)*(AI$1) + (Assumptions!$B$9)*MAX(0,  (HLOOKUP(AI$2,Earnings!$G$2:$BC$81,('Yearly Pension'!$A73)+1, FALSE)) - AI$1), ((Assumptions!$B$8)*'Yearly Pension'!AI$1))))</f>
        <v>1287.0127577625944</v>
      </c>
      <c r="AJ73" s="6">
        <f>(HLOOKUP('Yearly Pension'!AJ$2,'Credited Service'!$G$1:$BC$80,$A73+1,FALSE)) * (IF($B73=500, (Assumptions!$B$7)*12, IF((HLOOKUP(AJ$2,Earnings!$G$2:$BC$81,('Yearly Pension'!$A73)+1, FALSE)) &gt; AJ$1, (Assumptions!$B$8)*(AJ$1) + (Assumptions!$B$9)*MAX(0,  (HLOOKUP(AJ$2,Earnings!$G$2:$BC$81,('Yearly Pension'!$A73)+1, FALSE)) - AJ$1), ((Assumptions!$B$8)*'Yearly Pension'!AJ$1))))</f>
        <v>1342.6148680730985</v>
      </c>
      <c r="AK73" s="6">
        <f>(HLOOKUP('Yearly Pension'!AK$2,'Credited Service'!$G$1:$BC$80,$A73+1,FALSE)) * (IF($B73=500, (Assumptions!$B$7)*12, IF((HLOOKUP(AK$2,Earnings!$G$2:$BC$81,('Yearly Pension'!$A73)+1, FALSE)) &gt; AK$1, (Assumptions!$B$8)*(AK$1) + (Assumptions!$B$9)*MAX(0,  (HLOOKUP(AK$2,Earnings!$G$2:$BC$81,('Yearly Pension'!$A73)+1, FALSE)) - AK$1), ((Assumptions!$B$8)*'Yearly Pension'!AK$1))))</f>
        <v>1396.8570627960225</v>
      </c>
      <c r="AL73" s="6">
        <f>(HLOOKUP('Yearly Pension'!AL$2,'Credited Service'!$G$1:$BC$80,$A73+1,FALSE)) * (IF($B73=500, (Assumptions!$B$7)*12, IF((HLOOKUP(AL$2,Earnings!$G$2:$BC$81,('Yearly Pension'!$A73)+1, FALSE)) &gt; AL$1, (Assumptions!$B$8)*(AL$1) + (Assumptions!$B$9)*MAX(0,  (HLOOKUP(AL$2,Earnings!$G$2:$BC$81,('Yearly Pension'!$A73)+1, FALSE)) - AL$1), ((Assumptions!$B$8)*'Yearly Pension'!AL$1))))</f>
        <v>1456.2385453078634</v>
      </c>
      <c r="AM73" s="6">
        <f>(HLOOKUP('Yearly Pension'!AM$2,'Credited Service'!$G$1:$BC$80,$A73+1,FALSE)) * (IF($B73=500, (Assumptions!$B$7)*12, IF((HLOOKUP(AM$2,Earnings!$G$2:$BC$81,('Yearly Pension'!$A73)+1, FALSE)) &gt; AM$1, (Assumptions!$B$8)*(AM$1) + (Assumptions!$B$9)*MAX(0,  (HLOOKUP(AM$2,Earnings!$G$2:$BC$81,('Yearly Pension'!$A73)+1, FALSE)) - AM$1), ((Assumptions!$B$8)*'Yearly Pension'!AM$1))))</f>
        <v>1517.0224871201781</v>
      </c>
      <c r="AN73" s="6">
        <f>(HLOOKUP('Yearly Pension'!AN$2,'Credited Service'!$G$1:$BC$80,$A73+1,FALSE)) * (IF($B73=500, (Assumptions!$B$7)*12, IF((HLOOKUP(AN$2,Earnings!$G$2:$BC$81,('Yearly Pension'!$A73)+1, FALSE)) &gt; AN$1, (Assumptions!$B$8)*(AN$1) + (Assumptions!$B$9)*MAX(0,  (HLOOKUP(AN$2,Earnings!$G$2:$BC$81,('Yearly Pension'!$A73)+1, FALSE)) - AN$1), ((Assumptions!$B$8)*'Yearly Pension'!AN$1))))</f>
        <v>1583.7961866049852</v>
      </c>
      <c r="AO73" s="6">
        <f>(HLOOKUP('Yearly Pension'!AO$2,'Credited Service'!$G$1:$BC$80,$A73+1,FALSE)) * (IF($B73=500, (Assumptions!$B$7)*12, IF((HLOOKUP(AO$2,Earnings!$G$2:$BC$81,('Yearly Pension'!$A73)+1, FALSE)) &gt; AO$1, (Assumptions!$B$8)*(AO$1) + (Assumptions!$B$9)*MAX(0,  (HLOOKUP(AO$2,Earnings!$G$2:$BC$81,('Yearly Pension'!$A73)+1, FALSE)) - AO$1), ((Assumptions!$B$8)*'Yearly Pension'!AO$1))))</f>
        <v>1652.1912340691849</v>
      </c>
      <c r="AP73" s="6">
        <f>(HLOOKUP('Yearly Pension'!AP$2,'Credited Service'!$G$1:$BC$80,$A73+1,FALSE)) * (IF($B73=500, (Assumptions!$B$7)*12, IF((HLOOKUP(AP$2,Earnings!$G$2:$BC$81,('Yearly Pension'!$A73)+1, FALSE)) &gt; AP$1, (Assumptions!$B$8)*(AP$1) + (Assumptions!$B$9)*MAX(0,  (HLOOKUP(AP$2,Earnings!$G$2:$BC$81,('Yearly Pension'!$A73)+1, FALSE)) - AP$1), ((Assumptions!$B$8)*'Yearly Pension'!AP$1))))</f>
        <v>1719.1236834319525</v>
      </c>
      <c r="AQ73" s="6">
        <f>(HLOOKUP('Yearly Pension'!AQ$2,'Credited Service'!$G$1:$BC$80,$A73+1,FALSE)) * (IF($B73=500, (Assumptions!$B$7)*12, IF((HLOOKUP(AQ$2,Earnings!$G$2:$BC$81,('Yearly Pension'!$A73)+1, FALSE)) &gt; AQ$1, (Assumptions!$B$8)*(AQ$1) + (Assumptions!$B$9)*MAX(0,  (HLOOKUP(AQ$2,Earnings!$G$2:$BC$81,('Yearly Pension'!$A73)+1, FALSE)) - AQ$1), ((Assumptions!$B$8)*'Yearly Pension'!AQ$1))))</f>
        <v>1794.3142307692306</v>
      </c>
      <c r="AR73" s="6">
        <f>(HLOOKUP('Yearly Pension'!AR$2,'Credited Service'!$G$1:$BC$80,$A73+1,FALSE)) * (IF($B73=500, (Assumptions!$B$7)*12, IF((HLOOKUP(AR$2,Earnings!$G$2:$BC$81,('Yearly Pension'!$A73)+1, FALSE)) &gt; AR$1, (Assumptions!$B$8)*(AR$1) + (Assumptions!$B$9)*MAX(0,  (HLOOKUP(AR$2,Earnings!$G$2:$BC$81,('Yearly Pension'!$A73)+1, FALSE)) - AR$1), ((Assumptions!$B$8)*'Yearly Pension'!AR$1))))</f>
        <v>1870.2084</v>
      </c>
      <c r="AS73" s="6">
        <f>(HLOOKUP('Yearly Pension'!AS$2,'Credited Service'!$G$1:$BC$80,$A73+1,FALSE)) * (IF($B73=500, (Assumptions!$B$7)*12, IF((HLOOKUP(AS$2,Earnings!$G$2:$BC$81,('Yearly Pension'!$A73)+1, FALSE)) &gt; AS$1, (Assumptions!$B$8)*(AS$1) + (Assumptions!$B$9)*MAX(0,  (HLOOKUP(AS$2,Earnings!$G$2:$BC$81,('Yearly Pension'!$A73)+1, FALSE)) - AS$1), ((Assumptions!$B$8)*'Yearly Pension'!AS$1))))</f>
        <v>1929.354652</v>
      </c>
      <c r="AT73" s="6">
        <f>(HLOOKUP('Yearly Pension'!AT$2,'Credited Service'!$G$1:$BC$80,$A73+1,FALSE)) * (IF($B73=500, (Assumptions!$B$7)*12, IF((HLOOKUP(AT$2,Earnings!$G$2:$BC$81,('Yearly Pension'!$A73)+1, FALSE)) &gt; AT$1, (Assumptions!$B$8)*(AT$1) + (Assumptions!$B$9)*MAX(0,  (HLOOKUP(AT$2,Earnings!$G$2:$BC$81,('Yearly Pension'!$A73)+1, FALSE)) - AT$1), ((Assumptions!$B$8)*'Yearly Pension'!AT$1))))</f>
        <v>1989.2064915599999</v>
      </c>
      <c r="AU73" s="6">
        <f>(HLOOKUP('Yearly Pension'!AU$2,'Credited Service'!$G$1:$BC$80,$A73+1,FALSE)) * (IF($B73=500, (Assumptions!$B$7)*12, IF((HLOOKUP(AU$2,Earnings!$G$2:$BC$81,('Yearly Pension'!$A73)+1, FALSE)) &gt; AU$1, (Assumptions!$B$8)*(AU$1) + (Assumptions!$B$9)*MAX(0,  (HLOOKUP(AU$2,Earnings!$G$2:$BC$81,('Yearly Pension'!$A73)+1, FALSE)) - AU$1), ((Assumptions!$B$8)*'Yearly Pension'!AU$1))))</f>
        <v>2056.8634863068</v>
      </c>
      <c r="AV73" s="6">
        <f>(HLOOKUP('Yearly Pension'!AV$2,'Credited Service'!$G$1:$BC$80,$A73+1,FALSE)) * (IF($B73=500, (Assumptions!$B$7)*12, IF((HLOOKUP(AV$2,Earnings!$G$2:$BC$81,('Yearly Pension'!$A73)+1, FALSE)) &gt; AV$1, (Assumptions!$B$8)*(AV$1) + (Assumptions!$B$9)*MAX(0,  (HLOOKUP(AV$2,Earnings!$G$2:$BC$81,('Yearly Pension'!$A73)+1, FALSE)) - AV$1), ((Assumptions!$B$8)*'Yearly Pension'!AV$1))))</f>
        <v>2125.3469908960042</v>
      </c>
      <c r="AW73" s="6">
        <f>(HLOOKUP('Yearly Pension'!AW$2,'Credited Service'!$G$1:$BC$80,$A73+1,FALSE)) * (IF($B73=500, (Assumptions!$B$7)*12, IF((HLOOKUP(AW$2,Earnings!$G$2:$BC$81,('Yearly Pension'!$A73)+1, FALSE)) &gt; AW$1, (Assumptions!$B$8)*(AW$1) + (Assumptions!$B$9)*MAX(0,  (HLOOKUP(AW$2,Earnings!$G$2:$BC$81,('Yearly Pension'!$A73)+1, FALSE)) - AW$1), ((Assumptions!$B$8)*'Yearly Pension'!AW$1))))</f>
        <v>2190.2402006228845</v>
      </c>
      <c r="AX73" s="6">
        <f>(HLOOKUP('Yearly Pension'!AX$2,'Credited Service'!$G$1:$BC$80,$A73+1,FALSE)) * (IF($B73=500, (Assumptions!$B$7)*12, IF((HLOOKUP(AX$2,Earnings!$G$2:$BC$81,('Yearly Pension'!$A73)+1, FALSE)) &gt; AX$1, (Assumptions!$B$8)*(AX$1) + (Assumptions!$B$9)*MAX(0,  (HLOOKUP(AX$2,Earnings!$G$2:$BC$81,('Yearly Pension'!$A73)+1, FALSE)) - AX$1), ((Assumptions!$B$8)*'Yearly Pension'!AX$1))))</f>
        <v>2252.2738066415709</v>
      </c>
      <c r="AY73" s="6">
        <f>(HLOOKUP('Yearly Pension'!AY$2,'Credited Service'!$G$1:$BC$80,$A73+1,FALSE)) * (IF($B73=500, (Assumptions!$B$7)*12, IF((HLOOKUP(AY$2,Earnings!$G$2:$BC$81,('Yearly Pension'!$A73)+1, FALSE)) &gt; AY$1, (Assumptions!$B$8)*(AY$1) + (Assumptions!$B$9)*MAX(0,  (HLOOKUP(AY$2,Earnings!$G$2:$BC$81,('Yearly Pension'!$A73)+1, FALSE)) - AY$1), ((Assumptions!$B$8)*'Yearly Pension'!AY$1))))</f>
        <v>2316.0214768408187</v>
      </c>
      <c r="AZ73" s="6">
        <f>(HLOOKUP('Yearly Pension'!AZ$2,'Credited Service'!$G$1:$BC$80,$A73+1,FALSE)) * (IF($B73=500, (Assumptions!$B$7)*12, IF((HLOOKUP(AZ$2,Earnings!$G$2:$BC$81,('Yearly Pension'!$A73)+1, FALSE)) &gt; AZ$1, (Assumptions!$B$8)*(AZ$1) + (Assumptions!$B$9)*MAX(0,  (HLOOKUP(AZ$2,Earnings!$G$2:$BC$81,('Yearly Pension'!$A73)+1, FALSE)) - AZ$1), ((Assumptions!$B$8)*'Yearly Pension'!AZ$1))))</f>
        <v>2381.5287553860435</v>
      </c>
      <c r="BA73" s="6">
        <f>(HLOOKUP('Yearly Pension'!BA$2,'Credited Service'!$G$1:$BC$80,$A73+1,FALSE)) * (IF($B73=500, (Assumptions!$B$7)*12, IF((HLOOKUP(BA$2,Earnings!$G$2:$BC$81,('Yearly Pension'!$A73)+1, FALSE)) &gt; BA$1, (Assumptions!$B$8)*(BA$1) + (Assumptions!$B$9)*MAX(0,  (HLOOKUP(BA$2,Earnings!$G$2:$BC$81,('Yearly Pension'!$A73)+1, FALSE)) - BA$1), ((Assumptions!$B$8)*'Yearly Pension'!BA$1))))</f>
        <v>2448.8423176572246</v>
      </c>
      <c r="BB73" s="6">
        <f>(HLOOKUP('Yearly Pension'!BB$2,'Credited Service'!$G$1:$BC$80,$A73+1,FALSE)) * (IF($B73=500, (Assumptions!$B$7)*12, IF((HLOOKUP(BB$2,Earnings!$G$2:$BC$81,('Yearly Pension'!$A73)+1, FALSE)) &gt; BB$1, (Assumptions!$B$8)*(BB$1) + (Assumptions!$B$9)*MAX(0,  (HLOOKUP(BB$2,Earnings!$G$2:$BC$81,('Yearly Pension'!$A73)+1, FALSE)) - BB$1), ((Assumptions!$B$8)*'Yearly Pension'!BB$1))))</f>
        <v>2518.0099947809254</v>
      </c>
      <c r="BC73" s="6">
        <f>(HLOOKUP('Yearly Pension'!BC$2,'Credited Service'!$G$1:$BC$80,$A73+1,FALSE)) * (IF($B73=500, (Assumptions!$B$7)*12, IF((HLOOKUP(BC$2,Earnings!$G$2:$BC$81,('Yearly Pension'!$A73)+1, FALSE)) &gt; BC$1, (Assumptions!$B$8)*(BC$1) + (Assumptions!$B$9)*MAX(0,  (HLOOKUP(BC$2,Earnings!$G$2:$BC$81,('Yearly Pension'!$A73)+1, FALSE)) - BC$1), ((Assumptions!$B$8)*'Yearly Pension'!BC$1))))</f>
        <v>2589.0807985220968</v>
      </c>
    </row>
    <row r="74" spans="1:55" x14ac:dyDescent="0.25">
      <c r="A74" s="204">
        <v>72</v>
      </c>
      <c r="B74" s="1">
        <v>600</v>
      </c>
      <c r="C74" s="1">
        <v>482</v>
      </c>
      <c r="D74" s="3">
        <v>30819</v>
      </c>
      <c r="E74" s="3">
        <v>45717</v>
      </c>
      <c r="G74" s="6">
        <f>(HLOOKUP('Yearly Pension'!G$2,'Credited Service'!$G$1:$BC$80,$A74+1,FALSE)) * (IF($B74=500, (Assumptions!$B$7)*12, IF((HLOOKUP(G$2,Earnings!$G$2:$BC$81,('Yearly Pension'!$A74)+1, FALSE)) &gt; G$1, (Assumptions!$B$8)*(G$1) + (Assumptions!$B$9)*MAX(0,  (HLOOKUP(G$2,Earnings!$G$2:$BC$81,('Yearly Pension'!$A74)+1, FALSE)) - G$1), ((Assumptions!$B$8)*'Yearly Pension'!G$1))))</f>
        <v>0</v>
      </c>
      <c r="H74" s="6">
        <f>(HLOOKUP('Yearly Pension'!H$2,'Credited Service'!$G$1:$BC$80,$A74+1,FALSE)) * (IF($B74=500, (Assumptions!$B$7)*12, IF((HLOOKUP(H$2,Earnings!$G$2:$BC$81,('Yearly Pension'!$A74)+1, FALSE)) &gt; H$1, (Assumptions!$B$8)*(H$1) + (Assumptions!$B$9)*MAX(0,  (HLOOKUP(H$2,Earnings!$G$2:$BC$81,('Yearly Pension'!$A74)+1, FALSE)) - H$1), ((Assumptions!$B$8)*'Yearly Pension'!H$1))))</f>
        <v>0</v>
      </c>
      <c r="I74" s="6">
        <f>(HLOOKUP('Yearly Pension'!I$2,'Credited Service'!$G$1:$BC$80,$A74+1,FALSE)) * (IF($B74=500, (Assumptions!$B$7)*12, IF((HLOOKUP(I$2,Earnings!$G$2:$BC$81,('Yearly Pension'!$A74)+1, FALSE)) &gt; I$1, (Assumptions!$B$8)*(I$1) + (Assumptions!$B$9)*MAX(0,  (HLOOKUP(I$2,Earnings!$G$2:$BC$81,('Yearly Pension'!$A74)+1, FALSE)) - I$1), ((Assumptions!$B$8)*'Yearly Pension'!I$1))))</f>
        <v>0</v>
      </c>
      <c r="J74" s="6">
        <f>(HLOOKUP('Yearly Pension'!J$2,'Credited Service'!$G$1:$BC$80,$A74+1,FALSE)) * (IF($B74=500, (Assumptions!$B$7)*12, IF((HLOOKUP(J$2,Earnings!$G$2:$BC$81,('Yearly Pension'!$A74)+1, FALSE)) &gt; J$1, (Assumptions!$B$8)*(J$1) + (Assumptions!$B$9)*MAX(0,  (HLOOKUP(J$2,Earnings!$G$2:$BC$81,('Yearly Pension'!$A74)+1, FALSE)) - J$1), ((Assumptions!$B$8)*'Yearly Pension'!J$1))))</f>
        <v>0</v>
      </c>
      <c r="K74" s="6">
        <f>(HLOOKUP('Yearly Pension'!K$2,'Credited Service'!$G$1:$BC$80,$A74+1,FALSE)) * (IF($B74=500, (Assumptions!$B$7)*12, IF((HLOOKUP(K$2,Earnings!$G$2:$BC$81,('Yearly Pension'!$A74)+1, FALSE)) &gt; K$1, (Assumptions!$B$8)*(K$1) + (Assumptions!$B$9)*MAX(0,  (HLOOKUP(K$2,Earnings!$G$2:$BC$81,('Yearly Pension'!$A74)+1, FALSE)) - K$1), ((Assumptions!$B$8)*'Yearly Pension'!K$1))))</f>
        <v>0</v>
      </c>
      <c r="L74" s="6">
        <f>(HLOOKUP('Yearly Pension'!L$2,'Credited Service'!$G$1:$BC$80,$A74+1,FALSE)) * (IF($B74=500, (Assumptions!$B$7)*12, IF((HLOOKUP(L$2,Earnings!$G$2:$BC$81,('Yearly Pension'!$A74)+1, FALSE)) &gt; L$1, (Assumptions!$B$8)*(L$1) + (Assumptions!$B$9)*MAX(0,  (HLOOKUP(L$2,Earnings!$G$2:$BC$81,('Yearly Pension'!$A74)+1, FALSE)) - L$1), ((Assumptions!$B$8)*'Yearly Pension'!L$1))))</f>
        <v>0</v>
      </c>
      <c r="M74" s="6">
        <f>(HLOOKUP('Yearly Pension'!M$2,'Credited Service'!$G$1:$BC$80,$A74+1,FALSE)) * (IF($B74=500, (Assumptions!$B$7)*12, IF((HLOOKUP(M$2,Earnings!$G$2:$BC$81,('Yearly Pension'!$A74)+1, FALSE)) &gt; M$1, (Assumptions!$B$8)*(M$1) + (Assumptions!$B$9)*MAX(0,  (HLOOKUP(M$2,Earnings!$G$2:$BC$81,('Yearly Pension'!$A74)+1, FALSE)) - M$1), ((Assumptions!$B$8)*'Yearly Pension'!M$1))))</f>
        <v>0</v>
      </c>
      <c r="N74" s="6">
        <f>(HLOOKUP('Yearly Pension'!N$2,'Credited Service'!$G$1:$BC$80,$A74+1,FALSE)) * (IF($B74=500, (Assumptions!$B$7)*12, IF((HLOOKUP(N$2,Earnings!$G$2:$BC$81,('Yearly Pension'!$A74)+1, FALSE)) &gt; N$1, (Assumptions!$B$8)*(N$1) + (Assumptions!$B$9)*MAX(0,  (HLOOKUP(N$2,Earnings!$G$2:$BC$81,('Yearly Pension'!$A74)+1, FALSE)) - N$1), ((Assumptions!$B$8)*'Yearly Pension'!N$1))))</f>
        <v>322.10580688657461</v>
      </c>
      <c r="O74" s="6">
        <f>(HLOOKUP('Yearly Pension'!O$2,'Credited Service'!$G$1:$BC$80,$A74+1,FALSE)) * (IF($B74=500, (Assumptions!$B$7)*12, IF((HLOOKUP(O$2,Earnings!$G$2:$BC$81,('Yearly Pension'!$A74)+1, FALSE)) &gt; O$1, (Assumptions!$B$8)*(O$1) + (Assumptions!$B$9)*MAX(0,  (HLOOKUP(O$2,Earnings!$G$2:$BC$81,('Yearly Pension'!$A74)+1, FALSE)) - O$1), ((Assumptions!$B$8)*'Yearly Pension'!O$1))))</f>
        <v>562.95343856349291</v>
      </c>
      <c r="P74" s="6">
        <f>(HLOOKUP('Yearly Pension'!P$2,'Credited Service'!$G$1:$BC$80,$A74+1,FALSE)) * (IF($B74=500, (Assumptions!$B$7)*12, IF((HLOOKUP(P$2,Earnings!$G$2:$BC$81,('Yearly Pension'!$A74)+1, FALSE)) &gt; P$1, (Assumptions!$B$8)*(P$1) + (Assumptions!$B$9)*MAX(0,  (HLOOKUP(P$2,Earnings!$G$2:$BC$81,('Yearly Pension'!$A74)+1, FALSE)) - P$1), ((Assumptions!$B$8)*'Yearly Pension'!P$1))))</f>
        <v>576.10197610603268</v>
      </c>
      <c r="Q74" s="6">
        <f>(HLOOKUP('Yearly Pension'!Q$2,'Credited Service'!$G$1:$BC$80,$A74+1,FALSE)) * (IF($B74=500, (Assumptions!$B$7)*12, IF((HLOOKUP(Q$2,Earnings!$G$2:$BC$81,('Yearly Pension'!$A74)+1, FALSE)) &gt; Q$1, (Assumptions!$B$8)*(Q$1) + (Assumptions!$B$9)*MAX(0,  (HLOOKUP(Q$2,Earnings!$G$2:$BC$81,('Yearly Pension'!$A74)+1, FALSE)) - Q$1), ((Assumptions!$B$8)*'Yearly Pension'!Q$1))))</f>
        <v>605.11085515027389</v>
      </c>
      <c r="R74" s="6">
        <f>(HLOOKUP('Yearly Pension'!R$2,'Credited Service'!$G$1:$BC$80,$A74+1,FALSE)) * (IF($B74=500, (Assumptions!$B$7)*12, IF((HLOOKUP(R$2,Earnings!$G$2:$BC$81,('Yearly Pension'!$A74)+1, FALSE)) &gt; R$1, (Assumptions!$B$8)*(R$1) + (Assumptions!$B$9)*MAX(0,  (HLOOKUP(R$2,Earnings!$G$2:$BC$81,('Yearly Pension'!$A74)+1, FALSE)) - R$1), ((Assumptions!$B$8)*'Yearly Pension'!R$1))))</f>
        <v>632.10568935628498</v>
      </c>
      <c r="S74" s="6">
        <f>(HLOOKUP('Yearly Pension'!S$2,'Credited Service'!$G$1:$BC$80,$A74+1,FALSE)) * (IF($B74=500, (Assumptions!$B$7)*12, IF((HLOOKUP(S$2,Earnings!$G$2:$BC$81,('Yearly Pension'!$A74)+1, FALSE)) &gt; S$1, (Assumptions!$B$8)*(S$1) + (Assumptions!$B$9)*MAX(0,  (HLOOKUP(S$2,Earnings!$G$2:$BC$81,('Yearly Pension'!$A74)+1, FALSE)) - S$1), ((Assumptions!$B$8)*'Yearly Pension'!S$1))))</f>
        <v>656.49391693053633</v>
      </c>
      <c r="T74" s="6">
        <f>(HLOOKUP('Yearly Pension'!T$2,'Credited Service'!$G$1:$BC$80,$A74+1,FALSE)) * (IF($B74=500, (Assumptions!$B$7)*12, IF((HLOOKUP(T$2,Earnings!$G$2:$BC$81,('Yearly Pension'!$A74)+1, FALSE)) &gt; T$1, (Assumptions!$B$8)*(T$1) + (Assumptions!$B$9)*MAX(0,  (HLOOKUP(T$2,Earnings!$G$2:$BC$81,('Yearly Pension'!$A74)+1, FALSE)) - T$1), ((Assumptions!$B$8)*'Yearly Pension'!T$1))))</f>
        <v>682.16487360775795</v>
      </c>
      <c r="U74" s="6">
        <f>(HLOOKUP('Yearly Pension'!U$2,'Credited Service'!$G$1:$BC$80,$A74+1,FALSE)) * (IF($B74=500, (Assumptions!$B$7)*12, IF((HLOOKUP(U$2,Earnings!$G$2:$BC$81,('Yearly Pension'!$A74)+1, FALSE)) &gt; U$1, (Assumptions!$B$8)*(U$1) + (Assumptions!$B$9)*MAX(0,  (HLOOKUP(U$2,Earnings!$G$2:$BC$81,('Yearly Pension'!$A74)+1, FALSE)) - U$1), ((Assumptions!$B$8)*'Yearly Pension'!U$1))))</f>
        <v>706.60986855206818</v>
      </c>
      <c r="V74" s="6">
        <f>(HLOOKUP('Yearly Pension'!V$2,'Credited Service'!$G$1:$BC$80,$A74+1,FALSE)) * (IF($B74=500, (Assumptions!$B$7)*12, IF((HLOOKUP(V$2,Earnings!$G$2:$BC$81,('Yearly Pension'!$A74)+1, FALSE)) &gt; V$1, (Assumptions!$B$8)*(V$1) + (Assumptions!$B$9)*MAX(0,  (HLOOKUP(V$2,Earnings!$G$2:$BC$81,('Yearly Pension'!$A74)+1, FALSE)) - V$1), ((Assumptions!$B$8)*'Yearly Pension'!V$1))))</f>
        <v>731.80226329415109</v>
      </c>
      <c r="W74" s="6">
        <f>(HLOOKUP('Yearly Pension'!W$2,'Credited Service'!$G$1:$BC$80,$A74+1,FALSE)) * (IF($B74=500, (Assumptions!$B$7)*12, IF((HLOOKUP(W$2,Earnings!$G$2:$BC$81,('Yearly Pension'!$A74)+1, FALSE)) &gt; W$1, (Assumptions!$B$8)*(W$1) + (Assumptions!$B$9)*MAX(0,  (HLOOKUP(W$2,Earnings!$G$2:$BC$81,('Yearly Pension'!$A74)+1, FALSE)) - W$1), ((Assumptions!$B$8)*'Yearly Pension'!W$1))))</f>
        <v>761.63755382591717</v>
      </c>
      <c r="X74" s="6">
        <f>(HLOOKUP('Yearly Pension'!X$2,'Credited Service'!$G$1:$BC$80,$A74+1,FALSE)) * (IF($B74=500, (Assumptions!$B$7)*12, IF((HLOOKUP(X$2,Earnings!$G$2:$BC$81,('Yearly Pension'!$A74)+1, FALSE)) &gt; X$1, (Assumptions!$B$8)*(X$1) + (Assumptions!$B$9)*MAX(0,  (HLOOKUP(X$2,Earnings!$G$2:$BC$81,('Yearly Pension'!$A74)+1, FALSE)) - X$1), ((Assumptions!$B$8)*'Yearly Pension'!X$1))))</f>
        <v>794.25345597895387</v>
      </c>
      <c r="Y74" s="6">
        <f>(HLOOKUP('Yearly Pension'!Y$2,'Credited Service'!$G$1:$BC$80,$A74+1,FALSE)) * (IF($B74=500, (Assumptions!$B$7)*12, IF((HLOOKUP(Y$2,Earnings!$G$2:$BC$81,('Yearly Pension'!$A74)+1, FALSE)) &gt; Y$1, (Assumptions!$B$8)*(Y$1) + (Assumptions!$B$9)*MAX(0,  (HLOOKUP(Y$2,Earnings!$G$2:$BC$81,('Yearly Pension'!$A74)+1, FALSE)) - Y$1), ((Assumptions!$B$8)*'Yearly Pension'!Y$1))))</f>
        <v>831.62999421811219</v>
      </c>
      <c r="Z74" s="6">
        <f>(HLOOKUP('Yearly Pension'!Z$2,'Credited Service'!$G$1:$BC$80,$A74+1,FALSE)) * (IF($B74=500, (Assumptions!$B$7)*12, IF((HLOOKUP(Z$2,Earnings!$G$2:$BC$81,('Yearly Pension'!$A74)+1, FALSE)) &gt; Z$1, (Assumptions!$B$8)*(Z$1) + (Assumptions!$B$9)*MAX(0,  (HLOOKUP(Z$2,Earnings!$G$2:$BC$81,('Yearly Pension'!$A74)+1, FALSE)) - Z$1), ((Assumptions!$B$8)*'Yearly Pension'!Z$1))))</f>
        <v>870.62959398683665</v>
      </c>
      <c r="AA74" s="6">
        <f>(HLOOKUP('Yearly Pension'!AA$2,'Credited Service'!$G$1:$BC$80,$A74+1,FALSE)) * (IF($B74=500, (Assumptions!$B$7)*12, IF((HLOOKUP(AA$2,Earnings!$G$2:$BC$81,('Yearly Pension'!$A74)+1, FALSE)) &gt; AA$1, (Assumptions!$B$8)*(AA$1) + (Assumptions!$B$9)*MAX(0,  (HLOOKUP(AA$2,Earnings!$G$2:$BC$81,('Yearly Pension'!$A74)+1, FALSE)) - AA$1), ((Assumptions!$B$8)*'Yearly Pension'!AA$1))))</f>
        <v>911.95717774631021</v>
      </c>
      <c r="AB74" s="6">
        <f>(HLOOKUP('Yearly Pension'!AB$2,'Credited Service'!$G$1:$BC$80,$A74+1,FALSE)) * (IF($B74=500, (Assumptions!$B$7)*12, IF((HLOOKUP(AB$2,Earnings!$G$2:$BC$81,('Yearly Pension'!$A74)+1, FALSE)) &gt; AB$1, (Assumptions!$B$8)*(AB$1) + (Assumptions!$B$9)*MAX(0,  (HLOOKUP(AB$2,Earnings!$G$2:$BC$81,('Yearly Pension'!$A74)+1, FALSE)) - AB$1), ((Assumptions!$B$8)*'Yearly Pension'!AB$1))))</f>
        <v>950.56026485616269</v>
      </c>
      <c r="AC74" s="6">
        <f>(HLOOKUP('Yearly Pension'!AC$2,'Credited Service'!$G$1:$BC$80,$A74+1,FALSE)) * (IF($B74=500, (Assumptions!$B$7)*12, IF((HLOOKUP(AC$2,Earnings!$G$2:$BC$81,('Yearly Pension'!$A74)+1, FALSE)) &gt; AC$1, (Assumptions!$B$8)*(AC$1) + (Assumptions!$B$9)*MAX(0,  (HLOOKUP(AC$2,Earnings!$G$2:$BC$81,('Yearly Pension'!$A74)+1, FALSE)) - AC$1), ((Assumptions!$B$8)*'Yearly Pension'!AC$1))))</f>
        <v>994.82907545040928</v>
      </c>
      <c r="AD74" s="6">
        <f>(HLOOKUP('Yearly Pension'!AD$2,'Credited Service'!$G$1:$BC$80,$A74+1,FALSE)) * (IF($B74=500, (Assumptions!$B$7)*12, IF((HLOOKUP(AD$2,Earnings!$G$2:$BC$81,('Yearly Pension'!$A74)+1, FALSE)) &gt; AD$1, (Assumptions!$B$8)*(AD$1) + (Assumptions!$B$9)*MAX(0,  (HLOOKUP(AD$2,Earnings!$G$2:$BC$81,('Yearly Pension'!$A74)+1, FALSE)) - AD$1), ((Assumptions!$B$8)*'Yearly Pension'!AD$1))))</f>
        <v>1042.9166384684256</v>
      </c>
      <c r="AE74" s="6">
        <f>(HLOOKUP('Yearly Pension'!AE$2,'Credited Service'!$G$1:$BC$80,$A74+1,FALSE)) * (IF($B74=500, (Assumptions!$B$7)*12, IF((HLOOKUP(AE$2,Earnings!$G$2:$BC$81,('Yearly Pension'!$A74)+1, FALSE)) &gt; AE$1, (Assumptions!$B$8)*(AE$1) + (Assumptions!$B$9)*MAX(0,  (HLOOKUP(AE$2,Earnings!$G$2:$BC$81,('Yearly Pension'!$A74)+1, FALSE)) - AE$1), ((Assumptions!$B$8)*'Yearly Pension'!AE$1))))</f>
        <v>1089.7789040071627</v>
      </c>
      <c r="AF74" s="6">
        <f>(HLOOKUP('Yearly Pension'!AF$2,'Credited Service'!$G$1:$BC$80,$A74+1,FALSE)) * (IF($B74=500, (Assumptions!$B$7)*12, IF((HLOOKUP(AF$2,Earnings!$G$2:$BC$81,('Yearly Pension'!$A74)+1, FALSE)) &gt; AF$1, (Assumptions!$B$8)*(AF$1) + (Assumptions!$B$9)*MAX(0,  (HLOOKUP(AF$2,Earnings!$G$2:$BC$81,('Yearly Pension'!$A74)+1, FALSE)) - AF$1), ((Assumptions!$B$8)*'Yearly Pension'!AF$1))))</f>
        <v>1138.0548601674491</v>
      </c>
      <c r="AG74" s="6">
        <f>(HLOOKUP('Yearly Pension'!AG$2,'Credited Service'!$G$1:$BC$80,$A74+1,FALSE)) * (IF($B74=500, (Assumptions!$B$7)*12, IF((HLOOKUP(AG$2,Earnings!$G$2:$BC$81,('Yearly Pension'!$A74)+1, FALSE)) &gt; AG$1, (Assumptions!$B$8)*(AG$1) + (Assumptions!$B$9)*MAX(0,  (HLOOKUP(AG$2,Earnings!$G$2:$BC$81,('Yearly Pension'!$A74)+1, FALSE)) - AG$1), ((Assumptions!$B$8)*'Yearly Pension'!AG$1))))</f>
        <v>1188.4666545741472</v>
      </c>
      <c r="AH74" s="6">
        <f>(HLOOKUP('Yearly Pension'!AH$2,'Credited Service'!$G$1:$BC$80,$A74+1,FALSE)) * (IF($B74=500, (Assumptions!$B$7)*12, IF((HLOOKUP(AH$2,Earnings!$G$2:$BC$81,('Yearly Pension'!$A74)+1, FALSE)) &gt; AH$1, (Assumptions!$B$8)*(AH$1) + (Assumptions!$B$9)*MAX(0,  (HLOOKUP(AH$2,Earnings!$G$2:$BC$81,('Yearly Pension'!$A74)+1, FALSE)) - AH$1), ((Assumptions!$B$8)*'Yearly Pension'!AH$1))))</f>
        <v>1242.3797207571133</v>
      </c>
      <c r="AI74" s="6">
        <f>(HLOOKUP('Yearly Pension'!AI$2,'Credited Service'!$G$1:$BC$80,$A74+1,FALSE)) * (IF($B74=500, (Assumptions!$B$7)*12, IF((HLOOKUP(AI$2,Earnings!$G$2:$BC$81,('Yearly Pension'!$A74)+1, FALSE)) &gt; AI$1, (Assumptions!$B$8)*(AI$1) + (Assumptions!$B$9)*MAX(0,  (HLOOKUP(AI$2,Earnings!$G$2:$BC$81,('Yearly Pension'!$A74)+1, FALSE)) - AI$1), ((Assumptions!$B$8)*'Yearly Pension'!AI$1))))</f>
        <v>1298.6029095873978</v>
      </c>
      <c r="AJ74" s="6">
        <f>(HLOOKUP('Yearly Pension'!AJ$2,'Credited Service'!$G$1:$BC$80,$A74+1,FALSE)) * (IF($B74=500, (Assumptions!$B$7)*12, IF((HLOOKUP(AJ$2,Earnings!$G$2:$BC$81,('Yearly Pension'!$A74)+1, FALSE)) &gt; AJ$1, (Assumptions!$B$8)*(AJ$1) + (Assumptions!$B$9)*MAX(0,  (HLOOKUP(AJ$2,Earnings!$G$2:$BC$81,('Yearly Pension'!$A74)+1, FALSE)) - AJ$1), ((Assumptions!$B$8)*'Yearly Pension'!AJ$1))))</f>
        <v>1354.6686259708936</v>
      </c>
      <c r="AK74" s="6">
        <f>(HLOOKUP('Yearly Pension'!AK$2,'Credited Service'!$G$1:$BC$80,$A74+1,FALSE)) * (IF($B74=500, (Assumptions!$B$7)*12, IF((HLOOKUP(AK$2,Earnings!$G$2:$BC$81,('Yearly Pension'!$A74)+1, FALSE)) &gt; AK$1, (Assumptions!$B$8)*(AK$1) + (Assumptions!$B$9)*MAX(0,  (HLOOKUP(AK$2,Earnings!$G$2:$BC$81,('Yearly Pension'!$A74)+1, FALSE)) - AK$1), ((Assumptions!$B$8)*'Yearly Pension'!AK$1))))</f>
        <v>1409.3929710097295</v>
      </c>
      <c r="AL74" s="6">
        <f>(HLOOKUP('Yearly Pension'!AL$2,'Credited Service'!$G$1:$BC$80,$A74+1,FALSE)) * (IF($B74=500, (Assumptions!$B$7)*12, IF((HLOOKUP(AL$2,Earnings!$G$2:$BC$81,('Yearly Pension'!$A74)+1, FALSE)) &gt; AL$1, (Assumptions!$B$8)*(AL$1) + (Assumptions!$B$9)*MAX(0,  (HLOOKUP(AL$2,Earnings!$G$2:$BC$81,('Yearly Pension'!$A74)+1, FALSE)) - AL$1), ((Assumptions!$B$8)*'Yearly Pension'!AL$1))))</f>
        <v>1469.2758898501188</v>
      </c>
      <c r="AM74" s="6">
        <f>(HLOOKUP('Yearly Pension'!AM$2,'Credited Service'!$G$1:$BC$80,$A74+1,FALSE)) * (IF($B74=500, (Assumptions!$B$7)*12, IF((HLOOKUP(AM$2,Earnings!$G$2:$BC$81,('Yearly Pension'!$A74)+1, FALSE)) &gt; AM$1, (Assumptions!$B$8)*(AM$1) + (Assumptions!$B$9)*MAX(0,  (HLOOKUP(AM$2,Earnings!$G$2:$BC$81,('Yearly Pension'!$A74)+1, FALSE)) - AM$1), ((Assumptions!$B$8)*'Yearly Pension'!AM$1))))</f>
        <v>1530.5813254441236</v>
      </c>
      <c r="AN74" s="6">
        <f>(HLOOKUP('Yearly Pension'!AN$2,'Credited Service'!$G$1:$BC$80,$A74+1,FALSE)) * (IF($B74=500, (Assumptions!$B$7)*12, IF((HLOOKUP(AN$2,Earnings!$G$2:$BC$81,('Yearly Pension'!$A74)+1, FALSE)) &gt; AN$1, (Assumptions!$B$8)*(AN$1) + (Assumptions!$B$9)*MAX(0,  (HLOOKUP(AN$2,Earnings!$G$2:$BC$81,('Yearly Pension'!$A74)+1, FALSE)) - AN$1), ((Assumptions!$B$8)*'Yearly Pension'!AN$1))))</f>
        <v>1597.8973784618886</v>
      </c>
      <c r="AO74" s="6">
        <f>(HLOOKUP('Yearly Pension'!AO$2,'Credited Service'!$G$1:$BC$80,$A74+1,FALSE)) * (IF($B74=500, (Assumptions!$B$7)*12, IF((HLOOKUP(AO$2,Earnings!$G$2:$BC$81,('Yearly Pension'!$A74)+1, FALSE)) &gt; AO$1, (Assumptions!$B$8)*(AO$1) + (Assumptions!$B$9)*MAX(0,  (HLOOKUP(AO$2,Earnings!$G$2:$BC$81,('Yearly Pension'!$A74)+1, FALSE)) - AO$1), ((Assumptions!$B$8)*'Yearly Pension'!AO$1))))</f>
        <v>1666.8564736003641</v>
      </c>
      <c r="AP74" s="6">
        <f>(HLOOKUP('Yearly Pension'!AP$2,'Credited Service'!$G$1:$BC$80,$A74+1,FALSE)) * (IF($B74=500, (Assumptions!$B$7)*12, IF((HLOOKUP(AP$2,Earnings!$G$2:$BC$81,('Yearly Pension'!$A74)+1, FALSE)) &gt; AP$1, (Assumptions!$B$8)*(AP$1) + (Assumptions!$B$9)*MAX(0,  (HLOOKUP(AP$2,Earnings!$G$2:$BC$81,('Yearly Pension'!$A74)+1, FALSE)) - AP$1), ((Assumptions!$B$8)*'Yearly Pension'!AP$1))))</f>
        <v>1734.3755325443785</v>
      </c>
      <c r="AQ74" s="6">
        <f>(HLOOKUP('Yearly Pension'!AQ$2,'Credited Service'!$G$1:$BC$80,$A74+1,FALSE)) * (IF($B74=500, (Assumptions!$B$7)*12, IF((HLOOKUP(AQ$2,Earnings!$G$2:$BC$81,('Yearly Pension'!$A74)+1, FALSE)) &gt; AQ$1, (Assumptions!$B$8)*(AQ$1) + (Assumptions!$B$9)*MAX(0,  (HLOOKUP(AQ$2,Earnings!$G$2:$BC$81,('Yearly Pension'!$A74)+1, FALSE)) - AQ$1), ((Assumptions!$B$8)*'Yearly Pension'!AQ$1))))</f>
        <v>1810.1761538461537</v>
      </c>
      <c r="AR74" s="6">
        <f>(HLOOKUP('Yearly Pension'!AR$2,'Credited Service'!$G$1:$BC$80,$A74+1,FALSE)) * (IF($B74=500, (Assumptions!$B$7)*12, IF((HLOOKUP(AR$2,Earnings!$G$2:$BC$81,('Yearly Pension'!$A74)+1, FALSE)) &gt; AR$1, (Assumptions!$B$8)*(AR$1) + (Assumptions!$B$9)*MAX(0,  (HLOOKUP(AR$2,Earnings!$G$2:$BC$81,('Yearly Pension'!$A74)+1, FALSE)) - AR$1), ((Assumptions!$B$8)*'Yearly Pension'!AR$1))))</f>
        <v>1886.7048000000002</v>
      </c>
      <c r="AS74" s="6">
        <f>(HLOOKUP('Yearly Pension'!AS$2,'Credited Service'!$G$1:$BC$80,$A74+1,FALSE)) * (IF($B74=500, (Assumptions!$B$7)*12, IF((HLOOKUP(AS$2,Earnings!$G$2:$BC$81,('Yearly Pension'!$A74)+1, FALSE)) &gt; AS$1, (Assumptions!$B$8)*(AS$1) + (Assumptions!$B$9)*MAX(0,  (HLOOKUP(AS$2,Earnings!$G$2:$BC$81,('Yearly Pension'!$A74)+1, FALSE)) - AS$1), ((Assumptions!$B$8)*'Yearly Pension'!AS$1))))</f>
        <v>1946.3459440000001</v>
      </c>
      <c r="AT74" s="6">
        <f>(HLOOKUP('Yearly Pension'!AT$2,'Credited Service'!$G$1:$BC$80,$A74+1,FALSE)) * (IF($B74=500, (Assumptions!$B$7)*12, IF((HLOOKUP(AT$2,Earnings!$G$2:$BC$81,('Yearly Pension'!$A74)+1, FALSE)) &gt; AT$1, (Assumptions!$B$8)*(AT$1) + (Assumptions!$B$9)*MAX(0,  (HLOOKUP(AT$2,Earnings!$G$2:$BC$81,('Yearly Pension'!$A74)+1, FALSE)) - AT$1), ((Assumptions!$B$8)*'Yearly Pension'!AT$1))))</f>
        <v>2006.7075223200004</v>
      </c>
      <c r="AU74" s="6">
        <f>(HLOOKUP('Yearly Pension'!AU$2,'Credited Service'!$G$1:$BC$80,$A74+1,FALSE)) * (IF($B74=500, (Assumptions!$B$7)*12, IF((HLOOKUP(AU$2,Earnings!$G$2:$BC$81,('Yearly Pension'!$A74)+1, FALSE)) &gt; AU$1, (Assumptions!$B$8)*(AU$1) + (Assumptions!$B$9)*MAX(0,  (HLOOKUP(AU$2,Earnings!$G$2:$BC$81,('Yearly Pension'!$A74)+1, FALSE)) - AU$1), ((Assumptions!$B$8)*'Yearly Pension'!AU$1))))</f>
        <v>2074.8895479896</v>
      </c>
      <c r="AV74" s="6">
        <f>(HLOOKUP('Yearly Pension'!AV$2,'Credited Service'!$G$1:$BC$80,$A74+1,FALSE)) * (IF($B74=500, (Assumptions!$B$7)*12, IF((HLOOKUP(AV$2,Earnings!$G$2:$BC$81,('Yearly Pension'!$A74)+1, FALSE)) &gt; AV$1, (Assumptions!$B$8)*(AV$1) + (Assumptions!$B$9)*MAX(0,  (HLOOKUP(AV$2,Earnings!$G$2:$BC$81,('Yearly Pension'!$A74)+1, FALSE)) - AV$1), ((Assumptions!$B$8)*'Yearly Pension'!AV$1))))</f>
        <v>2143.9138344292887</v>
      </c>
      <c r="AW74" s="6">
        <f>(HLOOKUP('Yearly Pension'!AW$2,'Credited Service'!$G$1:$BC$80,$A74+1,FALSE)) * (IF($B74=500, (Assumptions!$B$7)*12, IF((HLOOKUP(AW$2,Earnings!$G$2:$BC$81,('Yearly Pension'!$A74)+1, FALSE)) &gt; AW$1, (Assumptions!$B$8)*(AW$1) + (Assumptions!$B$9)*MAX(0,  (HLOOKUP(AW$2,Earnings!$G$2:$BC$81,('Yearly Pension'!$A74)+1, FALSE)) - AW$1), ((Assumptions!$B$8)*'Yearly Pension'!AW$1))))</f>
        <v>2209.3640494621673</v>
      </c>
      <c r="AX74" s="6">
        <f>(HLOOKUP('Yearly Pension'!AX$2,'Credited Service'!$G$1:$BC$80,$A74+1,FALSE)) * (IF($B74=500, (Assumptions!$B$7)*12, IF((HLOOKUP(AX$2,Earnings!$G$2:$BC$81,('Yearly Pension'!$A74)+1, FALSE)) &gt; AX$1, (Assumptions!$B$8)*(AX$1) + (Assumptions!$B$9)*MAX(0,  (HLOOKUP(AX$2,Earnings!$G$2:$BC$81,('Yearly Pension'!$A74)+1, FALSE)) - AX$1), ((Assumptions!$B$8)*'Yearly Pension'!AX$1))))</f>
        <v>2271.971370946032</v>
      </c>
      <c r="AY74" s="6">
        <f>(HLOOKUP('Yearly Pension'!AY$2,'Credited Service'!$G$1:$BC$80,$A74+1,FALSE)) * (IF($B74=500, (Assumptions!$B$7)*12, IF((HLOOKUP(AY$2,Earnings!$G$2:$BC$81,('Yearly Pension'!$A74)+1, FALSE)) &gt; AY$1, (Assumptions!$B$8)*(AY$1) + (Assumptions!$B$9)*MAX(0,  (HLOOKUP(AY$2,Earnings!$G$2:$BC$81,('Yearly Pension'!$A74)+1, FALSE)) - AY$1), ((Assumptions!$B$8)*'Yearly Pension'!AY$1))))</f>
        <v>2336.3099680744135</v>
      </c>
      <c r="AZ74" s="6">
        <f>(HLOOKUP('Yearly Pension'!AZ$2,'Credited Service'!$G$1:$BC$80,$A74+1,FALSE)) * (IF($B74=500, (Assumptions!$B$7)*12, IF((HLOOKUP(AZ$2,Earnings!$G$2:$BC$81,('Yearly Pension'!$A74)+1, FALSE)) &gt; AZ$1, (Assumptions!$B$8)*(AZ$1) + (Assumptions!$B$9)*MAX(0,  (HLOOKUP(AZ$2,Earnings!$G$2:$BC$81,('Yearly Pension'!$A74)+1, FALSE)) - AZ$1), ((Assumptions!$B$8)*'Yearly Pension'!AZ$1))))</f>
        <v>2402.4259013566457</v>
      </c>
      <c r="BA74" s="6">
        <f>(HLOOKUP('Yearly Pension'!BA$2,'Credited Service'!$G$1:$BC$80,$A74+1,FALSE)) * (IF($B74=500, (Assumptions!$B$7)*12, IF((HLOOKUP(BA$2,Earnings!$G$2:$BC$81,('Yearly Pension'!$A74)+1, FALSE)) &gt; BA$1, (Assumptions!$B$8)*(BA$1) + (Assumptions!$B$9)*MAX(0,  (HLOOKUP(BA$2,Earnings!$G$2:$BC$81,('Yearly Pension'!$A74)+1, FALSE)) - BA$1), ((Assumptions!$B$8)*'Yearly Pension'!BA$1))))</f>
        <v>2470.3663780069451</v>
      </c>
      <c r="BB74" s="6">
        <f>(HLOOKUP('Yearly Pension'!BB$2,'Credited Service'!$G$1:$BC$80,$A74+1,FALSE)) * (IF($B74=500, (Assumptions!$B$7)*12, IF((HLOOKUP(BB$2,Earnings!$G$2:$BC$81,('Yearly Pension'!$A74)+1, FALSE)) &gt; BB$1, (Assumptions!$B$8)*(BB$1) + (Assumptions!$B$9)*MAX(0,  (HLOOKUP(BB$2,Earnings!$G$2:$BC$81,('Yearly Pension'!$A74)+1, FALSE)) - BB$1), ((Assumptions!$B$8)*'Yearly Pension'!BB$1))))</f>
        <v>2540.1797769411378</v>
      </c>
      <c r="BC74" s="6">
        <f>(HLOOKUP('Yearly Pension'!BC$2,'Credited Service'!$G$1:$BC$80,$A74+1,FALSE)) * (IF($B74=500, (Assumptions!$B$7)*12, IF((HLOOKUP(BC$2,Earnings!$G$2:$BC$81,('Yearly Pension'!$A74)+1, FALSE)) &gt; BC$1, (Assumptions!$B$8)*(BC$1) + (Assumptions!$B$9)*MAX(0,  (HLOOKUP(BC$2,Earnings!$G$2:$BC$81,('Yearly Pension'!$A74)+1, FALSE)) - BC$1), ((Assumptions!$B$8)*'Yearly Pension'!BC$1))))</f>
        <v>435.31927902451912</v>
      </c>
    </row>
    <row r="75" spans="1:55" x14ac:dyDescent="0.25">
      <c r="A75" s="204">
        <v>73</v>
      </c>
      <c r="B75" s="1">
        <v>600</v>
      </c>
      <c r="C75" s="1">
        <v>481</v>
      </c>
      <c r="D75" s="3">
        <v>30816</v>
      </c>
      <c r="E75" s="3">
        <v>44440</v>
      </c>
      <c r="G75" s="6">
        <f>(HLOOKUP('Yearly Pension'!G$2,'Credited Service'!$G$1:$BC$80,$A75+1,FALSE)) * (IF($B75=500, (Assumptions!$B$7)*12, IF((HLOOKUP(G$2,Earnings!$G$2:$BC$81,('Yearly Pension'!$A75)+1, FALSE)) &gt; G$1, (Assumptions!$B$8)*(G$1) + (Assumptions!$B$9)*MAX(0,  (HLOOKUP(G$2,Earnings!$G$2:$BC$81,('Yearly Pension'!$A75)+1, FALSE)) - G$1), ((Assumptions!$B$8)*'Yearly Pension'!G$1))))</f>
        <v>0</v>
      </c>
      <c r="H75" s="6">
        <f>(HLOOKUP('Yearly Pension'!H$2,'Credited Service'!$G$1:$BC$80,$A75+1,FALSE)) * (IF($B75=500, (Assumptions!$B$7)*12, IF((HLOOKUP(H$2,Earnings!$G$2:$BC$81,('Yearly Pension'!$A75)+1, FALSE)) &gt; H$1, (Assumptions!$B$8)*(H$1) + (Assumptions!$B$9)*MAX(0,  (HLOOKUP(H$2,Earnings!$G$2:$BC$81,('Yearly Pension'!$A75)+1, FALSE)) - H$1), ((Assumptions!$B$8)*'Yearly Pension'!H$1))))</f>
        <v>0</v>
      </c>
      <c r="I75" s="6">
        <f>(HLOOKUP('Yearly Pension'!I$2,'Credited Service'!$G$1:$BC$80,$A75+1,FALSE)) * (IF($B75=500, (Assumptions!$B$7)*12, IF((HLOOKUP(I$2,Earnings!$G$2:$BC$81,('Yearly Pension'!$A75)+1, FALSE)) &gt; I$1, (Assumptions!$B$8)*(I$1) + (Assumptions!$B$9)*MAX(0,  (HLOOKUP(I$2,Earnings!$G$2:$BC$81,('Yearly Pension'!$A75)+1, FALSE)) - I$1), ((Assumptions!$B$8)*'Yearly Pension'!I$1))))</f>
        <v>0</v>
      </c>
      <c r="J75" s="6">
        <f>(HLOOKUP('Yearly Pension'!J$2,'Credited Service'!$G$1:$BC$80,$A75+1,FALSE)) * (IF($B75=500, (Assumptions!$B$7)*12, IF((HLOOKUP(J$2,Earnings!$G$2:$BC$81,('Yearly Pension'!$A75)+1, FALSE)) &gt; J$1, (Assumptions!$B$8)*(J$1) + (Assumptions!$B$9)*MAX(0,  (HLOOKUP(J$2,Earnings!$G$2:$BC$81,('Yearly Pension'!$A75)+1, FALSE)) - J$1), ((Assumptions!$B$8)*'Yearly Pension'!J$1))))</f>
        <v>0</v>
      </c>
      <c r="K75" s="6">
        <f>(HLOOKUP('Yearly Pension'!K$2,'Credited Service'!$G$1:$BC$80,$A75+1,FALSE)) * (IF($B75=500, (Assumptions!$B$7)*12, IF((HLOOKUP(K$2,Earnings!$G$2:$BC$81,('Yearly Pension'!$A75)+1, FALSE)) &gt; K$1, (Assumptions!$B$8)*(K$1) + (Assumptions!$B$9)*MAX(0,  (HLOOKUP(K$2,Earnings!$G$2:$BC$81,('Yearly Pension'!$A75)+1, FALSE)) - K$1), ((Assumptions!$B$8)*'Yearly Pension'!K$1))))</f>
        <v>0</v>
      </c>
      <c r="L75" s="6">
        <f>(HLOOKUP('Yearly Pension'!L$2,'Credited Service'!$G$1:$BC$80,$A75+1,FALSE)) * (IF($B75=500, (Assumptions!$B$7)*12, IF((HLOOKUP(L$2,Earnings!$G$2:$BC$81,('Yearly Pension'!$A75)+1, FALSE)) &gt; L$1, (Assumptions!$B$8)*(L$1) + (Assumptions!$B$9)*MAX(0,  (HLOOKUP(L$2,Earnings!$G$2:$BC$81,('Yearly Pension'!$A75)+1, FALSE)) - L$1), ((Assumptions!$B$8)*'Yearly Pension'!L$1))))</f>
        <v>0</v>
      </c>
      <c r="M75" s="6">
        <f>(HLOOKUP('Yearly Pension'!M$2,'Credited Service'!$G$1:$BC$80,$A75+1,FALSE)) * (IF($B75=500, (Assumptions!$B$7)*12, IF((HLOOKUP(M$2,Earnings!$G$2:$BC$81,('Yearly Pension'!$A75)+1, FALSE)) &gt; M$1, (Assumptions!$B$8)*(M$1) + (Assumptions!$B$9)*MAX(0,  (HLOOKUP(M$2,Earnings!$G$2:$BC$81,('Yearly Pension'!$A75)+1, FALSE)) - M$1), ((Assumptions!$B$8)*'Yearly Pension'!M$1))))</f>
        <v>0</v>
      </c>
      <c r="N75" s="6">
        <f>(HLOOKUP('Yearly Pension'!N$2,'Credited Service'!$G$1:$BC$80,$A75+1,FALSE)) * (IF($B75=500, (Assumptions!$B$7)*12, IF((HLOOKUP(N$2,Earnings!$G$2:$BC$81,('Yearly Pension'!$A75)+1, FALSE)) &gt; N$1, (Assumptions!$B$8)*(N$1) + (Assumptions!$B$9)*MAX(0,  (HLOOKUP(N$2,Earnings!$G$2:$BC$81,('Yearly Pension'!$A75)+1, FALSE)) - N$1), ((Assumptions!$B$8)*'Yearly Pension'!N$1))))</f>
        <v>325.07269062610493</v>
      </c>
      <c r="O75" s="6">
        <f>(HLOOKUP('Yearly Pension'!O$2,'Credited Service'!$G$1:$BC$80,$A75+1,FALSE)) * (IF($B75=500, (Assumptions!$B$7)*12, IF((HLOOKUP(O$2,Earnings!$G$2:$BC$81,('Yearly Pension'!$A75)+1, FALSE)) &gt; O$1, (Assumptions!$B$8)*(O$1) + (Assumptions!$B$9)*MAX(0,  (HLOOKUP(O$2,Earnings!$G$2:$BC$81,('Yearly Pension'!$A75)+1, FALSE)) - O$1), ((Assumptions!$B$8)*'Yearly Pension'!O$1))))</f>
        <v>568.2429684305414</v>
      </c>
      <c r="P75" s="6">
        <f>(HLOOKUP('Yearly Pension'!P$2,'Credited Service'!$G$1:$BC$80,$A75+1,FALSE)) * (IF($B75=500, (Assumptions!$B$7)*12, IF((HLOOKUP(P$2,Earnings!$G$2:$BC$81,('Yearly Pension'!$A75)+1, FALSE)) &gt; P$1, (Assumptions!$B$8)*(P$1) + (Assumptions!$B$9)*MAX(0,  (HLOOKUP(P$2,Earnings!$G$2:$BC$81,('Yearly Pension'!$A75)+1, FALSE)) - P$1), ((Assumptions!$B$8)*'Yearly Pension'!P$1))))</f>
        <v>581.60308716776296</v>
      </c>
      <c r="Q75" s="6">
        <f>(HLOOKUP('Yearly Pension'!Q$2,'Credited Service'!$G$1:$BC$80,$A75+1,FALSE)) * (IF($B75=500, (Assumptions!$B$7)*12, IF((HLOOKUP(Q$2,Earnings!$G$2:$BC$81,('Yearly Pension'!$A75)+1, FALSE)) &gt; Q$1, (Assumptions!$B$8)*(Q$1) + (Assumptions!$B$9)*MAX(0,  (HLOOKUP(Q$2,Earnings!$G$2:$BC$81,('Yearly Pension'!$A75)+1, FALSE)) - Q$1), ((Assumptions!$B$8)*'Yearly Pension'!Q$1))))</f>
        <v>610.83201065447349</v>
      </c>
      <c r="R75" s="6">
        <f>(HLOOKUP('Yearly Pension'!R$2,'Credited Service'!$G$1:$BC$80,$A75+1,FALSE)) * (IF($B75=500, (Assumptions!$B$7)*12, IF((HLOOKUP(R$2,Earnings!$G$2:$BC$81,('Yearly Pension'!$A75)+1, FALSE)) &gt; R$1, (Assumptions!$B$8)*(R$1) + (Assumptions!$B$9)*MAX(0,  (HLOOKUP(R$2,Earnings!$G$2:$BC$81,('Yearly Pension'!$A75)+1, FALSE)) - R$1), ((Assumptions!$B$8)*'Yearly Pension'!R$1))))</f>
        <v>638.05569108065242</v>
      </c>
      <c r="S75" s="6">
        <f>(HLOOKUP('Yearly Pension'!S$2,'Credited Service'!$G$1:$BC$80,$A75+1,FALSE)) * (IF($B75=500, (Assumptions!$B$7)*12, IF((HLOOKUP(S$2,Earnings!$G$2:$BC$81,('Yearly Pension'!$A75)+1, FALSE)) &gt; S$1, (Assumptions!$B$8)*(S$1) + (Assumptions!$B$9)*MAX(0,  (HLOOKUP(S$2,Earnings!$G$2:$BC$81,('Yearly Pension'!$A75)+1, FALSE)) - S$1), ((Assumptions!$B$8)*'Yearly Pension'!S$1))))</f>
        <v>662.68191872387865</v>
      </c>
      <c r="T75" s="6">
        <f>(HLOOKUP('Yearly Pension'!T$2,'Credited Service'!$G$1:$BC$80,$A75+1,FALSE)) * (IF($B75=500, (Assumptions!$B$7)*12, IF((HLOOKUP(T$2,Earnings!$G$2:$BC$81,('Yearly Pension'!$A75)+1, FALSE)) &gt; T$1, (Assumptions!$B$8)*(T$1) + (Assumptions!$B$9)*MAX(0,  (HLOOKUP(T$2,Earnings!$G$2:$BC$81,('Yearly Pension'!$A75)+1, FALSE)) - T$1), ((Assumptions!$B$8)*'Yearly Pension'!T$1))))</f>
        <v>688.60039547283372</v>
      </c>
      <c r="U75" s="6">
        <f>(HLOOKUP('Yearly Pension'!U$2,'Credited Service'!$G$1:$BC$80,$A75+1,FALSE)) * (IF($B75=500, (Assumptions!$B$7)*12, IF((HLOOKUP(U$2,Earnings!$G$2:$BC$81,('Yearly Pension'!$A75)+1, FALSE)) &gt; U$1, (Assumptions!$B$8)*(U$1) + (Assumptions!$B$9)*MAX(0,  (HLOOKUP(U$2,Earnings!$G$2:$BC$81,('Yearly Pension'!$A75)+1, FALSE)) - U$1), ((Assumptions!$B$8)*'Yearly Pension'!U$1))))</f>
        <v>713.30281129174716</v>
      </c>
      <c r="V75" s="6">
        <f>(HLOOKUP('Yearly Pension'!V$2,'Credited Service'!$G$1:$BC$80,$A75+1,FALSE)) * (IF($B75=500, (Assumptions!$B$7)*12, IF((HLOOKUP(V$2,Earnings!$G$2:$BC$81,('Yearly Pension'!$A75)+1, FALSE)) &gt; V$1, (Assumptions!$B$8)*(V$1) + (Assumptions!$B$9)*MAX(0,  (HLOOKUP(V$2,Earnings!$G$2:$BC$81,('Yearly Pension'!$A75)+1, FALSE)) - V$1), ((Assumptions!$B$8)*'Yearly Pension'!V$1))))</f>
        <v>738.76292374341699</v>
      </c>
      <c r="W75" s="6">
        <f>(HLOOKUP('Yearly Pension'!W$2,'Credited Service'!$G$1:$BC$80,$A75+1,FALSE)) * (IF($B75=500, (Assumptions!$B$7)*12, IF((HLOOKUP(W$2,Earnings!$G$2:$BC$81,('Yearly Pension'!$A75)+1, FALSE)) &gt; W$1, (Assumptions!$B$8)*(W$1) + (Assumptions!$B$9)*MAX(0,  (HLOOKUP(W$2,Earnings!$G$2:$BC$81,('Yearly Pension'!$A75)+1, FALSE)) - W$1), ((Assumptions!$B$8)*'Yearly Pension'!W$1))))</f>
        <v>768.87664069315372</v>
      </c>
      <c r="X75" s="6">
        <f>(HLOOKUP('Yearly Pension'!X$2,'Credited Service'!$G$1:$BC$80,$A75+1,FALSE)) * (IF($B75=500, (Assumptions!$B$7)*12, IF((HLOOKUP(X$2,Earnings!$G$2:$BC$81,('Yearly Pension'!$A75)+1, FALSE)) &gt; X$1, (Assumptions!$B$8)*(X$1) + (Assumptions!$B$9)*MAX(0,  (HLOOKUP(X$2,Earnings!$G$2:$BC$81,('Yearly Pension'!$A75)+1, FALSE)) - X$1), ((Assumptions!$B$8)*'Yearly Pension'!X$1))))</f>
        <v>801.78210632087996</v>
      </c>
      <c r="Y75" s="6">
        <f>(HLOOKUP('Yearly Pension'!Y$2,'Credited Service'!$G$1:$BC$80,$A75+1,FALSE)) * (IF($B75=500, (Assumptions!$B$7)*12, IF((HLOOKUP(Y$2,Earnings!$G$2:$BC$81,('Yearly Pension'!$A75)+1, FALSE)) &gt; Y$1, (Assumptions!$B$8)*(Y$1) + (Assumptions!$B$9)*MAX(0,  (HLOOKUP(Y$2,Earnings!$G$2:$BC$81,('Yearly Pension'!$A75)+1, FALSE)) - Y$1), ((Assumptions!$B$8)*'Yearly Pension'!Y$1))))</f>
        <v>839.45979057371505</v>
      </c>
      <c r="Z75" s="6">
        <f>(HLOOKUP('Yearly Pension'!Z$2,'Credited Service'!$G$1:$BC$80,$A75+1,FALSE)) * (IF($B75=500, (Assumptions!$B$7)*12, IF((HLOOKUP(Z$2,Earnings!$G$2:$BC$81,('Yearly Pension'!$A75)+1, FALSE)) &gt; Z$1, (Assumptions!$B$8)*(Z$1) + (Assumptions!$B$9)*MAX(0,  (HLOOKUP(Z$2,Earnings!$G$2:$BC$81,('Yearly Pension'!$A75)+1, FALSE)) - Z$1), ((Assumptions!$B$8)*'Yearly Pension'!Z$1))))</f>
        <v>878.77258219666373</v>
      </c>
      <c r="AA75" s="6">
        <f>(HLOOKUP('Yearly Pension'!AA$2,'Credited Service'!$G$1:$BC$80,$A75+1,FALSE)) * (IF($B75=500, (Assumptions!$B$7)*12, IF((HLOOKUP(AA$2,Earnings!$G$2:$BC$81,('Yearly Pension'!$A75)+1, FALSE)) &gt; AA$1, (Assumptions!$B$8)*(AA$1) + (Assumptions!$B$9)*MAX(0,  (HLOOKUP(AA$2,Earnings!$G$2:$BC$81,('Yearly Pension'!$A75)+1, FALSE)) - AA$1), ((Assumptions!$B$8)*'Yearly Pension'!AA$1))))</f>
        <v>920.42588548453023</v>
      </c>
      <c r="AB75" s="6">
        <f>(HLOOKUP('Yearly Pension'!AB$2,'Credited Service'!$G$1:$BC$80,$A75+1,FALSE)) * (IF($B75=500, (Assumptions!$B$7)*12, IF((HLOOKUP(AB$2,Earnings!$G$2:$BC$81,('Yearly Pension'!$A75)+1, FALSE)) &gt; AB$1, (Assumptions!$B$8)*(AB$1) + (Assumptions!$B$9)*MAX(0,  (HLOOKUP(AB$2,Earnings!$G$2:$BC$81,('Yearly Pension'!$A75)+1, FALSE)) - AB$1), ((Assumptions!$B$8)*'Yearly Pension'!AB$1))))</f>
        <v>959.3677209039115</v>
      </c>
      <c r="AC75" s="6">
        <f>(HLOOKUP('Yearly Pension'!AC$2,'Credited Service'!$G$1:$BC$80,$A75+1,FALSE)) * (IF($B75=500, (Assumptions!$B$7)*12, IF((HLOOKUP(AC$2,Earnings!$G$2:$BC$81,('Yearly Pension'!$A75)+1, FALSE)) &gt; AC$1, (Assumptions!$B$8)*(AC$1) + (Assumptions!$B$9)*MAX(0,  (HLOOKUP(AC$2,Earnings!$G$2:$BC$81,('Yearly Pension'!$A75)+1, FALSE)) - AC$1), ((Assumptions!$B$8)*'Yearly Pension'!AC$1))))</f>
        <v>1003.988829740068</v>
      </c>
      <c r="AD75" s="6">
        <f>(HLOOKUP('Yearly Pension'!AD$2,'Credited Service'!$G$1:$BC$80,$A75+1,FALSE)) * (IF($B75=500, (Assumptions!$B$7)*12, IF((HLOOKUP(AD$2,Earnings!$G$2:$BC$81,('Yearly Pension'!$A75)+1, FALSE)) &gt; AD$1, (Assumptions!$B$8)*(AD$1) + (Assumptions!$B$9)*MAX(0,  (HLOOKUP(AD$2,Earnings!$G$2:$BC$81,('Yearly Pension'!$A75)+1, FALSE)) - AD$1), ((Assumptions!$B$8)*'Yearly Pension'!AD$1))))</f>
        <v>1052.4427829296708</v>
      </c>
      <c r="AE75" s="6">
        <f>(HLOOKUP('Yearly Pension'!AE$2,'Credited Service'!$G$1:$BC$80,$A75+1,FALSE)) * (IF($B75=500, (Assumptions!$B$7)*12, IF((HLOOKUP(AE$2,Earnings!$G$2:$BC$81,('Yearly Pension'!$A75)+1, FALSE)) &gt; AE$1, (Assumptions!$B$8)*(AE$1) + (Assumptions!$B$9)*MAX(0,  (HLOOKUP(AE$2,Earnings!$G$2:$BC$81,('Yearly Pension'!$A75)+1, FALSE)) - AE$1), ((Assumptions!$B$8)*'Yearly Pension'!AE$1))))</f>
        <v>1099.6860942468577</v>
      </c>
      <c r="AF75" s="6">
        <f>(HLOOKUP('Yearly Pension'!AF$2,'Credited Service'!$G$1:$BC$80,$A75+1,FALSE)) * (IF($B75=500, (Assumptions!$B$7)*12, IF((HLOOKUP(AF$2,Earnings!$G$2:$BC$81,('Yearly Pension'!$A75)+1, FALSE)) &gt; AF$1, (Assumptions!$B$8)*(AF$1) + (Assumptions!$B$9)*MAX(0,  (HLOOKUP(AF$2,Earnings!$G$2:$BC$81,('Yearly Pension'!$A75)+1, FALSE)) - AF$1), ((Assumptions!$B$8)*'Yearly Pension'!AF$1))))</f>
        <v>1148.358338016732</v>
      </c>
      <c r="AG75" s="6">
        <f>(HLOOKUP('Yearly Pension'!AG$2,'Credited Service'!$G$1:$BC$80,$A75+1,FALSE)) * (IF($B75=500, (Assumptions!$B$7)*12, IF((HLOOKUP(AG$2,Earnings!$G$2:$BC$81,('Yearly Pension'!$A75)+1, FALSE)) &gt; AG$1, (Assumptions!$B$8)*(AG$1) + (Assumptions!$B$9)*MAX(0,  (HLOOKUP(AG$2,Earnings!$G$2:$BC$81,('Yearly Pension'!$A75)+1, FALSE)) - AG$1), ((Assumptions!$B$8)*'Yearly Pension'!AG$1))))</f>
        <v>1199.1822715374012</v>
      </c>
      <c r="AH75" s="6">
        <f>(HLOOKUP('Yearly Pension'!AH$2,'Credited Service'!$G$1:$BC$80,$A75+1,FALSE)) * (IF($B75=500, (Assumptions!$B$7)*12, IF((HLOOKUP(AH$2,Earnings!$G$2:$BC$81,('Yearly Pension'!$A75)+1, FALSE)) &gt; AH$1, (Assumptions!$B$8)*(AH$1) + (Assumptions!$B$9)*MAX(0,  (HLOOKUP(AH$2,Earnings!$G$2:$BC$81,('Yearly Pension'!$A75)+1, FALSE)) - AH$1), ((Assumptions!$B$8)*'Yearly Pension'!AH$1))))</f>
        <v>1253.5239623988973</v>
      </c>
      <c r="AI75" s="6">
        <f>(HLOOKUP('Yearly Pension'!AI$2,'Credited Service'!$G$1:$BC$80,$A75+1,FALSE)) * (IF($B75=500, (Assumptions!$B$7)*12, IF((HLOOKUP(AI$2,Earnings!$G$2:$BC$81,('Yearly Pension'!$A75)+1, FALSE)) &gt; AI$1, (Assumptions!$B$8)*(AI$1) + (Assumptions!$B$9)*MAX(0,  (HLOOKUP(AI$2,Earnings!$G$2:$BC$81,('Yearly Pension'!$A75)+1, FALSE)) - AI$1), ((Assumptions!$B$8)*'Yearly Pension'!AI$1))))</f>
        <v>1310.1929208948532</v>
      </c>
      <c r="AJ75" s="6">
        <f>(HLOOKUP('Yearly Pension'!AJ$2,'Credited Service'!$G$1:$BC$80,$A75+1,FALSE)) * (IF($B75=500, (Assumptions!$B$7)*12, IF((HLOOKUP(AJ$2,Earnings!$G$2:$BC$81,('Yearly Pension'!$A75)+1, FALSE)) &gt; AJ$1, (Assumptions!$B$8)*(AJ$1) + (Assumptions!$B$9)*MAX(0,  (HLOOKUP(AJ$2,Earnings!$G$2:$BC$81,('Yearly Pension'!$A75)+1, FALSE)) - AJ$1), ((Assumptions!$B$8)*'Yearly Pension'!AJ$1))))</f>
        <v>1366.7222377306475</v>
      </c>
      <c r="AK75" s="6">
        <f>(HLOOKUP('Yearly Pension'!AK$2,'Credited Service'!$G$1:$BC$80,$A75+1,FALSE)) * (IF($B75=500, (Assumptions!$B$7)*12, IF((HLOOKUP(AK$2,Earnings!$G$2:$BC$81,('Yearly Pension'!$A75)+1, FALSE)) &gt; AK$1, (Assumptions!$B$8)*(AK$1) + (Assumptions!$B$9)*MAX(0,  (HLOOKUP(AK$2,Earnings!$G$2:$BC$81,('Yearly Pension'!$A75)+1, FALSE)) - AK$1), ((Assumptions!$B$8)*'Yearly Pension'!AK$1))))</f>
        <v>1421.9287272398735</v>
      </c>
      <c r="AL75" s="6">
        <f>(HLOOKUP('Yearly Pension'!AL$2,'Credited Service'!$G$1:$BC$80,$A75+1,FALSE)) * (IF($B75=500, (Assumptions!$B$7)*12, IF((HLOOKUP(AL$2,Earnings!$G$2:$BC$81,('Yearly Pension'!$A75)+1, FALSE)) &gt; AL$1, (Assumptions!$B$8)*(AL$1) + (Assumptions!$B$9)*MAX(0,  (HLOOKUP(AL$2,Earnings!$G$2:$BC$81,('Yearly Pension'!$A75)+1, FALSE)) - AL$1), ((Assumptions!$B$8)*'Yearly Pension'!AL$1))))</f>
        <v>1482.3130763294685</v>
      </c>
      <c r="AM75" s="6">
        <f>(HLOOKUP('Yearly Pension'!AM$2,'Credited Service'!$G$1:$BC$80,$A75+1,FALSE)) * (IF($B75=500, (Assumptions!$B$7)*12, IF((HLOOKUP(AM$2,Earnings!$G$2:$BC$81,('Yearly Pension'!$A75)+1, FALSE)) &gt; AM$1, (Assumptions!$B$8)*(AM$1) + (Assumptions!$B$9)*MAX(0,  (HLOOKUP(AM$2,Earnings!$G$2:$BC$81,('Yearly Pension'!$A75)+1, FALSE)) - AM$1), ((Assumptions!$B$8)*'Yearly Pension'!AM$1))))</f>
        <v>1544.1399993826471</v>
      </c>
      <c r="AN75" s="6">
        <f>(HLOOKUP('Yearly Pension'!AN$2,'Credited Service'!$G$1:$BC$80,$A75+1,FALSE)) * (IF($B75=500, (Assumptions!$B$7)*12, IF((HLOOKUP(AN$2,Earnings!$G$2:$BC$81,('Yearly Pension'!$A75)+1, FALSE)) &gt; AN$1, (Assumptions!$B$8)*(AN$1) + (Assumptions!$B$9)*MAX(0,  (HLOOKUP(AN$2,Earnings!$G$2:$BC$81,('Yearly Pension'!$A75)+1, FALSE)) - AN$1), ((Assumptions!$B$8)*'Yearly Pension'!AN$1))))</f>
        <v>1611.9983993579531</v>
      </c>
      <c r="AO75" s="6">
        <f>(HLOOKUP('Yearly Pension'!AO$2,'Credited Service'!$G$1:$BC$80,$A75+1,FALSE)) * (IF($B75=500, (Assumptions!$B$7)*12, IF((HLOOKUP(AO$2,Earnings!$G$2:$BC$81,('Yearly Pension'!$A75)+1, FALSE)) &gt; AO$1, (Assumptions!$B$8)*(AO$1) + (Assumptions!$B$9)*MAX(0,  (HLOOKUP(AO$2,Earnings!$G$2:$BC$81,('Yearly Pension'!$A75)+1, FALSE)) - AO$1), ((Assumptions!$B$8)*'Yearly Pension'!AO$1))))</f>
        <v>1681.5215353322715</v>
      </c>
      <c r="AP75" s="6">
        <f>(HLOOKUP('Yearly Pension'!AP$2,'Credited Service'!$G$1:$BC$80,$A75+1,FALSE)) * (IF($B75=500, (Assumptions!$B$7)*12, IF((HLOOKUP(AP$2,Earnings!$G$2:$BC$81,('Yearly Pension'!$A75)+1, FALSE)) &gt; AP$1, (Assumptions!$B$8)*(AP$1) + (Assumptions!$B$9)*MAX(0,  (HLOOKUP(AP$2,Earnings!$G$2:$BC$81,('Yearly Pension'!$A75)+1, FALSE)) - AP$1), ((Assumptions!$B$8)*'Yearly Pension'!AP$1))))</f>
        <v>1749.6271967455623</v>
      </c>
      <c r="AQ75" s="6">
        <f>(HLOOKUP('Yearly Pension'!AQ$2,'Credited Service'!$G$1:$BC$80,$A75+1,FALSE)) * (IF($B75=500, (Assumptions!$B$7)*12, IF((HLOOKUP(AQ$2,Earnings!$G$2:$BC$81,('Yearly Pension'!$A75)+1, FALSE)) &gt; AQ$1, (Assumptions!$B$8)*(AQ$1) + (Assumptions!$B$9)*MAX(0,  (HLOOKUP(AQ$2,Earnings!$G$2:$BC$81,('Yearly Pension'!$A75)+1, FALSE)) - AQ$1), ((Assumptions!$B$8)*'Yearly Pension'!AQ$1))))</f>
        <v>1826.0378846153844</v>
      </c>
      <c r="AR75" s="6">
        <f>(HLOOKUP('Yearly Pension'!AR$2,'Credited Service'!$G$1:$BC$80,$A75+1,FALSE)) * (IF($B75=500, (Assumptions!$B$7)*12, IF((HLOOKUP(AR$2,Earnings!$G$2:$BC$81,('Yearly Pension'!$A75)+1, FALSE)) &gt; AR$1, (Assumptions!$B$8)*(AR$1) + (Assumptions!$B$9)*MAX(0,  (HLOOKUP(AR$2,Earnings!$G$2:$BC$81,('Yearly Pension'!$A75)+1, FALSE)) - AR$1), ((Assumptions!$B$8)*'Yearly Pension'!AR$1))))</f>
        <v>1903.201</v>
      </c>
      <c r="AS75" s="6">
        <f>(HLOOKUP('Yearly Pension'!AS$2,'Credited Service'!$G$1:$BC$80,$A75+1,FALSE)) * (IF($B75=500, (Assumptions!$B$7)*12, IF((HLOOKUP(AS$2,Earnings!$G$2:$BC$81,('Yearly Pension'!$A75)+1, FALSE)) &gt; AS$1, (Assumptions!$B$8)*(AS$1) + (Assumptions!$B$9)*MAX(0,  (HLOOKUP(AS$2,Earnings!$G$2:$BC$81,('Yearly Pension'!$A75)+1, FALSE)) - AS$1), ((Assumptions!$B$8)*'Yearly Pension'!AS$1))))</f>
        <v>1963.3370300000001</v>
      </c>
      <c r="AT75" s="6">
        <f>(HLOOKUP('Yearly Pension'!AT$2,'Credited Service'!$G$1:$BC$80,$A75+1,FALSE)) * (IF($B75=500, (Assumptions!$B$7)*12, IF((HLOOKUP(AT$2,Earnings!$G$2:$BC$81,('Yearly Pension'!$A75)+1, FALSE)) &gt; AT$1, (Assumptions!$B$8)*(AT$1) + (Assumptions!$B$9)*MAX(0,  (HLOOKUP(AT$2,Earnings!$G$2:$BC$81,('Yearly Pension'!$A75)+1, FALSE)) - AT$1), ((Assumptions!$B$8)*'Yearly Pension'!AT$1))))</f>
        <v>2024.2083409000002</v>
      </c>
      <c r="AU75" s="6">
        <f>(HLOOKUP('Yearly Pension'!AU$2,'Credited Service'!$G$1:$BC$80,$A75+1,FALSE)) * (IF($B75=500, (Assumptions!$B$7)*12, IF((HLOOKUP(AU$2,Earnings!$G$2:$BC$81,('Yearly Pension'!$A75)+1, FALSE)) &gt; AU$1, (Assumptions!$B$8)*(AU$1) + (Assumptions!$B$9)*MAX(0,  (HLOOKUP(AU$2,Earnings!$G$2:$BC$81,('Yearly Pension'!$A75)+1, FALSE)) - AU$1), ((Assumptions!$B$8)*'Yearly Pension'!AU$1))))</f>
        <v>2092.9153911270005</v>
      </c>
      <c r="AV75" s="6">
        <f>(HLOOKUP('Yearly Pension'!AV$2,'Credited Service'!$G$1:$BC$80,$A75+1,FALSE)) * (IF($B75=500, (Assumptions!$B$7)*12, IF((HLOOKUP(AV$2,Earnings!$G$2:$BC$81,('Yearly Pension'!$A75)+1, FALSE)) &gt; AV$1, (Assumptions!$B$8)*(AV$1) + (Assumptions!$B$9)*MAX(0,  (HLOOKUP(AV$2,Earnings!$G$2:$BC$81,('Yearly Pension'!$A75)+1, FALSE)) - AV$1), ((Assumptions!$B$8)*'Yearly Pension'!AV$1))))</f>
        <v>2162.4804528608101</v>
      </c>
      <c r="AW75" s="6">
        <f>(HLOOKUP('Yearly Pension'!AW$2,'Credited Service'!$G$1:$BC$80,$A75+1,FALSE)) * (IF($B75=500, (Assumptions!$B$7)*12, IF((HLOOKUP(AW$2,Earnings!$G$2:$BC$81,('Yearly Pension'!$A75)+1, FALSE)) &gt; AW$1, (Assumptions!$B$8)*(AW$1) + (Assumptions!$B$9)*MAX(0,  (HLOOKUP(AW$2,Earnings!$G$2:$BC$81,('Yearly Pension'!$A75)+1, FALSE)) - AW$1), ((Assumptions!$B$8)*'Yearly Pension'!AW$1))))</f>
        <v>2228.4876664466346</v>
      </c>
      <c r="AX75" s="6">
        <f>(HLOOKUP('Yearly Pension'!AX$2,'Credited Service'!$G$1:$BC$80,$A75+1,FALSE)) * (IF($B75=500, (Assumptions!$B$7)*12, IF((HLOOKUP(AX$2,Earnings!$G$2:$BC$81,('Yearly Pension'!$A75)+1, FALSE)) &gt; AX$1, (Assumptions!$B$8)*(AX$1) + (Assumptions!$B$9)*MAX(0,  (HLOOKUP(AX$2,Earnings!$G$2:$BC$81,('Yearly Pension'!$A75)+1, FALSE)) - AX$1), ((Assumptions!$B$8)*'Yearly Pension'!AX$1))))</f>
        <v>2291.6686964400342</v>
      </c>
      <c r="AY75" s="6">
        <f>(HLOOKUP('Yearly Pension'!AY$2,'Credited Service'!$G$1:$BC$80,$A75+1,FALSE)) * (IF($B75=500, (Assumptions!$B$7)*12, IF((HLOOKUP(AY$2,Earnings!$G$2:$BC$81,('Yearly Pension'!$A75)+1, FALSE)) &gt; AY$1, (Assumptions!$B$8)*(AY$1) + (Assumptions!$B$9)*MAX(0,  (HLOOKUP(AY$2,Earnings!$G$2:$BC$81,('Yearly Pension'!$A75)+1, FALSE)) - AY$1), ((Assumptions!$B$8)*'Yearly Pension'!AY$1))))</f>
        <v>1571.0654755554901</v>
      </c>
      <c r="AZ75" s="6">
        <f>(HLOOKUP('Yearly Pension'!AZ$2,'Credited Service'!$G$1:$BC$80,$A75+1,FALSE)) * (IF($B75=500, (Assumptions!$B$7)*12, IF((HLOOKUP(AZ$2,Earnings!$G$2:$BC$81,('Yearly Pension'!$A75)+1, FALSE)) &gt; AZ$1, (Assumptions!$B$8)*(AZ$1) + (Assumptions!$B$9)*MAX(0,  (HLOOKUP(AZ$2,Earnings!$G$2:$BC$81,('Yearly Pension'!$A75)+1, FALSE)) - AZ$1), ((Assumptions!$B$8)*'Yearly Pension'!AZ$1))))</f>
        <v>0</v>
      </c>
      <c r="BA75" s="6">
        <f>(HLOOKUP('Yearly Pension'!BA$2,'Credited Service'!$G$1:$BC$80,$A75+1,FALSE)) * (IF($B75=500, (Assumptions!$B$7)*12, IF((HLOOKUP(BA$2,Earnings!$G$2:$BC$81,('Yearly Pension'!$A75)+1, FALSE)) &gt; BA$1, (Assumptions!$B$8)*(BA$1) + (Assumptions!$B$9)*MAX(0,  (HLOOKUP(BA$2,Earnings!$G$2:$BC$81,('Yearly Pension'!$A75)+1, FALSE)) - BA$1), ((Assumptions!$B$8)*'Yearly Pension'!BA$1))))</f>
        <v>0</v>
      </c>
      <c r="BB75" s="6">
        <f>(HLOOKUP('Yearly Pension'!BB$2,'Credited Service'!$G$1:$BC$80,$A75+1,FALSE)) * (IF($B75=500, (Assumptions!$B$7)*12, IF((HLOOKUP(BB$2,Earnings!$G$2:$BC$81,('Yearly Pension'!$A75)+1, FALSE)) &gt; BB$1, (Assumptions!$B$8)*(BB$1) + (Assumptions!$B$9)*MAX(0,  (HLOOKUP(BB$2,Earnings!$G$2:$BC$81,('Yearly Pension'!$A75)+1, FALSE)) - BB$1), ((Assumptions!$B$8)*'Yearly Pension'!BB$1))))</f>
        <v>0</v>
      </c>
      <c r="BC75" s="6">
        <f>(HLOOKUP('Yearly Pension'!BC$2,'Credited Service'!$G$1:$BC$80,$A75+1,FALSE)) * (IF($B75=500, (Assumptions!$B$7)*12, IF((HLOOKUP(BC$2,Earnings!$G$2:$BC$81,('Yearly Pension'!$A75)+1, FALSE)) &gt; BC$1, (Assumptions!$B$8)*(BC$1) + (Assumptions!$B$9)*MAX(0,  (HLOOKUP(BC$2,Earnings!$G$2:$BC$81,('Yearly Pension'!$A75)+1, FALSE)) - BC$1), ((Assumptions!$B$8)*'Yearly Pension'!BC$1))))</f>
        <v>0</v>
      </c>
    </row>
    <row r="76" spans="1:55" x14ac:dyDescent="0.25">
      <c r="A76" s="204">
        <v>74</v>
      </c>
      <c r="B76" s="1">
        <v>600</v>
      </c>
      <c r="C76" s="1">
        <v>474</v>
      </c>
      <c r="D76" s="3">
        <v>30684</v>
      </c>
      <c r="E76" s="3">
        <v>46539</v>
      </c>
      <c r="G76" s="6">
        <f>(HLOOKUP('Yearly Pension'!G$2,'Credited Service'!$G$1:$BC$80,$A76+1,FALSE)) * (IF($B76=500, (Assumptions!$B$7)*12, IF((HLOOKUP(G$2,Earnings!$G$2:$BC$81,('Yearly Pension'!$A76)+1, FALSE)) &gt; G$1, (Assumptions!$B$8)*(G$1) + (Assumptions!$B$9)*MAX(0,  (HLOOKUP(G$2,Earnings!$G$2:$BC$81,('Yearly Pension'!$A76)+1, FALSE)) - G$1), ((Assumptions!$B$8)*'Yearly Pension'!G$1))))</f>
        <v>0</v>
      </c>
      <c r="H76" s="6">
        <f>(HLOOKUP('Yearly Pension'!H$2,'Credited Service'!$G$1:$BC$80,$A76+1,FALSE)) * (IF($B76=500, (Assumptions!$B$7)*12, IF((HLOOKUP(H$2,Earnings!$G$2:$BC$81,('Yearly Pension'!$A76)+1, FALSE)) &gt; H$1, (Assumptions!$B$8)*(H$1) + (Assumptions!$B$9)*MAX(0,  (HLOOKUP(H$2,Earnings!$G$2:$BC$81,('Yearly Pension'!$A76)+1, FALSE)) - H$1), ((Assumptions!$B$8)*'Yearly Pension'!H$1))))</f>
        <v>0</v>
      </c>
      <c r="I76" s="6">
        <f>(HLOOKUP('Yearly Pension'!I$2,'Credited Service'!$G$1:$BC$80,$A76+1,FALSE)) * (IF($B76=500, (Assumptions!$B$7)*12, IF((HLOOKUP(I$2,Earnings!$G$2:$BC$81,('Yearly Pension'!$A76)+1, FALSE)) &gt; I$1, (Assumptions!$B$8)*(I$1) + (Assumptions!$B$9)*MAX(0,  (HLOOKUP(I$2,Earnings!$G$2:$BC$81,('Yearly Pension'!$A76)+1, FALSE)) - I$1), ((Assumptions!$B$8)*'Yearly Pension'!I$1))))</f>
        <v>0</v>
      </c>
      <c r="J76" s="6">
        <f>(HLOOKUP('Yearly Pension'!J$2,'Credited Service'!$G$1:$BC$80,$A76+1,FALSE)) * (IF($B76=500, (Assumptions!$B$7)*12, IF((HLOOKUP(J$2,Earnings!$G$2:$BC$81,('Yearly Pension'!$A76)+1, FALSE)) &gt; J$1, (Assumptions!$B$8)*(J$1) + (Assumptions!$B$9)*MAX(0,  (HLOOKUP(J$2,Earnings!$G$2:$BC$81,('Yearly Pension'!$A76)+1, FALSE)) - J$1), ((Assumptions!$B$8)*'Yearly Pension'!J$1))))</f>
        <v>0</v>
      </c>
      <c r="K76" s="6">
        <f>(HLOOKUP('Yearly Pension'!K$2,'Credited Service'!$G$1:$BC$80,$A76+1,FALSE)) * (IF($B76=500, (Assumptions!$B$7)*12, IF((HLOOKUP(K$2,Earnings!$G$2:$BC$81,('Yearly Pension'!$A76)+1, FALSE)) &gt; K$1, (Assumptions!$B$8)*(K$1) + (Assumptions!$B$9)*MAX(0,  (HLOOKUP(K$2,Earnings!$G$2:$BC$81,('Yearly Pension'!$A76)+1, FALSE)) - K$1), ((Assumptions!$B$8)*'Yearly Pension'!K$1))))</f>
        <v>0</v>
      </c>
      <c r="L76" s="6">
        <f>(HLOOKUP('Yearly Pension'!L$2,'Credited Service'!$G$1:$BC$80,$A76+1,FALSE)) * (IF($B76=500, (Assumptions!$B$7)*12, IF((HLOOKUP(L$2,Earnings!$G$2:$BC$81,('Yearly Pension'!$A76)+1, FALSE)) &gt; L$1, (Assumptions!$B$8)*(L$1) + (Assumptions!$B$9)*MAX(0,  (HLOOKUP(L$2,Earnings!$G$2:$BC$81,('Yearly Pension'!$A76)+1, FALSE)) - L$1), ((Assumptions!$B$8)*'Yearly Pension'!L$1))))</f>
        <v>0</v>
      </c>
      <c r="M76" s="6">
        <f>(HLOOKUP('Yearly Pension'!M$2,'Credited Service'!$G$1:$BC$80,$A76+1,FALSE)) * (IF($B76=500, (Assumptions!$B$7)*12, IF((HLOOKUP(M$2,Earnings!$G$2:$BC$81,('Yearly Pension'!$A76)+1, FALSE)) &gt; M$1, (Assumptions!$B$8)*(M$1) + (Assumptions!$B$9)*MAX(0,  (HLOOKUP(M$2,Earnings!$G$2:$BC$81,('Yearly Pension'!$A76)+1, FALSE)) - M$1), ((Assumptions!$B$8)*'Yearly Pension'!M$1))))</f>
        <v>0</v>
      </c>
      <c r="N76" s="6">
        <f>(HLOOKUP('Yearly Pension'!N$2,'Credited Service'!$G$1:$BC$80,$A76+1,FALSE)) * (IF($B76=500, (Assumptions!$B$7)*12, IF((HLOOKUP(N$2,Earnings!$G$2:$BC$81,('Yearly Pension'!$A76)+1, FALSE)) &gt; N$1, (Assumptions!$B$8)*(N$1) + (Assumptions!$B$9)*MAX(0,  (HLOOKUP(N$2,Earnings!$G$2:$BC$81,('Yearly Pension'!$A76)+1, FALSE)) - N$1), ((Assumptions!$B$8)*'Yearly Pension'!N$1))))</f>
        <v>562.35355605537393</v>
      </c>
      <c r="O76" s="6">
        <f>(HLOOKUP('Yearly Pension'!O$2,'Credited Service'!$G$1:$BC$80,$A76+1,FALSE)) * (IF($B76=500, (Assumptions!$B$7)*12, IF((HLOOKUP(O$2,Earnings!$G$2:$BC$81,('Yearly Pension'!$A76)+1, FALSE)) &gt; O$1, (Assumptions!$B$8)*(O$1) + (Assumptions!$B$9)*MAX(0,  (HLOOKUP(O$2,Earnings!$G$2:$BC$81,('Yearly Pension'!$A76)+1, FALSE)) - O$1), ((Assumptions!$B$8)*'Yearly Pension'!O$1))))</f>
        <v>573.53249829758897</v>
      </c>
      <c r="P76" s="6">
        <f>(HLOOKUP('Yearly Pension'!P$2,'Credited Service'!$G$1:$BC$80,$A76+1,FALSE)) * (IF($B76=500, (Assumptions!$B$7)*12, IF((HLOOKUP(P$2,Earnings!$G$2:$BC$81,('Yearly Pension'!$A76)+1, FALSE)) &gt; P$1, (Assumptions!$B$8)*(P$1) + (Assumptions!$B$9)*MAX(0,  (HLOOKUP(P$2,Earnings!$G$2:$BC$81,('Yearly Pension'!$A76)+1, FALSE)) - P$1), ((Assumptions!$B$8)*'Yearly Pension'!P$1))))</f>
        <v>587.10419822949245</v>
      </c>
      <c r="Q76" s="6">
        <f>(HLOOKUP('Yearly Pension'!Q$2,'Credited Service'!$G$1:$BC$80,$A76+1,FALSE)) * (IF($B76=500, (Assumptions!$B$7)*12, IF((HLOOKUP(Q$2,Earnings!$G$2:$BC$81,('Yearly Pension'!$A76)+1, FALSE)) &gt; Q$1, (Assumptions!$B$8)*(Q$1) + (Assumptions!$B$9)*MAX(0,  (HLOOKUP(Q$2,Earnings!$G$2:$BC$81,('Yearly Pension'!$A76)+1, FALSE)) - Q$1), ((Assumptions!$B$8)*'Yearly Pension'!Q$1))))</f>
        <v>616.55316615867218</v>
      </c>
      <c r="R76" s="6">
        <f>(HLOOKUP('Yearly Pension'!R$2,'Credited Service'!$G$1:$BC$80,$A76+1,FALSE)) * (IF($B76=500, (Assumptions!$B$7)*12, IF((HLOOKUP(R$2,Earnings!$G$2:$BC$81,('Yearly Pension'!$A76)+1, FALSE)) &gt; R$1, (Assumptions!$B$8)*(R$1) + (Assumptions!$B$9)*MAX(0,  (HLOOKUP(R$2,Earnings!$G$2:$BC$81,('Yearly Pension'!$A76)+1, FALSE)) - R$1), ((Assumptions!$B$8)*'Yearly Pension'!R$1))))</f>
        <v>644.00569280501918</v>
      </c>
      <c r="S76" s="6">
        <f>(HLOOKUP('Yearly Pension'!S$2,'Credited Service'!$G$1:$BC$80,$A76+1,FALSE)) * (IF($B76=500, (Assumptions!$B$7)*12, IF((HLOOKUP(S$2,Earnings!$G$2:$BC$81,('Yearly Pension'!$A76)+1, FALSE)) &gt; S$1, (Assumptions!$B$8)*(S$1) + (Assumptions!$B$9)*MAX(0,  (HLOOKUP(S$2,Earnings!$G$2:$BC$81,('Yearly Pension'!$A76)+1, FALSE)) - S$1), ((Assumptions!$B$8)*'Yearly Pension'!S$1))))</f>
        <v>668.86992051721995</v>
      </c>
      <c r="T76" s="6">
        <f>(HLOOKUP('Yearly Pension'!T$2,'Credited Service'!$G$1:$BC$80,$A76+1,FALSE)) * (IF($B76=500, (Assumptions!$B$7)*12, IF((HLOOKUP(T$2,Earnings!$G$2:$BC$81,('Yearly Pension'!$A76)+1, FALSE)) &gt; T$1, (Assumptions!$B$8)*(T$1) + (Assumptions!$B$9)*MAX(0,  (HLOOKUP(T$2,Earnings!$G$2:$BC$81,('Yearly Pension'!$A76)+1, FALSE)) - T$1), ((Assumptions!$B$8)*'Yearly Pension'!T$1))))</f>
        <v>695.03591733790881</v>
      </c>
      <c r="U76" s="6">
        <f>(HLOOKUP('Yearly Pension'!U$2,'Credited Service'!$G$1:$BC$80,$A76+1,FALSE)) * (IF($B76=500, (Assumptions!$B$7)*12, IF((HLOOKUP(U$2,Earnings!$G$2:$BC$81,('Yearly Pension'!$A76)+1, FALSE)) &gt; U$1, (Assumptions!$B$8)*(U$1) + (Assumptions!$B$9)*MAX(0,  (HLOOKUP(U$2,Earnings!$G$2:$BC$81,('Yearly Pension'!$A76)+1, FALSE)) - U$1), ((Assumptions!$B$8)*'Yearly Pension'!U$1))))</f>
        <v>719.99575403142535</v>
      </c>
      <c r="V76" s="6">
        <f>(HLOOKUP('Yearly Pension'!V$2,'Credited Service'!$G$1:$BC$80,$A76+1,FALSE)) * (IF($B76=500, (Assumptions!$B$7)*12, IF((HLOOKUP(V$2,Earnings!$G$2:$BC$81,('Yearly Pension'!$A76)+1, FALSE)) &gt; V$1, (Assumptions!$B$8)*(V$1) + (Assumptions!$B$9)*MAX(0,  (HLOOKUP(V$2,Earnings!$G$2:$BC$81,('Yearly Pension'!$A76)+1, FALSE)) - V$1), ((Assumptions!$B$8)*'Yearly Pension'!V$1))))</f>
        <v>745.72358419268221</v>
      </c>
      <c r="W76" s="6">
        <f>(HLOOKUP('Yearly Pension'!W$2,'Credited Service'!$G$1:$BC$80,$A76+1,FALSE)) * (IF($B76=500, (Assumptions!$B$7)*12, IF((HLOOKUP(W$2,Earnings!$G$2:$BC$81,('Yearly Pension'!$A76)+1, FALSE)) &gt; W$1, (Assumptions!$B$8)*(W$1) + (Assumptions!$B$9)*MAX(0,  (HLOOKUP(W$2,Earnings!$G$2:$BC$81,('Yearly Pension'!$A76)+1, FALSE)) - W$1), ((Assumptions!$B$8)*'Yearly Pension'!W$1))))</f>
        <v>776.11572756038959</v>
      </c>
      <c r="X76" s="6">
        <f>(HLOOKUP('Yearly Pension'!X$2,'Credited Service'!$G$1:$BC$80,$A76+1,FALSE)) * (IF($B76=500, (Assumptions!$B$7)*12, IF((HLOOKUP(X$2,Earnings!$G$2:$BC$81,('Yearly Pension'!$A76)+1, FALSE)) &gt; X$1, (Assumptions!$B$8)*(X$1) + (Assumptions!$B$9)*MAX(0,  (HLOOKUP(X$2,Earnings!$G$2:$BC$81,('Yearly Pension'!$A76)+1, FALSE)) - X$1), ((Assumptions!$B$8)*'Yearly Pension'!X$1))))</f>
        <v>809.31075666280526</v>
      </c>
      <c r="Y76" s="6">
        <f>(HLOOKUP('Yearly Pension'!Y$2,'Credited Service'!$G$1:$BC$80,$A76+1,FALSE)) * (IF($B76=500, (Assumptions!$B$7)*12, IF((HLOOKUP(Y$2,Earnings!$G$2:$BC$81,('Yearly Pension'!$A76)+1, FALSE)) &gt; Y$1, (Assumptions!$B$8)*(Y$1) + (Assumptions!$B$9)*MAX(0,  (HLOOKUP(Y$2,Earnings!$G$2:$BC$81,('Yearly Pension'!$A76)+1, FALSE)) - Y$1), ((Assumptions!$B$8)*'Yearly Pension'!Y$1))))</f>
        <v>847.28958692931747</v>
      </c>
      <c r="Z76" s="6">
        <f>(HLOOKUP('Yearly Pension'!Z$2,'Credited Service'!$G$1:$BC$80,$A76+1,FALSE)) * (IF($B76=500, (Assumptions!$B$7)*12, IF((HLOOKUP(Z$2,Earnings!$G$2:$BC$81,('Yearly Pension'!$A76)+1, FALSE)) &gt; Z$1, (Assumptions!$B$8)*(Z$1) + (Assumptions!$B$9)*MAX(0,  (HLOOKUP(Z$2,Earnings!$G$2:$BC$81,('Yearly Pension'!$A76)+1, FALSE)) - Z$1), ((Assumptions!$B$8)*'Yearly Pension'!Z$1))))</f>
        <v>886.91557040649013</v>
      </c>
      <c r="AA76" s="6">
        <f>(HLOOKUP('Yearly Pension'!AA$2,'Credited Service'!$G$1:$BC$80,$A76+1,FALSE)) * (IF($B76=500, (Assumptions!$B$7)*12, IF((HLOOKUP(AA$2,Earnings!$G$2:$BC$81,('Yearly Pension'!$A76)+1, FALSE)) &gt; AA$1, (Assumptions!$B$8)*(AA$1) + (Assumptions!$B$9)*MAX(0,  (HLOOKUP(AA$2,Earnings!$G$2:$BC$81,('Yearly Pension'!$A76)+1, FALSE)) - AA$1), ((Assumptions!$B$8)*'Yearly Pension'!AA$1))))</f>
        <v>928.89459322274979</v>
      </c>
      <c r="AB76" s="6">
        <f>(HLOOKUP('Yearly Pension'!AB$2,'Credited Service'!$G$1:$BC$80,$A76+1,FALSE)) * (IF($B76=500, (Assumptions!$B$7)*12, IF((HLOOKUP(AB$2,Earnings!$G$2:$BC$81,('Yearly Pension'!$A76)+1, FALSE)) &gt; AB$1, (Assumptions!$B$8)*(AB$1) + (Assumptions!$B$9)*MAX(0,  (HLOOKUP(AB$2,Earnings!$G$2:$BC$81,('Yearly Pension'!$A76)+1, FALSE)) - AB$1), ((Assumptions!$B$8)*'Yearly Pension'!AB$1))))</f>
        <v>968.17517695165975</v>
      </c>
      <c r="AC76" s="6">
        <f>(HLOOKUP('Yearly Pension'!AC$2,'Credited Service'!$G$1:$BC$80,$A76+1,FALSE)) * (IF($B76=500, (Assumptions!$B$7)*12, IF((HLOOKUP(AC$2,Earnings!$G$2:$BC$81,('Yearly Pension'!$A76)+1, FALSE)) &gt; AC$1, (Assumptions!$B$8)*(AC$1) + (Assumptions!$B$9)*MAX(0,  (HLOOKUP(AC$2,Earnings!$G$2:$BC$81,('Yearly Pension'!$A76)+1, FALSE)) - AC$1), ((Assumptions!$B$8)*'Yearly Pension'!AC$1))))</f>
        <v>1013.1485840297262</v>
      </c>
      <c r="AD76" s="6">
        <f>(HLOOKUP('Yearly Pension'!AD$2,'Credited Service'!$G$1:$BC$80,$A76+1,FALSE)) * (IF($B76=500, (Assumptions!$B$7)*12, IF((HLOOKUP(AD$2,Earnings!$G$2:$BC$81,('Yearly Pension'!$A76)+1, FALSE)) &gt; AD$1, (Assumptions!$B$8)*(AD$1) + (Assumptions!$B$9)*MAX(0,  (HLOOKUP(AD$2,Earnings!$G$2:$BC$81,('Yearly Pension'!$A76)+1, FALSE)) - AD$1), ((Assumptions!$B$8)*'Yearly Pension'!AD$1))))</f>
        <v>1061.9689273909153</v>
      </c>
      <c r="AE76" s="6">
        <f>(HLOOKUP('Yearly Pension'!AE$2,'Credited Service'!$G$1:$BC$80,$A76+1,FALSE)) * (IF($B76=500, (Assumptions!$B$7)*12, IF((HLOOKUP(AE$2,Earnings!$G$2:$BC$81,('Yearly Pension'!$A76)+1, FALSE)) &gt; AE$1, (Assumptions!$B$8)*(AE$1) + (Assumptions!$B$9)*MAX(0,  (HLOOKUP(AE$2,Earnings!$G$2:$BC$81,('Yearly Pension'!$A76)+1, FALSE)) - AE$1), ((Assumptions!$B$8)*'Yearly Pension'!AE$1))))</f>
        <v>1109.593284486552</v>
      </c>
      <c r="AF76" s="6">
        <f>(HLOOKUP('Yearly Pension'!AF$2,'Credited Service'!$G$1:$BC$80,$A76+1,FALSE)) * (IF($B76=500, (Assumptions!$B$7)*12, IF((HLOOKUP(AF$2,Earnings!$G$2:$BC$81,('Yearly Pension'!$A76)+1, FALSE)) &gt; AF$1, (Assumptions!$B$8)*(AF$1) + (Assumptions!$B$9)*MAX(0,  (HLOOKUP(AF$2,Earnings!$G$2:$BC$81,('Yearly Pension'!$A76)+1, FALSE)) - AF$1), ((Assumptions!$B$8)*'Yearly Pension'!AF$1))))</f>
        <v>1158.6618158660142</v>
      </c>
      <c r="AG76" s="6">
        <f>(HLOOKUP('Yearly Pension'!AG$2,'Credited Service'!$G$1:$BC$80,$A76+1,FALSE)) * (IF($B76=500, (Assumptions!$B$7)*12, IF((HLOOKUP(AG$2,Earnings!$G$2:$BC$81,('Yearly Pension'!$A76)+1, FALSE)) &gt; AG$1, (Assumptions!$B$8)*(AG$1) + (Assumptions!$B$9)*MAX(0,  (HLOOKUP(AG$2,Earnings!$G$2:$BC$81,('Yearly Pension'!$A76)+1, FALSE)) - AG$1), ((Assumptions!$B$8)*'Yearly Pension'!AG$1))))</f>
        <v>1209.897888500655</v>
      </c>
      <c r="AH76" s="6">
        <f>(HLOOKUP('Yearly Pension'!AH$2,'Credited Service'!$G$1:$BC$80,$A76+1,FALSE)) * (IF($B76=500, (Assumptions!$B$7)*12, IF((HLOOKUP(AH$2,Earnings!$G$2:$BC$81,('Yearly Pension'!$A76)+1, FALSE)) &gt; AH$1, (Assumptions!$B$8)*(AH$1) + (Assumptions!$B$9)*MAX(0,  (HLOOKUP(AH$2,Earnings!$G$2:$BC$81,('Yearly Pension'!$A76)+1, FALSE)) - AH$1), ((Assumptions!$B$8)*'Yearly Pension'!AH$1))))</f>
        <v>1264.6682040406813</v>
      </c>
      <c r="AI76" s="6">
        <f>(HLOOKUP('Yearly Pension'!AI$2,'Credited Service'!$G$1:$BC$80,$A76+1,FALSE)) * (IF($B76=500, (Assumptions!$B$7)*12, IF((HLOOKUP(AI$2,Earnings!$G$2:$BC$81,('Yearly Pension'!$A76)+1, FALSE)) &gt; AI$1, (Assumptions!$B$8)*(AI$1) + (Assumptions!$B$9)*MAX(0,  (HLOOKUP(AI$2,Earnings!$G$2:$BC$81,('Yearly Pension'!$A76)+1, FALSE)) - AI$1), ((Assumptions!$B$8)*'Yearly Pension'!AI$1))))</f>
        <v>1321.7829322023085</v>
      </c>
      <c r="AJ76" s="6">
        <f>(HLOOKUP('Yearly Pension'!AJ$2,'Credited Service'!$G$1:$BC$80,$A76+1,FALSE)) * (IF($B76=500, (Assumptions!$B$7)*12, IF((HLOOKUP(AJ$2,Earnings!$G$2:$BC$81,('Yearly Pension'!$A76)+1, FALSE)) &gt; AJ$1, (Assumptions!$B$8)*(AJ$1) + (Assumptions!$B$9)*MAX(0,  (HLOOKUP(AJ$2,Earnings!$G$2:$BC$81,('Yearly Pension'!$A76)+1, FALSE)) - AJ$1), ((Assumptions!$B$8)*'Yearly Pension'!AJ$1))))</f>
        <v>1378.775849490401</v>
      </c>
      <c r="AK76" s="6">
        <f>(HLOOKUP('Yearly Pension'!AK$2,'Credited Service'!$G$1:$BC$80,$A76+1,FALSE)) * (IF($B76=500, (Assumptions!$B$7)*12, IF((HLOOKUP(AK$2,Earnings!$G$2:$BC$81,('Yearly Pension'!$A76)+1, FALSE)) &gt; AK$1, (Assumptions!$B$8)*(AK$1) + (Assumptions!$B$9)*MAX(0,  (HLOOKUP(AK$2,Earnings!$G$2:$BC$81,('Yearly Pension'!$A76)+1, FALSE)) - AK$1), ((Assumptions!$B$8)*'Yearly Pension'!AK$1))))</f>
        <v>1434.4644834700171</v>
      </c>
      <c r="AL76" s="6">
        <f>(HLOOKUP('Yearly Pension'!AL$2,'Credited Service'!$G$1:$BC$80,$A76+1,FALSE)) * (IF($B76=500, (Assumptions!$B$7)*12, IF((HLOOKUP(AL$2,Earnings!$G$2:$BC$81,('Yearly Pension'!$A76)+1, FALSE)) &gt; AL$1, (Assumptions!$B$8)*(AL$1) + (Assumptions!$B$9)*MAX(0,  (HLOOKUP(AL$2,Earnings!$G$2:$BC$81,('Yearly Pension'!$A76)+1, FALSE)) - AL$1), ((Assumptions!$B$8)*'Yearly Pension'!AL$1))))</f>
        <v>1495.3502628088177</v>
      </c>
      <c r="AM76" s="6">
        <f>(HLOOKUP('Yearly Pension'!AM$2,'Credited Service'!$G$1:$BC$80,$A76+1,FALSE)) * (IF($B76=500, (Assumptions!$B$7)*12, IF((HLOOKUP(AM$2,Earnings!$G$2:$BC$81,('Yearly Pension'!$A76)+1, FALSE)) &gt; AM$1, (Assumptions!$B$8)*(AM$1) + (Assumptions!$B$9)*MAX(0,  (HLOOKUP(AM$2,Earnings!$G$2:$BC$81,('Yearly Pension'!$A76)+1, FALSE)) - AM$1), ((Assumptions!$B$8)*'Yearly Pension'!AM$1))))</f>
        <v>1557.6986733211704</v>
      </c>
      <c r="AN76" s="6">
        <f>(HLOOKUP('Yearly Pension'!AN$2,'Credited Service'!$G$1:$BC$80,$A76+1,FALSE)) * (IF($B76=500, (Assumptions!$B$7)*12, IF((HLOOKUP(AN$2,Earnings!$G$2:$BC$81,('Yearly Pension'!$A76)+1, FALSE)) &gt; AN$1, (Assumptions!$B$8)*(AN$1) + (Assumptions!$B$9)*MAX(0,  (HLOOKUP(AN$2,Earnings!$G$2:$BC$81,('Yearly Pension'!$A76)+1, FALSE)) - AN$1), ((Assumptions!$B$8)*'Yearly Pension'!AN$1))))</f>
        <v>1626.0994202540173</v>
      </c>
      <c r="AO76" s="6">
        <f>(HLOOKUP('Yearly Pension'!AO$2,'Credited Service'!$G$1:$BC$80,$A76+1,FALSE)) * (IF($B76=500, (Assumptions!$B$7)*12, IF((HLOOKUP(AO$2,Earnings!$G$2:$BC$81,('Yearly Pension'!$A76)+1, FALSE)) &gt; AO$1, (Assumptions!$B$8)*(AO$1) + (Assumptions!$B$9)*MAX(0,  (HLOOKUP(AO$2,Earnings!$G$2:$BC$81,('Yearly Pension'!$A76)+1, FALSE)) - AO$1), ((Assumptions!$B$8)*'Yearly Pension'!AO$1))))</f>
        <v>1696.1865970641784</v>
      </c>
      <c r="AP76" s="6">
        <f>(HLOOKUP('Yearly Pension'!AP$2,'Credited Service'!$G$1:$BC$80,$A76+1,FALSE)) * (IF($B76=500, (Assumptions!$B$7)*12, IF((HLOOKUP(AP$2,Earnings!$G$2:$BC$81,('Yearly Pension'!$A76)+1, FALSE)) &gt; AP$1, (Assumptions!$B$8)*(AP$1) + (Assumptions!$B$9)*MAX(0,  (HLOOKUP(AP$2,Earnings!$G$2:$BC$81,('Yearly Pension'!$A76)+1, FALSE)) - AP$1), ((Assumptions!$B$8)*'Yearly Pension'!AP$1))))</f>
        <v>1764.8788609467456</v>
      </c>
      <c r="AQ76" s="6">
        <f>(HLOOKUP('Yearly Pension'!AQ$2,'Credited Service'!$G$1:$BC$80,$A76+1,FALSE)) * (IF($B76=500, (Assumptions!$B$7)*12, IF((HLOOKUP(AQ$2,Earnings!$G$2:$BC$81,('Yearly Pension'!$A76)+1, FALSE)) &gt; AQ$1, (Assumptions!$B$8)*(AQ$1) + (Assumptions!$B$9)*MAX(0,  (HLOOKUP(AQ$2,Earnings!$G$2:$BC$81,('Yearly Pension'!$A76)+1, FALSE)) - AQ$1), ((Assumptions!$B$8)*'Yearly Pension'!AQ$1))))</f>
        <v>1841.8996153846151</v>
      </c>
      <c r="AR76" s="6">
        <f>(HLOOKUP('Yearly Pension'!AR$2,'Credited Service'!$G$1:$BC$80,$A76+1,FALSE)) * (IF($B76=500, (Assumptions!$B$7)*12, IF((HLOOKUP(AR$2,Earnings!$G$2:$BC$81,('Yearly Pension'!$A76)+1, FALSE)) &gt; AR$1, (Assumptions!$B$8)*(AR$1) + (Assumptions!$B$9)*MAX(0,  (HLOOKUP(AR$2,Earnings!$G$2:$BC$81,('Yearly Pension'!$A76)+1, FALSE)) - AR$1), ((Assumptions!$B$8)*'Yearly Pension'!AR$1))))</f>
        <v>1919.6972000000001</v>
      </c>
      <c r="AS76" s="6">
        <f>(HLOOKUP('Yearly Pension'!AS$2,'Credited Service'!$G$1:$BC$80,$A76+1,FALSE)) * (IF($B76=500, (Assumptions!$B$7)*12, IF((HLOOKUP(AS$2,Earnings!$G$2:$BC$81,('Yearly Pension'!$A76)+1, FALSE)) &gt; AS$1, (Assumptions!$B$8)*(AS$1) + (Assumptions!$B$9)*MAX(0,  (HLOOKUP(AS$2,Earnings!$G$2:$BC$81,('Yearly Pension'!$A76)+1, FALSE)) - AS$1), ((Assumptions!$B$8)*'Yearly Pension'!AS$1))))</f>
        <v>1980.3281160000001</v>
      </c>
      <c r="AT76" s="6">
        <f>(HLOOKUP('Yearly Pension'!AT$2,'Credited Service'!$G$1:$BC$80,$A76+1,FALSE)) * (IF($B76=500, (Assumptions!$B$7)*12, IF((HLOOKUP(AT$2,Earnings!$G$2:$BC$81,('Yearly Pension'!$A76)+1, FALSE)) &gt; AT$1, (Assumptions!$B$8)*(AT$1) + (Assumptions!$B$9)*MAX(0,  (HLOOKUP(AT$2,Earnings!$G$2:$BC$81,('Yearly Pension'!$A76)+1, FALSE)) - AT$1), ((Assumptions!$B$8)*'Yearly Pension'!AT$1))))</f>
        <v>2041.7091594799999</v>
      </c>
      <c r="AU76" s="6">
        <f>(HLOOKUP('Yearly Pension'!AU$2,'Credited Service'!$G$1:$BC$80,$A76+1,FALSE)) * (IF($B76=500, (Assumptions!$B$7)*12, IF((HLOOKUP(AU$2,Earnings!$G$2:$BC$81,('Yearly Pension'!$A76)+1, FALSE)) &gt; AU$1, (Assumptions!$B$8)*(AU$1) + (Assumptions!$B$9)*MAX(0,  (HLOOKUP(AU$2,Earnings!$G$2:$BC$81,('Yearly Pension'!$A76)+1, FALSE)) - AU$1), ((Assumptions!$B$8)*'Yearly Pension'!AU$1))))</f>
        <v>2110.9412342644</v>
      </c>
      <c r="AV76" s="6">
        <f>(HLOOKUP('Yearly Pension'!AV$2,'Credited Service'!$G$1:$BC$80,$A76+1,FALSE)) * (IF($B76=500, (Assumptions!$B$7)*12, IF((HLOOKUP(AV$2,Earnings!$G$2:$BC$81,('Yearly Pension'!$A76)+1, FALSE)) &gt; AV$1, (Assumptions!$B$8)*(AV$1) + (Assumptions!$B$9)*MAX(0,  (HLOOKUP(AV$2,Earnings!$G$2:$BC$81,('Yearly Pension'!$A76)+1, FALSE)) - AV$1), ((Assumptions!$B$8)*'Yearly Pension'!AV$1))))</f>
        <v>2181.0470712923325</v>
      </c>
      <c r="AW76" s="6">
        <f>(HLOOKUP('Yearly Pension'!AW$2,'Credited Service'!$G$1:$BC$80,$A76+1,FALSE)) * (IF($B76=500, (Assumptions!$B$7)*12, IF((HLOOKUP(AW$2,Earnings!$G$2:$BC$81,('Yearly Pension'!$A76)+1, FALSE)) &gt; AW$1, (Assumptions!$B$8)*(AW$1) + (Assumptions!$B$9)*MAX(0,  (HLOOKUP(AW$2,Earnings!$G$2:$BC$81,('Yearly Pension'!$A76)+1, FALSE)) - AW$1), ((Assumptions!$B$8)*'Yearly Pension'!AW$1))))</f>
        <v>2247.6112834311025</v>
      </c>
      <c r="AX76" s="6">
        <f>(HLOOKUP('Yearly Pension'!AX$2,'Credited Service'!$G$1:$BC$80,$A76+1,FALSE)) * (IF($B76=500, (Assumptions!$B$7)*12, IF((HLOOKUP(AX$2,Earnings!$G$2:$BC$81,('Yearly Pension'!$A76)+1, FALSE)) &gt; AX$1, (Assumptions!$B$8)*(AX$1) + (Assumptions!$B$9)*MAX(0,  (HLOOKUP(AX$2,Earnings!$G$2:$BC$81,('Yearly Pension'!$A76)+1, FALSE)) - AX$1), ((Assumptions!$B$8)*'Yearly Pension'!AX$1))))</f>
        <v>2311.3660219340354</v>
      </c>
      <c r="AY76" s="6">
        <f>(HLOOKUP('Yearly Pension'!AY$2,'Credited Service'!$G$1:$BC$80,$A76+1,FALSE)) * (IF($B76=500, (Assumptions!$B$7)*12, IF((HLOOKUP(AY$2,Earnings!$G$2:$BC$81,('Yearly Pension'!$A76)+1, FALSE)) &gt; AY$1, (Assumptions!$B$8)*(AY$1) + (Assumptions!$B$9)*MAX(0,  (HLOOKUP(AY$2,Earnings!$G$2:$BC$81,('Yearly Pension'!$A76)+1, FALSE)) - AY$1), ((Assumptions!$B$8)*'Yearly Pension'!AY$1))))</f>
        <v>2376.8864585920569</v>
      </c>
      <c r="AZ76" s="6">
        <f>(HLOOKUP('Yearly Pension'!AZ$2,'Credited Service'!$G$1:$BC$80,$A76+1,FALSE)) * (IF($B76=500, (Assumptions!$B$7)*12, IF((HLOOKUP(AZ$2,Earnings!$G$2:$BC$81,('Yearly Pension'!$A76)+1, FALSE)) &gt; AZ$1, (Assumptions!$B$8)*(AZ$1) + (Assumptions!$B$9)*MAX(0,  (HLOOKUP(AZ$2,Earnings!$G$2:$BC$81,('Yearly Pension'!$A76)+1, FALSE)) - AZ$1), ((Assumptions!$B$8)*'Yearly Pension'!AZ$1))))</f>
        <v>2444.2196865898186</v>
      </c>
      <c r="BA76" s="6">
        <f>(HLOOKUP('Yearly Pension'!BA$2,'Credited Service'!$G$1:$BC$80,$A76+1,FALSE)) * (IF($B76=500, (Assumptions!$B$7)*12, IF((HLOOKUP(BA$2,Earnings!$G$2:$BC$81,('Yearly Pension'!$A76)+1, FALSE)) &gt; BA$1, (Assumptions!$B$8)*(BA$1) + (Assumptions!$B$9)*MAX(0,  (HLOOKUP(BA$2,Earnings!$G$2:$BC$81,('Yearly Pension'!$A76)+1, FALSE)) - BA$1), ((Assumptions!$B$8)*'Yearly Pension'!BA$1))))</f>
        <v>2513.4139767971128</v>
      </c>
      <c r="BB76" s="6">
        <f>(HLOOKUP('Yearly Pension'!BB$2,'Credited Service'!$G$1:$BC$80,$A76+1,FALSE)) * (IF($B76=500, (Assumptions!$B$7)*12, IF((HLOOKUP(BB$2,Earnings!$G$2:$BC$81,('Yearly Pension'!$A76)+1, FALSE)) &gt; BB$1, (Assumptions!$B$8)*(BB$1) + (Assumptions!$B$9)*MAX(0,  (HLOOKUP(BB$2,Earnings!$G$2:$BC$81,('Yearly Pension'!$A76)+1, FALSE)) - BB$1), ((Assumptions!$B$8)*'Yearly Pension'!BB$1))))</f>
        <v>2584.5188036950103</v>
      </c>
      <c r="BC76" s="6">
        <f>(HLOOKUP('Yearly Pension'!BC$2,'Credited Service'!$G$1:$BC$80,$A76+1,FALSE)) * (IF($B76=500, (Assumptions!$B$7)*12, IF((HLOOKUP(BC$2,Earnings!$G$2:$BC$81,('Yearly Pension'!$A76)+1, FALSE)) &gt; BC$1, (Assumptions!$B$8)*(BC$1) + (Assumptions!$B$9)*MAX(0,  (HLOOKUP(BC$2,Earnings!$G$2:$BC$81,('Yearly Pension'!$A76)+1, FALSE)) - BC$1), ((Assumptions!$B$8)*'Yearly Pension'!BC$1))))</f>
        <v>2657.5848717036042</v>
      </c>
    </row>
    <row r="77" spans="1:55" x14ac:dyDescent="0.25">
      <c r="A77" s="204">
        <v>75</v>
      </c>
      <c r="B77" s="1">
        <v>600</v>
      </c>
      <c r="C77" s="1">
        <v>452</v>
      </c>
      <c r="D77" s="3">
        <v>30187</v>
      </c>
      <c r="E77" s="3">
        <v>44743</v>
      </c>
      <c r="G77" s="6">
        <f>(HLOOKUP('Yearly Pension'!G$2,'Credited Service'!$G$1:$BC$80,$A77+1,FALSE)) * (IF($B77=500, (Assumptions!$B$7)*12, IF((HLOOKUP(G$2,Earnings!$G$2:$BC$81,('Yearly Pension'!$A77)+1, FALSE)) &gt; G$1, (Assumptions!$B$8)*(G$1) + (Assumptions!$B$9)*MAX(0,  (HLOOKUP(G$2,Earnings!$G$2:$BC$81,('Yearly Pension'!$A77)+1, FALSE)) - G$1), ((Assumptions!$B$8)*'Yearly Pension'!G$1))))</f>
        <v>0</v>
      </c>
      <c r="H77" s="6">
        <f>(HLOOKUP('Yearly Pension'!H$2,'Credited Service'!$G$1:$BC$80,$A77+1,FALSE)) * (IF($B77=500, (Assumptions!$B$7)*12, IF((HLOOKUP(H$2,Earnings!$G$2:$BC$81,('Yearly Pension'!$A77)+1, FALSE)) &gt; H$1, (Assumptions!$B$8)*(H$1) + (Assumptions!$B$9)*MAX(0,  (HLOOKUP(H$2,Earnings!$G$2:$BC$81,('Yearly Pension'!$A77)+1, FALSE)) - H$1), ((Assumptions!$B$8)*'Yearly Pension'!H$1))))</f>
        <v>0</v>
      </c>
      <c r="I77" s="6">
        <f>(HLOOKUP('Yearly Pension'!I$2,'Credited Service'!$G$1:$BC$80,$A77+1,FALSE)) * (IF($B77=500, (Assumptions!$B$7)*12, IF((HLOOKUP(I$2,Earnings!$G$2:$BC$81,('Yearly Pension'!$A77)+1, FALSE)) &gt; I$1, (Assumptions!$B$8)*(I$1) + (Assumptions!$B$9)*MAX(0,  (HLOOKUP(I$2,Earnings!$G$2:$BC$81,('Yearly Pension'!$A77)+1, FALSE)) - I$1), ((Assumptions!$B$8)*'Yearly Pension'!I$1))))</f>
        <v>0</v>
      </c>
      <c r="J77" s="6">
        <f>(HLOOKUP('Yearly Pension'!J$2,'Credited Service'!$G$1:$BC$80,$A77+1,FALSE)) * (IF($B77=500, (Assumptions!$B$7)*12, IF((HLOOKUP(J$2,Earnings!$G$2:$BC$81,('Yearly Pension'!$A77)+1, FALSE)) &gt; J$1, (Assumptions!$B$8)*(J$1) + (Assumptions!$B$9)*MAX(0,  (HLOOKUP(J$2,Earnings!$G$2:$BC$81,('Yearly Pension'!$A77)+1, FALSE)) - J$1), ((Assumptions!$B$8)*'Yearly Pension'!J$1))))</f>
        <v>0</v>
      </c>
      <c r="K77" s="6">
        <f>(HLOOKUP('Yearly Pension'!K$2,'Credited Service'!$G$1:$BC$80,$A77+1,FALSE)) * (IF($B77=500, (Assumptions!$B$7)*12, IF((HLOOKUP(K$2,Earnings!$G$2:$BC$81,('Yearly Pension'!$A77)+1, FALSE)) &gt; K$1, (Assumptions!$B$8)*(K$1) + (Assumptions!$B$9)*MAX(0,  (HLOOKUP(K$2,Earnings!$G$2:$BC$81,('Yearly Pension'!$A77)+1, FALSE)) - K$1), ((Assumptions!$B$8)*'Yearly Pension'!K$1))))</f>
        <v>0</v>
      </c>
      <c r="L77" s="6">
        <f>(HLOOKUP('Yearly Pension'!L$2,'Credited Service'!$G$1:$BC$80,$A77+1,FALSE)) * (IF($B77=500, (Assumptions!$B$7)*12, IF((HLOOKUP(L$2,Earnings!$G$2:$BC$81,('Yearly Pension'!$A77)+1, FALSE)) &gt; L$1, (Assumptions!$B$8)*(L$1) + (Assumptions!$B$9)*MAX(0,  (HLOOKUP(L$2,Earnings!$G$2:$BC$81,('Yearly Pension'!$A77)+1, FALSE)) - L$1), ((Assumptions!$B$8)*'Yearly Pension'!L$1))))</f>
        <v>182.26973327796901</v>
      </c>
      <c r="M77" s="6">
        <f>(HLOOKUP('Yearly Pension'!M$2,'Credited Service'!$G$1:$BC$80,$A77+1,FALSE)) * (IF($B77=500, (Assumptions!$B$7)*12, IF((HLOOKUP(M$2,Earnings!$G$2:$BC$81,('Yearly Pension'!$A77)+1, FALSE)) &gt; M$1, (Assumptions!$B$8)*(M$1) + (Assumptions!$B$9)*MAX(0,  (HLOOKUP(M$2,Earnings!$G$2:$BC$81,('Yearly Pension'!$A77)+1, FALSE)) - M$1), ((Assumptions!$B$8)*'Yearly Pension'!M$1))))</f>
        <v>560.10556782726349</v>
      </c>
      <c r="N77" s="6">
        <f>(HLOOKUP('Yearly Pension'!N$2,'Credited Service'!$G$1:$BC$80,$A77+1,FALSE)) * (IF($B77=500, (Assumptions!$B$7)*12, IF((HLOOKUP(N$2,Earnings!$G$2:$BC$81,('Yearly Pension'!$A77)+1, FALSE)) &gt; N$1, (Assumptions!$B$8)*(N$1) + (Assumptions!$B$9)*MAX(0,  (HLOOKUP(N$2,Earnings!$G$2:$BC$81,('Yearly Pension'!$A77)+1, FALSE)) - N$1), ((Assumptions!$B$8)*'Yearly Pension'!N$1))))</f>
        <v>572.52579054035414</v>
      </c>
      <c r="O77" s="6">
        <f>(HLOOKUP('Yearly Pension'!O$2,'Credited Service'!$G$1:$BC$80,$A77+1,FALSE)) * (IF($B77=500, (Assumptions!$B$7)*12, IF((HLOOKUP(O$2,Earnings!$G$2:$BC$81,('Yearly Pension'!$A77)+1, FALSE)) &gt; O$1, (Assumptions!$B$8)*(O$1) + (Assumptions!$B$9)*MAX(0,  (HLOOKUP(O$2,Earnings!$G$2:$BC$81,('Yearly Pension'!$A77)+1, FALSE)) - O$1), ((Assumptions!$B$8)*'Yearly Pension'!O$1))))</f>
        <v>584.11162216196828</v>
      </c>
      <c r="P77" s="6">
        <f>(HLOOKUP('Yearly Pension'!P$2,'Credited Service'!$G$1:$BC$80,$A77+1,FALSE)) * (IF($B77=500, (Assumptions!$B$7)*12, IF((HLOOKUP(P$2,Earnings!$G$2:$BC$81,('Yearly Pension'!$A77)+1, FALSE)) &gt; P$1, (Assumptions!$B$8)*(P$1) + (Assumptions!$B$9)*MAX(0,  (HLOOKUP(P$2,Earnings!$G$2:$BC$81,('Yearly Pension'!$A77)+1, FALSE)) - P$1), ((Assumptions!$B$8)*'Yearly Pension'!P$1))))</f>
        <v>598.10648704844698</v>
      </c>
      <c r="Q77" s="6">
        <f>(HLOOKUP('Yearly Pension'!Q$2,'Credited Service'!$G$1:$BC$80,$A77+1,FALSE)) * (IF($B77=500, (Assumptions!$B$7)*12, IF((HLOOKUP(Q$2,Earnings!$G$2:$BC$81,('Yearly Pension'!$A77)+1, FALSE)) &gt; Q$1, (Assumptions!$B$8)*(Q$1) + (Assumptions!$B$9)*MAX(0,  (HLOOKUP(Q$2,Earnings!$G$2:$BC$81,('Yearly Pension'!$A77)+1, FALSE)) - Q$1), ((Assumptions!$B$8)*'Yearly Pension'!Q$1))))</f>
        <v>627.9955465303849</v>
      </c>
      <c r="R77" s="6">
        <f>(HLOOKUP('Yearly Pension'!R$2,'Credited Service'!$G$1:$BC$80,$A77+1,FALSE)) * (IF($B77=500, (Assumptions!$B$7)*12, IF((HLOOKUP(R$2,Earnings!$G$2:$BC$81,('Yearly Pension'!$A77)+1, FALSE)) &gt; R$1, (Assumptions!$B$8)*(R$1) + (Assumptions!$B$9)*MAX(0,  (HLOOKUP(R$2,Earnings!$G$2:$BC$81,('Yearly Pension'!$A77)+1, FALSE)) - R$1), ((Assumptions!$B$8)*'Yearly Pension'!R$1))))</f>
        <v>655.9057683916003</v>
      </c>
      <c r="S77" s="6">
        <f>(HLOOKUP('Yearly Pension'!S$2,'Credited Service'!$G$1:$BC$80,$A77+1,FALSE)) * (IF($B77=500, (Assumptions!$B$7)*12, IF((HLOOKUP(S$2,Earnings!$G$2:$BC$81,('Yearly Pension'!$A77)+1, FALSE)) &gt; S$1, (Assumptions!$B$8)*(S$1) + (Assumptions!$B$9)*MAX(0,  (HLOOKUP(S$2,Earnings!$G$2:$BC$81,('Yearly Pension'!$A77)+1, FALSE)) - S$1), ((Assumptions!$B$8)*'Yearly Pension'!S$1))))</f>
        <v>681.24599912726433</v>
      </c>
      <c r="T77" s="6">
        <f>(HLOOKUP('Yearly Pension'!T$2,'Credited Service'!$G$1:$BC$80,$A77+1,FALSE)) * (IF($B77=500, (Assumptions!$B$7)*12, IF((HLOOKUP(T$2,Earnings!$G$2:$BC$81,('Yearly Pension'!$A77)+1, FALSE)) &gt; T$1, (Assumptions!$B$8)*(T$1) + (Assumptions!$B$9)*MAX(0,  (HLOOKUP(T$2,Earnings!$G$2:$BC$81,('Yearly Pension'!$A77)+1, FALSE)) - T$1), ((Assumptions!$B$8)*'Yearly Pension'!T$1))))</f>
        <v>707.90703909235492</v>
      </c>
      <c r="U77" s="6">
        <f>(HLOOKUP('Yearly Pension'!U$2,'Credited Service'!$G$1:$BC$80,$A77+1,FALSE)) * (IF($B77=500, (Assumptions!$B$7)*12, IF((HLOOKUP(U$2,Earnings!$G$2:$BC$81,('Yearly Pension'!$A77)+1, FALSE)) &gt; U$1, (Assumptions!$B$8)*(U$1) + (Assumptions!$B$9)*MAX(0,  (HLOOKUP(U$2,Earnings!$G$2:$BC$81,('Yearly Pension'!$A77)+1, FALSE)) - U$1), ((Assumptions!$B$8)*'Yearly Pension'!U$1))))</f>
        <v>733.38172065604908</v>
      </c>
      <c r="V77" s="6">
        <f>(HLOOKUP('Yearly Pension'!V$2,'Credited Service'!$G$1:$BC$80,$A77+1,FALSE)) * (IF($B77=500, (Assumptions!$B$7)*12, IF((HLOOKUP(V$2,Earnings!$G$2:$BC$81,('Yearly Pension'!$A77)+1, FALSE)) &gt; V$1, (Assumptions!$B$8)*(V$1) + (Assumptions!$B$9)*MAX(0,  (HLOOKUP(V$2,Earnings!$G$2:$BC$81,('Yearly Pension'!$A77)+1, FALSE)) - V$1), ((Assumptions!$B$8)*'Yearly Pension'!V$1))))</f>
        <v>759.64498948229107</v>
      </c>
      <c r="W77" s="6">
        <f>(HLOOKUP('Yearly Pension'!W$2,'Credited Service'!$G$1:$BC$80,$A77+1,FALSE)) * (IF($B77=500, (Assumptions!$B$7)*12, IF((HLOOKUP(W$2,Earnings!$G$2:$BC$81,('Yearly Pension'!$A77)+1, FALSE)) &gt; W$1, (Assumptions!$B$8)*(W$1) + (Assumptions!$B$9)*MAX(0,  (HLOOKUP(W$2,Earnings!$G$2:$BC$81,('Yearly Pension'!$A77)+1, FALSE)) - W$1), ((Assumptions!$B$8)*'Yearly Pension'!W$1))))</f>
        <v>790.59398906158276</v>
      </c>
      <c r="X77" s="6">
        <f>(HLOOKUP('Yearly Pension'!X$2,'Credited Service'!$G$1:$BC$80,$A77+1,FALSE)) * (IF($B77=500, (Assumptions!$B$7)*12, IF((HLOOKUP(X$2,Earnings!$G$2:$BC$81,('Yearly Pension'!$A77)+1, FALSE)) &gt; X$1, (Assumptions!$B$8)*(X$1) + (Assumptions!$B$9)*MAX(0,  (HLOOKUP(X$2,Earnings!$G$2:$BC$81,('Yearly Pension'!$A77)+1, FALSE)) - X$1), ((Assumptions!$B$8)*'Yearly Pension'!X$1))))</f>
        <v>824.36814862404617</v>
      </c>
      <c r="Y77" s="6">
        <f>(HLOOKUP('Yearly Pension'!Y$2,'Credited Service'!$G$1:$BC$80,$A77+1,FALSE)) * (IF($B77=500, (Assumptions!$B$7)*12, IF((HLOOKUP(Y$2,Earnings!$G$2:$BC$81,('Yearly Pension'!$A77)+1, FALSE)) &gt; Y$1, (Assumptions!$B$8)*(Y$1) + (Assumptions!$B$9)*MAX(0,  (HLOOKUP(Y$2,Earnings!$G$2:$BC$81,('Yearly Pension'!$A77)+1, FALSE)) - Y$1), ((Assumptions!$B$8)*'Yearly Pension'!Y$1))))</f>
        <v>862.94927456900791</v>
      </c>
      <c r="Z77" s="6">
        <f>(HLOOKUP('Yearly Pension'!Z$2,'Credited Service'!$G$1:$BC$80,$A77+1,FALSE)) * (IF($B77=500, (Assumptions!$B$7)*12, IF((HLOOKUP(Z$2,Earnings!$G$2:$BC$81,('Yearly Pension'!$A77)+1, FALSE)) &gt; Z$1, (Assumptions!$B$8)*(Z$1) + (Assumptions!$B$9)*MAX(0,  (HLOOKUP(Z$2,Earnings!$G$2:$BC$81,('Yearly Pension'!$A77)+1, FALSE)) - Z$1), ((Assumptions!$B$8)*'Yearly Pension'!Z$1))))</f>
        <v>903.20164555176825</v>
      </c>
      <c r="AA77" s="6">
        <f>(HLOOKUP('Yearly Pension'!AA$2,'Credited Service'!$G$1:$BC$80,$A77+1,FALSE)) * (IF($B77=500, (Assumptions!$B$7)*12, IF((HLOOKUP(AA$2,Earnings!$G$2:$BC$81,('Yearly Pension'!$A77)+1, FALSE)) &gt; AA$1, (Assumptions!$B$8)*(AA$1) + (Assumptions!$B$9)*MAX(0,  (HLOOKUP(AA$2,Earnings!$G$2:$BC$81,('Yearly Pension'!$A77)+1, FALSE)) - AA$1), ((Assumptions!$B$8)*'Yearly Pension'!AA$1))))</f>
        <v>945.8321113738391</v>
      </c>
      <c r="AB77" s="6">
        <f>(HLOOKUP('Yearly Pension'!AB$2,'Credited Service'!$G$1:$BC$80,$A77+1,FALSE)) * (IF($B77=500, (Assumptions!$B$7)*12, IF((HLOOKUP(AB$2,Earnings!$G$2:$BC$81,('Yearly Pension'!$A77)+1, FALSE)) &gt; AB$1, (Assumptions!$B$8)*(AB$1) + (Assumptions!$B$9)*MAX(0,  (HLOOKUP(AB$2,Earnings!$G$2:$BC$81,('Yearly Pension'!$A77)+1, FALSE)) - AB$1), ((Assumptions!$B$8)*'Yearly Pension'!AB$1))))</f>
        <v>985.79019582879278</v>
      </c>
      <c r="AC77" s="6">
        <f>(HLOOKUP('Yearly Pension'!AC$2,'Credited Service'!$G$1:$BC$80,$A77+1,FALSE)) * (IF($B77=500, (Assumptions!$B$7)*12, IF((HLOOKUP(AC$2,Earnings!$G$2:$BC$81,('Yearly Pension'!$A77)+1, FALSE)) &gt; AC$1, (Assumptions!$B$8)*(AC$1) + (Assumptions!$B$9)*MAX(0,  (HLOOKUP(AC$2,Earnings!$G$2:$BC$81,('Yearly Pension'!$A77)+1, FALSE)) - AC$1), ((Assumptions!$B$8)*'Yearly Pension'!AC$1))))</f>
        <v>1031.4682036619447</v>
      </c>
      <c r="AD77" s="6">
        <f>(HLOOKUP('Yearly Pension'!AD$2,'Credited Service'!$G$1:$BC$80,$A77+1,FALSE)) * (IF($B77=500, (Assumptions!$B$7)*12, IF((HLOOKUP(AD$2,Earnings!$G$2:$BC$81,('Yearly Pension'!$A77)+1, FALSE)) &gt; AD$1, (Assumptions!$B$8)*(AD$1) + (Assumptions!$B$9)*MAX(0,  (HLOOKUP(AD$2,Earnings!$G$2:$BC$81,('Yearly Pension'!$A77)+1, FALSE)) - AD$1), ((Assumptions!$B$8)*'Yearly Pension'!AD$1))))</f>
        <v>1081.0213318084225</v>
      </c>
      <c r="AE77" s="6">
        <f>(HLOOKUP('Yearly Pension'!AE$2,'Credited Service'!$G$1:$BC$80,$A77+1,FALSE)) * (IF($B77=500, (Assumptions!$B$7)*12, IF((HLOOKUP(AE$2,Earnings!$G$2:$BC$81,('Yearly Pension'!$A77)+1, FALSE)) &gt; AE$1, (Assumptions!$B$8)*(AE$1) + (Assumptions!$B$9)*MAX(0,  (HLOOKUP(AE$2,Earnings!$G$2:$BC$81,('Yearly Pension'!$A77)+1, FALSE)) - AE$1), ((Assumptions!$B$8)*'Yearly Pension'!AE$1))))</f>
        <v>1129.4077850807594</v>
      </c>
      <c r="AF77" s="6">
        <f>(HLOOKUP('Yearly Pension'!AF$2,'Credited Service'!$G$1:$BC$80,$A77+1,FALSE)) * (IF($B77=500, (Assumptions!$B$7)*12, IF((HLOOKUP(AF$2,Earnings!$G$2:$BC$81,('Yearly Pension'!$A77)+1, FALSE)) &gt; AF$1, (Assumptions!$B$8)*(AF$1) + (Assumptions!$B$9)*MAX(0,  (HLOOKUP(AF$2,Earnings!$G$2:$BC$81,('Yearly Pension'!$A77)+1, FALSE)) - AF$1), ((Assumptions!$B$8)*'Yearly Pension'!AF$1))))</f>
        <v>1179.2688964839897</v>
      </c>
      <c r="AG77" s="6">
        <f>(HLOOKUP('Yearly Pension'!AG$2,'Credited Service'!$G$1:$BC$80,$A77+1,FALSE)) * (IF($B77=500, (Assumptions!$B$7)*12, IF((HLOOKUP(AG$2,Earnings!$G$2:$BC$81,('Yearly Pension'!$A77)+1, FALSE)) &gt; AG$1, (Assumptions!$B$8)*(AG$1) + (Assumptions!$B$9)*MAX(0,  (HLOOKUP(AG$2,Earnings!$G$2:$BC$81,('Yearly Pension'!$A77)+1, FALSE)) - AG$1), ((Assumptions!$B$8)*'Yearly Pension'!AG$1))))</f>
        <v>1231.3292523433493</v>
      </c>
      <c r="AH77" s="6">
        <f>(HLOOKUP('Yearly Pension'!AH$2,'Credited Service'!$G$1:$BC$80,$A77+1,FALSE)) * (IF($B77=500, (Assumptions!$B$7)*12, IF((HLOOKUP(AH$2,Earnings!$G$2:$BC$81,('Yearly Pension'!$A77)+1, FALSE)) &gt; AH$1, (Assumptions!$B$8)*(AH$1) + (Assumptions!$B$9)*MAX(0,  (HLOOKUP(AH$2,Earnings!$G$2:$BC$81,('Yearly Pension'!$A77)+1, FALSE)) - AH$1), ((Assumptions!$B$8)*'Yearly Pension'!AH$1))))</f>
        <v>1286.9568224370832</v>
      </c>
      <c r="AI77" s="6">
        <f>(HLOOKUP('Yearly Pension'!AI$2,'Credited Service'!$G$1:$BC$80,$A77+1,FALSE)) * (IF($B77=500, (Assumptions!$B$7)*12, IF((HLOOKUP(AI$2,Earnings!$G$2:$BC$81,('Yearly Pension'!$A77)+1, FALSE)) &gt; AI$1, (Assumptions!$B$8)*(AI$1) + (Assumptions!$B$9)*MAX(0,  (HLOOKUP(AI$2,Earnings!$G$2:$BC$81,('Yearly Pension'!$A77)+1, FALSE)) - AI$1), ((Assumptions!$B$8)*'Yearly Pension'!AI$1))))</f>
        <v>1344.9630953345666</v>
      </c>
      <c r="AJ77" s="6">
        <f>(HLOOKUP('Yearly Pension'!AJ$2,'Credited Service'!$G$1:$BC$80,$A77+1,FALSE)) * (IF($B77=500, (Assumptions!$B$7)*12, IF((HLOOKUP(AJ$2,Earnings!$G$2:$BC$81,('Yearly Pension'!$A77)+1, FALSE)) &gt; AJ$1, (Assumptions!$B$8)*(AJ$1) + (Assumptions!$B$9)*MAX(0,  (HLOOKUP(AJ$2,Earnings!$G$2:$BC$81,('Yearly Pension'!$A77)+1, FALSE)) - AJ$1), ((Assumptions!$B$8)*'Yearly Pension'!AJ$1))))</f>
        <v>1402.8832191479494</v>
      </c>
      <c r="AK77" s="6">
        <f>(HLOOKUP('Yearly Pension'!AK$2,'Credited Service'!$G$1:$BC$80,$A77+1,FALSE)) * (IF($B77=500, (Assumptions!$B$7)*12, IF((HLOOKUP(AK$2,Earnings!$G$2:$BC$81,('Yearly Pension'!$A77)+1, FALSE)) &gt; AK$1, (Assumptions!$B$8)*(AK$1) + (Assumptions!$B$9)*MAX(0,  (HLOOKUP(AK$2,Earnings!$G$2:$BC$81,('Yearly Pension'!$A77)+1, FALSE)) - AK$1), ((Assumptions!$B$8)*'Yearly Pension'!AK$1))))</f>
        <v>1459.5361479138674</v>
      </c>
      <c r="AL77" s="6">
        <f>(HLOOKUP('Yearly Pension'!AL$2,'Credited Service'!$G$1:$BC$80,$A77+1,FALSE)) * (IF($B77=500, (Assumptions!$B$7)*12, IF((HLOOKUP(AL$2,Earnings!$G$2:$BC$81,('Yearly Pension'!$A77)+1, FALSE)) &gt; AL$1, (Assumptions!$B$8)*(AL$1) + (Assumptions!$B$9)*MAX(0,  (HLOOKUP(AL$2,Earnings!$G$2:$BC$81,('Yearly Pension'!$A77)+1, FALSE)) - AL$1), ((Assumptions!$B$8)*'Yearly Pension'!AL$1))))</f>
        <v>1521.424793830422</v>
      </c>
      <c r="AM77" s="6">
        <f>(HLOOKUP('Yearly Pension'!AM$2,'Credited Service'!$G$1:$BC$80,$A77+1,FALSE)) * (IF($B77=500, (Assumptions!$B$7)*12, IF((HLOOKUP(AM$2,Earnings!$G$2:$BC$81,('Yearly Pension'!$A77)+1, FALSE)) &gt; AM$1, (Assumptions!$B$8)*(AM$1) + (Assumptions!$B$9)*MAX(0,  (HLOOKUP(AM$2,Earnings!$G$2:$BC$81,('Yearly Pension'!$A77)+1, FALSE)) - AM$1), ((Assumptions!$B$8)*'Yearly Pension'!AM$1))))</f>
        <v>1584.816185583639</v>
      </c>
      <c r="AN77" s="6">
        <f>(HLOOKUP('Yearly Pension'!AN$2,'Credited Service'!$G$1:$BC$80,$A77+1,FALSE)) * (IF($B77=500, (Assumptions!$B$7)*12, IF((HLOOKUP(AN$2,Earnings!$G$2:$BC$81,('Yearly Pension'!$A77)+1, FALSE)) &gt; AN$1, (Assumptions!$B$8)*(AN$1) + (Assumptions!$B$9)*MAX(0,  (HLOOKUP(AN$2,Earnings!$G$2:$BC$81,('Yearly Pension'!$A77)+1, FALSE)) - AN$1), ((Assumptions!$B$8)*'Yearly Pension'!AN$1))))</f>
        <v>1654.3016330069847</v>
      </c>
      <c r="AO77" s="6">
        <f>(HLOOKUP('Yearly Pension'!AO$2,'Credited Service'!$G$1:$BC$80,$A77+1,FALSE)) * (IF($B77=500, (Assumptions!$B$7)*12, IF((HLOOKUP(AO$2,Earnings!$G$2:$BC$81,('Yearly Pension'!$A77)+1, FALSE)) &gt; AO$1, (Assumptions!$B$8)*(AO$1) + (Assumptions!$B$9)*MAX(0,  (HLOOKUP(AO$2,Earnings!$G$2:$BC$81,('Yearly Pension'!$A77)+1, FALSE)) - AO$1), ((Assumptions!$B$8)*'Yearly Pension'!AO$1))))</f>
        <v>1725.5168983272642</v>
      </c>
      <c r="AP77" s="6">
        <f>(HLOOKUP('Yearly Pension'!AP$2,'Credited Service'!$G$1:$BC$80,$A77+1,FALSE)) * (IF($B77=500, (Assumptions!$B$7)*12, IF((HLOOKUP(AP$2,Earnings!$G$2:$BC$81,('Yearly Pension'!$A77)+1, FALSE)) &gt; AP$1, (Assumptions!$B$8)*(AP$1) + (Assumptions!$B$9)*MAX(0,  (HLOOKUP(AP$2,Earnings!$G$2:$BC$81,('Yearly Pension'!$A77)+1, FALSE)) - AP$1), ((Assumptions!$B$8)*'Yearly Pension'!AP$1))))</f>
        <v>1795.3823742603554</v>
      </c>
      <c r="AQ77" s="6">
        <f>(HLOOKUP('Yearly Pension'!AQ$2,'Credited Service'!$G$1:$BC$80,$A77+1,FALSE)) * (IF($B77=500, (Assumptions!$B$7)*12, IF((HLOOKUP(AQ$2,Earnings!$G$2:$BC$81,('Yearly Pension'!$A77)+1, FALSE)) &gt; AQ$1, (Assumptions!$B$8)*(AQ$1) + (Assumptions!$B$9)*MAX(0,  (HLOOKUP(AQ$2,Earnings!$G$2:$BC$81,('Yearly Pension'!$A77)+1, FALSE)) - AQ$1), ((Assumptions!$B$8)*'Yearly Pension'!AQ$1))))</f>
        <v>1873.6232692307694</v>
      </c>
      <c r="AR77" s="6">
        <f>(HLOOKUP('Yearly Pension'!AR$2,'Credited Service'!$G$1:$BC$80,$A77+1,FALSE)) * (IF($B77=500, (Assumptions!$B$7)*12, IF((HLOOKUP(AR$2,Earnings!$G$2:$BC$81,('Yearly Pension'!$A77)+1, FALSE)) &gt; AR$1, (Assumptions!$B$8)*(AR$1) + (Assumptions!$B$9)*MAX(0,  (HLOOKUP(AR$2,Earnings!$G$2:$BC$81,('Yearly Pension'!$A77)+1, FALSE)) - AR$1), ((Assumptions!$B$8)*'Yearly Pension'!AR$1))))</f>
        <v>1952.6898000000001</v>
      </c>
      <c r="AS77" s="6">
        <f>(HLOOKUP('Yearly Pension'!AS$2,'Credited Service'!$G$1:$BC$80,$A77+1,FALSE)) * (IF($B77=500, (Assumptions!$B$7)*12, IF((HLOOKUP(AS$2,Earnings!$G$2:$BC$81,('Yearly Pension'!$A77)+1, FALSE)) &gt; AS$1, (Assumptions!$B$8)*(AS$1) + (Assumptions!$B$9)*MAX(0,  (HLOOKUP(AS$2,Earnings!$G$2:$BC$81,('Yearly Pension'!$A77)+1, FALSE)) - AS$1), ((Assumptions!$B$8)*'Yearly Pension'!AS$1))))</f>
        <v>2014.3104940000003</v>
      </c>
      <c r="AT77" s="6">
        <f>(HLOOKUP('Yearly Pension'!AT$2,'Credited Service'!$G$1:$BC$80,$A77+1,FALSE)) * (IF($B77=500, (Assumptions!$B$7)*12, IF((HLOOKUP(AT$2,Earnings!$G$2:$BC$81,('Yearly Pension'!$A77)+1, FALSE)) &gt; AT$1, (Assumptions!$B$8)*(AT$1) + (Assumptions!$B$9)*MAX(0,  (HLOOKUP(AT$2,Earnings!$G$2:$BC$81,('Yearly Pension'!$A77)+1, FALSE)) - AT$1), ((Assumptions!$B$8)*'Yearly Pension'!AT$1))))</f>
        <v>2076.7110088200002</v>
      </c>
      <c r="AU77" s="6">
        <f>(HLOOKUP('Yearly Pension'!AU$2,'Credited Service'!$G$1:$BC$80,$A77+1,FALSE)) * (IF($B77=500, (Assumptions!$B$7)*12, IF((HLOOKUP(AU$2,Earnings!$G$2:$BC$81,('Yearly Pension'!$A77)+1, FALSE)) &gt; AU$1, (Assumptions!$B$8)*(AU$1) + (Assumptions!$B$9)*MAX(0,  (HLOOKUP(AU$2,Earnings!$G$2:$BC$81,('Yearly Pension'!$A77)+1, FALSE)) - AU$1), ((Assumptions!$B$8)*'Yearly Pension'!AU$1))))</f>
        <v>2146.9931390846004</v>
      </c>
      <c r="AV77" s="6">
        <f>(HLOOKUP('Yearly Pension'!AV$2,'Credited Service'!$G$1:$BC$80,$A77+1,FALSE)) * (IF($B77=500, (Assumptions!$B$7)*12, IF((HLOOKUP(AV$2,Earnings!$G$2:$BC$81,('Yearly Pension'!$A77)+1, FALSE)) &gt; AV$1, (Assumptions!$B$8)*(AV$1) + (Assumptions!$B$9)*MAX(0,  (HLOOKUP(AV$2,Earnings!$G$2:$BC$81,('Yearly Pension'!$A77)+1, FALSE)) - AV$1), ((Assumptions!$B$8)*'Yearly Pension'!AV$1))))</f>
        <v>2218.1805332571384</v>
      </c>
      <c r="AW77" s="6">
        <f>(HLOOKUP('Yearly Pension'!AW$2,'Credited Service'!$G$1:$BC$80,$A77+1,FALSE)) * (IF($B77=500, (Assumptions!$B$7)*12, IF((HLOOKUP(AW$2,Earnings!$G$2:$BC$81,('Yearly Pension'!$A77)+1, FALSE)) &gt; AW$1, (Assumptions!$B$8)*(AW$1) + (Assumptions!$B$9)*MAX(0,  (HLOOKUP(AW$2,Earnings!$G$2:$BC$81,('Yearly Pension'!$A77)+1, FALSE)) - AW$1), ((Assumptions!$B$8)*'Yearly Pension'!AW$1))))</f>
        <v>2285.8587492548527</v>
      </c>
      <c r="AX77" s="6">
        <f>(HLOOKUP('Yearly Pension'!AX$2,'Credited Service'!$G$1:$BC$80,$A77+1,FALSE)) * (IF($B77=500, (Assumptions!$B$7)*12, IF((HLOOKUP(AX$2,Earnings!$G$2:$BC$81,('Yearly Pension'!$A77)+1, FALSE)) &gt; AX$1, (Assumptions!$B$8)*(AX$1) + (Assumptions!$B$9)*MAX(0,  (HLOOKUP(AX$2,Earnings!$G$2:$BC$81,('Yearly Pension'!$A77)+1, FALSE)) - AX$1), ((Assumptions!$B$8)*'Yearly Pension'!AX$1))))</f>
        <v>2350.7609117324987</v>
      </c>
      <c r="AY77" s="6">
        <f>(HLOOKUP('Yearly Pension'!AY$2,'Credited Service'!$G$1:$BC$80,$A77+1,FALSE)) * (IF($B77=500, (Assumptions!$B$7)*12, IF((HLOOKUP(AY$2,Earnings!$G$2:$BC$81,('Yearly Pension'!$A77)+1, FALSE)) &gt; AY$1, (Assumptions!$B$8)*(AY$1) + (Assumptions!$B$9)*MAX(0,  (HLOOKUP(AY$2,Earnings!$G$2:$BC$81,('Yearly Pension'!$A77)+1, FALSE)) - AY$1), ((Assumptions!$B$8)*'Yearly Pension'!AY$1))))</f>
        <v>2417.4631950844741</v>
      </c>
      <c r="AZ77" s="6">
        <f>(HLOOKUP('Yearly Pension'!AZ$2,'Credited Service'!$G$1:$BC$80,$A77+1,FALSE)) * (IF($B77=500, (Assumptions!$B$7)*12, IF((HLOOKUP(AZ$2,Earnings!$G$2:$BC$81,('Yearly Pension'!$A77)+1, FALSE)) &gt; AZ$1, (Assumptions!$B$8)*(AZ$1) + (Assumptions!$B$9)*MAX(0,  (HLOOKUP(AZ$2,Earnings!$G$2:$BC$81,('Yearly Pension'!$A77)+1, FALSE)) - AZ$1), ((Assumptions!$B$8)*'Yearly Pension'!AZ$1))))</f>
        <v>1243.0068625885042</v>
      </c>
      <c r="BA77" s="6">
        <f>(HLOOKUP('Yearly Pension'!BA$2,'Credited Service'!$G$1:$BC$80,$A77+1,FALSE)) * (IF($B77=500, (Assumptions!$B$7)*12, IF((HLOOKUP(BA$2,Earnings!$G$2:$BC$81,('Yearly Pension'!$A77)+1, FALSE)) &gt; BA$1, (Assumptions!$B$8)*(BA$1) + (Assumptions!$B$9)*MAX(0,  (HLOOKUP(BA$2,Earnings!$G$2:$BC$81,('Yearly Pension'!$A77)+1, FALSE)) - BA$1), ((Assumptions!$B$8)*'Yearly Pension'!BA$1))))</f>
        <v>0</v>
      </c>
      <c r="BB77" s="6">
        <f>(HLOOKUP('Yearly Pension'!BB$2,'Credited Service'!$G$1:$BC$80,$A77+1,FALSE)) * (IF($B77=500, (Assumptions!$B$7)*12, IF((HLOOKUP(BB$2,Earnings!$G$2:$BC$81,('Yearly Pension'!$A77)+1, FALSE)) &gt; BB$1, (Assumptions!$B$8)*(BB$1) + (Assumptions!$B$9)*MAX(0,  (HLOOKUP(BB$2,Earnings!$G$2:$BC$81,('Yearly Pension'!$A77)+1, FALSE)) - BB$1), ((Assumptions!$B$8)*'Yearly Pension'!BB$1))))</f>
        <v>0</v>
      </c>
      <c r="BC77" s="6">
        <f>(HLOOKUP('Yearly Pension'!BC$2,'Credited Service'!$G$1:$BC$80,$A77+1,FALSE)) * (IF($B77=500, (Assumptions!$B$7)*12, IF((HLOOKUP(BC$2,Earnings!$G$2:$BC$81,('Yearly Pension'!$A77)+1, FALSE)) &gt; BC$1, (Assumptions!$B$8)*(BC$1) + (Assumptions!$B$9)*MAX(0,  (HLOOKUP(BC$2,Earnings!$G$2:$BC$81,('Yearly Pension'!$A77)+1, FALSE)) - BC$1), ((Assumptions!$B$8)*'Yearly Pension'!BC$1))))</f>
        <v>0</v>
      </c>
    </row>
    <row r="78" spans="1:55" x14ac:dyDescent="0.25">
      <c r="A78" s="204">
        <v>76</v>
      </c>
      <c r="B78" s="1">
        <v>600</v>
      </c>
      <c r="C78" s="1">
        <v>391</v>
      </c>
      <c r="D78" s="3">
        <v>29619</v>
      </c>
      <c r="E78" s="3">
        <v>45778</v>
      </c>
      <c r="G78" s="6">
        <f>(HLOOKUP('Yearly Pension'!G$2,'Credited Service'!$G$1:$BC$80,$A78+1,FALSE)) * (IF($B78=500, (Assumptions!$B$7)*12, IF((HLOOKUP(G$2,Earnings!$G$2:$BC$81,('Yearly Pension'!$A78)+1, FALSE)) &gt; G$1, (Assumptions!$B$8)*(G$1) + (Assumptions!$B$9)*MAX(0,  (HLOOKUP(G$2,Earnings!$G$2:$BC$81,('Yearly Pension'!$A78)+1, FALSE)) - G$1), ((Assumptions!$B$8)*'Yearly Pension'!G$1))))</f>
        <v>0</v>
      </c>
      <c r="H78" s="6">
        <f>(HLOOKUP('Yearly Pension'!H$2,'Credited Service'!$G$1:$BC$80,$A78+1,FALSE)) * (IF($B78=500, (Assumptions!$B$7)*12, IF((HLOOKUP(H$2,Earnings!$G$2:$BC$81,('Yearly Pension'!$A78)+1, FALSE)) &gt; H$1, (Assumptions!$B$8)*(H$1) + (Assumptions!$B$9)*MAX(0,  (HLOOKUP(H$2,Earnings!$G$2:$BC$81,('Yearly Pension'!$A78)+1, FALSE)) - H$1), ((Assumptions!$B$8)*'Yearly Pension'!H$1))))</f>
        <v>0</v>
      </c>
      <c r="I78" s="6">
        <f>(HLOOKUP('Yearly Pension'!I$2,'Credited Service'!$G$1:$BC$80,$A78+1,FALSE)) * (IF($B78=500, (Assumptions!$B$7)*12, IF((HLOOKUP(I$2,Earnings!$G$2:$BC$81,('Yearly Pension'!$A78)+1, FALSE)) &gt; I$1, (Assumptions!$B$8)*(I$1) + (Assumptions!$B$9)*MAX(0,  (HLOOKUP(I$2,Earnings!$G$2:$BC$81,('Yearly Pension'!$A78)+1, FALSE)) - I$1), ((Assumptions!$B$8)*'Yearly Pension'!I$1))))</f>
        <v>0</v>
      </c>
      <c r="J78" s="6">
        <f>(HLOOKUP('Yearly Pension'!J$2,'Credited Service'!$G$1:$BC$80,$A78+1,FALSE)) * (IF($B78=500, (Assumptions!$B$7)*12, IF((HLOOKUP(J$2,Earnings!$G$2:$BC$81,('Yearly Pension'!$A78)+1, FALSE)) &gt; J$1, (Assumptions!$B$8)*(J$1) + (Assumptions!$B$9)*MAX(0,  (HLOOKUP(J$2,Earnings!$G$2:$BC$81,('Yearly Pension'!$A78)+1, FALSE)) - J$1), ((Assumptions!$B$8)*'Yearly Pension'!J$1))))</f>
        <v>0</v>
      </c>
      <c r="K78" s="6">
        <f>(HLOOKUP('Yearly Pension'!K$2,'Credited Service'!$G$1:$BC$80,$A78+1,FALSE)) * (IF($B78=500, (Assumptions!$B$7)*12, IF((HLOOKUP(K$2,Earnings!$G$2:$BC$81,('Yearly Pension'!$A78)+1, FALSE)) &gt; K$1, (Assumptions!$B$8)*(K$1) + (Assumptions!$B$9)*MAX(0,  (HLOOKUP(K$2,Earnings!$G$2:$BC$81,('Yearly Pension'!$A78)+1, FALSE)) - K$1), ((Assumptions!$B$8)*'Yearly Pension'!K$1))))</f>
        <v>451.89963574974411</v>
      </c>
      <c r="L78" s="6">
        <f>(HLOOKUP('Yearly Pension'!L$2,'Credited Service'!$G$1:$BC$80,$A78+1,FALSE)) * (IF($B78=500, (Assumptions!$B$7)*12, IF((HLOOKUP(L$2,Earnings!$G$2:$BC$81,('Yearly Pension'!$A78)+1, FALSE)) &gt; L$1, (Assumptions!$B$8)*(L$1) + (Assumptions!$B$9)*MAX(0,  (HLOOKUP(L$2,Earnings!$G$2:$BC$81,('Yearly Pension'!$A78)+1, FALSE)) - L$1), ((Assumptions!$B$8)*'Yearly Pension'!L$1))))</f>
        <v>556.21394541568066</v>
      </c>
      <c r="M78" s="6">
        <f>(HLOOKUP('Yearly Pension'!M$2,'Credited Service'!$G$1:$BC$80,$A78+1,FALSE)) * (IF($B78=500, (Assumptions!$B$7)*12, IF((HLOOKUP(M$2,Earnings!$G$2:$BC$81,('Yearly Pension'!$A78)+1, FALSE)) &gt; M$1, (Assumptions!$B$8)*(M$1) + (Assumptions!$B$9)*MAX(0,  (HLOOKUP(M$2,Earnings!$G$2:$BC$81,('Yearly Pension'!$A78)+1, FALSE)) - M$1), ((Assumptions!$B$8)*'Yearly Pension'!M$1))))</f>
        <v>569.88650323230786</v>
      </c>
      <c r="N78" s="6">
        <f>(HLOOKUP('Yearly Pension'!N$2,'Credited Service'!$G$1:$BC$80,$A78+1,FALSE)) * (IF($B78=500, (Assumptions!$B$7)*12, IF((HLOOKUP(N$2,Earnings!$G$2:$BC$81,('Yearly Pension'!$A78)+1, FALSE)) &gt; N$1, (Assumptions!$B$8)*(N$1) + (Assumptions!$B$9)*MAX(0,  (HLOOKUP(N$2,Earnings!$G$2:$BC$81,('Yearly Pension'!$A78)+1, FALSE)) - N$1), ((Assumptions!$B$8)*'Yearly Pension'!N$1))))</f>
        <v>582.69796336160027</v>
      </c>
      <c r="O78" s="6">
        <f>(HLOOKUP('Yearly Pension'!O$2,'Credited Service'!$G$1:$BC$80,$A78+1,FALSE)) * (IF($B78=500, (Assumptions!$B$7)*12, IF((HLOOKUP(O$2,Earnings!$G$2:$BC$81,('Yearly Pension'!$A78)+1, FALSE)) &gt; O$1, (Assumptions!$B$8)*(O$1) + (Assumptions!$B$9)*MAX(0,  (HLOOKUP(O$2,Earnings!$G$2:$BC$81,('Yearly Pension'!$A78)+1, FALSE)) - O$1), ((Assumptions!$B$8)*'Yearly Pension'!O$1))))</f>
        <v>594.69068189606435</v>
      </c>
      <c r="P78" s="6">
        <f>(HLOOKUP('Yearly Pension'!P$2,'Credited Service'!$G$1:$BC$80,$A78+1,FALSE)) * (IF($B78=500, (Assumptions!$B$7)*12, IF((HLOOKUP(P$2,Earnings!$G$2:$BC$81,('Yearly Pension'!$A78)+1, FALSE)) &gt; P$1, (Assumptions!$B$8)*(P$1) + (Assumptions!$B$9)*MAX(0,  (HLOOKUP(P$2,Earnings!$G$2:$BC$81,('Yearly Pension'!$A78)+1, FALSE)) - P$1), ((Assumptions!$B$8)*'Yearly Pension'!P$1))))</f>
        <v>609.10870917190698</v>
      </c>
      <c r="Q78" s="6">
        <f>(HLOOKUP('Yearly Pension'!Q$2,'Credited Service'!$G$1:$BC$80,$A78+1,FALSE)) * (IF($B78=500, (Assumptions!$B$7)*12, IF((HLOOKUP(Q$2,Earnings!$G$2:$BC$81,('Yearly Pension'!$A78)+1, FALSE)) &gt; Q$1, (Assumptions!$B$8)*(Q$1) + (Assumptions!$B$9)*MAX(0,  (HLOOKUP(Q$2,Earnings!$G$2:$BC$81,('Yearly Pension'!$A78)+1, FALSE)) - Q$1), ((Assumptions!$B$8)*'Yearly Pension'!Q$1))))</f>
        <v>639.43785753878319</v>
      </c>
      <c r="R78" s="6">
        <f>(HLOOKUP('Yearly Pension'!R$2,'Credited Service'!$G$1:$BC$80,$A78+1,FALSE)) * (IF($B78=500, (Assumptions!$B$7)*12, IF((HLOOKUP(R$2,Earnings!$G$2:$BC$81,('Yearly Pension'!$A78)+1, FALSE)) &gt; R$1, (Assumptions!$B$8)*(R$1) + (Assumptions!$B$9)*MAX(0,  (HLOOKUP(R$2,Earnings!$G$2:$BC$81,('Yearly Pension'!$A78)+1, FALSE)) - R$1), ((Assumptions!$B$8)*'Yearly Pension'!R$1))))</f>
        <v>667.80577184033461</v>
      </c>
      <c r="S78" s="6">
        <f>(HLOOKUP('Yearly Pension'!S$2,'Credited Service'!$G$1:$BC$80,$A78+1,FALSE)) * (IF($B78=500, (Assumptions!$B$7)*12, IF((HLOOKUP(S$2,Earnings!$G$2:$BC$81,('Yearly Pension'!$A78)+1, FALSE)) &gt; S$1, (Assumptions!$B$8)*(S$1) + (Assumptions!$B$9)*MAX(0,  (HLOOKUP(S$2,Earnings!$G$2:$BC$81,('Yearly Pension'!$A78)+1, FALSE)) - S$1), ((Assumptions!$B$8)*'Yearly Pension'!S$1))))</f>
        <v>693.62200271394795</v>
      </c>
      <c r="T78" s="6">
        <f>(HLOOKUP('Yearly Pension'!T$2,'Credited Service'!$G$1:$BC$80,$A78+1,FALSE)) * (IF($B78=500, (Assumptions!$B$7)*12, IF((HLOOKUP(T$2,Earnings!$G$2:$BC$81,('Yearly Pension'!$A78)+1, FALSE)) &gt; T$1, (Assumptions!$B$8)*(T$1) + (Assumptions!$B$9)*MAX(0,  (HLOOKUP(T$2,Earnings!$G$2:$BC$81,('Yearly Pension'!$A78)+1, FALSE)) - T$1), ((Assumptions!$B$8)*'Yearly Pension'!T$1))))</f>
        <v>720.77808282250589</v>
      </c>
      <c r="U78" s="6">
        <f>(HLOOKUP('Yearly Pension'!U$2,'Credited Service'!$G$1:$BC$80,$A78+1,FALSE)) * (IF($B78=500, (Assumptions!$B$7)*12, IF((HLOOKUP(U$2,Earnings!$G$2:$BC$81,('Yearly Pension'!$A78)+1, FALSE)) &gt; U$1, (Assumptions!$B$8)*(U$1) + (Assumptions!$B$9)*MAX(0,  (HLOOKUP(U$2,Earnings!$G$2:$BC$81,('Yearly Pension'!$A78)+1, FALSE)) - U$1), ((Assumptions!$B$8)*'Yearly Pension'!U$1))))</f>
        <v>746.76760613540614</v>
      </c>
      <c r="V78" s="6">
        <f>(HLOOKUP('Yearly Pension'!V$2,'Credited Service'!$G$1:$BC$80,$A78+1,FALSE)) * (IF($B78=500, (Assumptions!$B$7)*12, IF((HLOOKUP(V$2,Earnings!$G$2:$BC$81,('Yearly Pension'!$A78)+1, FALSE)) &gt; V$1, (Assumptions!$B$8)*(V$1) + (Assumptions!$B$9)*MAX(0,  (HLOOKUP(V$2,Earnings!$G$2:$BC$81,('Yearly Pension'!$A78)+1, FALSE)) - V$1), ((Assumptions!$B$8)*'Yearly Pension'!V$1))))</f>
        <v>773.56631038082253</v>
      </c>
      <c r="W78" s="6">
        <f>(HLOOKUP('Yearly Pension'!W$2,'Credited Service'!$G$1:$BC$80,$A78+1,FALSE)) * (IF($B78=500, (Assumptions!$B$7)*12, IF((HLOOKUP(W$2,Earnings!$G$2:$BC$81,('Yearly Pension'!$A78)+1, FALSE)) &gt; W$1, (Assumptions!$B$8)*(W$1) + (Assumptions!$B$9)*MAX(0,  (HLOOKUP(W$2,Earnings!$G$2:$BC$81,('Yearly Pension'!$A78)+1, FALSE)) - W$1), ((Assumptions!$B$8)*'Yearly Pension'!W$1))))</f>
        <v>805.07216279605541</v>
      </c>
      <c r="X78" s="6">
        <f>(HLOOKUP('Yearly Pension'!X$2,'Credited Service'!$G$1:$BC$80,$A78+1,FALSE)) * (IF($B78=500, (Assumptions!$B$7)*12, IF((HLOOKUP(X$2,Earnings!$G$2:$BC$81,('Yearly Pension'!$A78)+1, FALSE)) &gt; X$1, (Assumptions!$B$8)*(X$1) + (Assumptions!$B$9)*MAX(0,  (HLOOKUP(X$2,Earnings!$G$2:$BC$81,('Yearly Pension'!$A78)+1, FALSE)) - X$1), ((Assumptions!$B$8)*'Yearly Pension'!X$1))))</f>
        <v>839.42544930789779</v>
      </c>
      <c r="Y78" s="6">
        <f>(HLOOKUP('Yearly Pension'!Y$2,'Credited Service'!$G$1:$BC$80,$A78+1,FALSE)) * (IF($B78=500, (Assumptions!$B$7)*12, IF((HLOOKUP(Y$2,Earnings!$G$2:$BC$81,('Yearly Pension'!$A78)+1, FALSE)) &gt; Y$1, (Assumptions!$B$8)*(Y$1) + (Assumptions!$B$9)*MAX(0,  (HLOOKUP(Y$2,Earnings!$G$2:$BC$81,('Yearly Pension'!$A78)+1, FALSE)) - Y$1), ((Assumptions!$B$8)*'Yearly Pension'!Y$1))))</f>
        <v>878.60886728021376</v>
      </c>
      <c r="Z78" s="6">
        <f>(HLOOKUP('Yearly Pension'!Z$2,'Credited Service'!$G$1:$BC$80,$A78+1,FALSE)) * (IF($B78=500, (Assumptions!$B$7)*12, IF((HLOOKUP(Z$2,Earnings!$G$2:$BC$81,('Yearly Pension'!$A78)+1, FALSE)) &gt; Z$1, (Assumptions!$B$8)*(Z$1) + (Assumptions!$B$9)*MAX(0,  (HLOOKUP(Z$2,Earnings!$G$2:$BC$81,('Yearly Pension'!$A78)+1, FALSE)) - Z$1), ((Assumptions!$B$8)*'Yearly Pension'!Z$1))))</f>
        <v>919.48762197142241</v>
      </c>
      <c r="AA78" s="6">
        <f>(HLOOKUP('Yearly Pension'!AA$2,'Credited Service'!$G$1:$BC$80,$A78+1,FALSE)) * (IF($B78=500, (Assumptions!$B$7)*12, IF((HLOOKUP(AA$2,Earnings!$G$2:$BC$81,('Yearly Pension'!$A78)+1, FALSE)) &gt; AA$1, (Assumptions!$B$8)*(AA$1) + (Assumptions!$B$9)*MAX(0,  (HLOOKUP(AA$2,Earnings!$G$2:$BC$81,('Yearly Pension'!$A78)+1, FALSE)) - AA$1), ((Assumptions!$B$8)*'Yearly Pension'!AA$1))))</f>
        <v>962.76952685027925</v>
      </c>
      <c r="AB78" s="6">
        <f>(HLOOKUP('Yearly Pension'!AB$2,'Credited Service'!$G$1:$BC$80,$A78+1,FALSE)) * (IF($B78=500, (Assumptions!$B$7)*12, IF((HLOOKUP(AB$2,Earnings!$G$2:$BC$81,('Yearly Pension'!$A78)+1, FALSE)) &gt; AB$1, (Assumptions!$B$8)*(AB$1) + (Assumptions!$B$9)*MAX(0,  (HLOOKUP(AB$2,Earnings!$G$2:$BC$81,('Yearly Pension'!$A78)+1, FALSE)) - AB$1), ((Assumptions!$B$8)*'Yearly Pension'!AB$1))))</f>
        <v>1003.4051079242904</v>
      </c>
      <c r="AC78" s="6">
        <f>(HLOOKUP('Yearly Pension'!AC$2,'Credited Service'!$G$1:$BC$80,$A78+1,FALSE)) * (IF($B78=500, (Assumptions!$B$7)*12, IF((HLOOKUP(AC$2,Earnings!$G$2:$BC$81,('Yearly Pension'!$A78)+1, FALSE)) &gt; AC$1, (Assumptions!$B$8)*(AC$1) + (Assumptions!$B$9)*MAX(0,  (HLOOKUP(AC$2,Earnings!$G$2:$BC$81,('Yearly Pension'!$A78)+1, FALSE)) - AC$1), ((Assumptions!$B$8)*'Yearly Pension'!AC$1))))</f>
        <v>1049.7877122412622</v>
      </c>
      <c r="AD78" s="6">
        <f>(HLOOKUP('Yearly Pension'!AD$2,'Credited Service'!$G$1:$BC$80,$A78+1,FALSE)) * (IF($B78=500, (Assumptions!$B$7)*12, IF((HLOOKUP(AD$2,Earnings!$G$2:$BC$81,('Yearly Pension'!$A78)+1, FALSE)) &gt; AD$1, (Assumptions!$B$8)*(AD$1) + (Assumptions!$B$9)*MAX(0,  (HLOOKUP(AD$2,Earnings!$G$2:$BC$81,('Yearly Pension'!$A78)+1, FALSE)) - AD$1), ((Assumptions!$B$8)*'Yearly Pension'!AD$1))))</f>
        <v>1100.0736207309126</v>
      </c>
      <c r="AE78" s="6">
        <f>(HLOOKUP('Yearly Pension'!AE$2,'Credited Service'!$G$1:$BC$80,$A78+1,FALSE)) * (IF($B78=500, (Assumptions!$B$7)*12, IF((HLOOKUP(AE$2,Earnings!$G$2:$BC$81,('Yearly Pension'!$A78)+1, FALSE)) &gt; AE$1, (Assumptions!$B$8)*(AE$1) + (Assumptions!$B$9)*MAX(0,  (HLOOKUP(AE$2,Earnings!$G$2:$BC$81,('Yearly Pension'!$A78)+1, FALSE)) - AE$1), ((Assumptions!$B$8)*'Yearly Pension'!AE$1))))</f>
        <v>1149.2221655601493</v>
      </c>
      <c r="AF78" s="6">
        <f>(HLOOKUP('Yearly Pension'!AF$2,'Credited Service'!$G$1:$BC$80,$A78+1,FALSE)) * (IF($B78=500, (Assumptions!$B$7)*12, IF((HLOOKUP(AF$2,Earnings!$G$2:$BC$81,('Yearly Pension'!$A78)+1, FALSE)) &gt; AF$1, (Assumptions!$B$8)*(AF$1) + (Assumptions!$B$9)*MAX(0,  (HLOOKUP(AF$2,Earnings!$G$2:$BC$81,('Yearly Pension'!$A78)+1, FALSE)) - AF$1), ((Assumptions!$B$8)*'Yearly Pension'!AF$1))))</f>
        <v>1199.8758521825553</v>
      </c>
      <c r="AG78" s="6">
        <f>(HLOOKUP('Yearly Pension'!AG$2,'Credited Service'!$G$1:$BC$80,$A78+1,FALSE)) * (IF($B78=500, (Assumptions!$B$7)*12, IF((HLOOKUP(AG$2,Earnings!$G$2:$BC$81,('Yearly Pension'!$A78)+1, FALSE)) &gt; AG$1, (Assumptions!$B$8)*(AG$1) + (Assumptions!$B$9)*MAX(0,  (HLOOKUP(AG$2,Earnings!$G$2:$BC$81,('Yearly Pension'!$A78)+1, FALSE)) - AG$1), ((Assumptions!$B$8)*'Yearly Pension'!AG$1))))</f>
        <v>1252.7604862698577</v>
      </c>
      <c r="AH78" s="6">
        <f>(HLOOKUP('Yearly Pension'!AH$2,'Credited Service'!$G$1:$BC$80,$A78+1,FALSE)) * (IF($B78=500, (Assumptions!$B$7)*12, IF((HLOOKUP(AH$2,Earnings!$G$2:$BC$81,('Yearly Pension'!$A78)+1, FALSE)) &gt; AH$1, (Assumptions!$B$8)*(AH$1) + (Assumptions!$B$9)*MAX(0,  (HLOOKUP(AH$2,Earnings!$G$2:$BC$81,('Yearly Pension'!$A78)+1, FALSE)) - AH$1), ((Assumptions!$B$8)*'Yearly Pension'!AH$1))))</f>
        <v>1309.2453057206517</v>
      </c>
      <c r="AI78" s="6">
        <f>(HLOOKUP('Yearly Pension'!AI$2,'Credited Service'!$G$1:$BC$80,$A78+1,FALSE)) * (IF($B78=500, (Assumptions!$B$7)*12, IF((HLOOKUP(AI$2,Earnings!$G$2:$BC$81,('Yearly Pension'!$A78)+1, FALSE)) &gt; AI$1, (Assumptions!$B$8)*(AI$1) + (Assumptions!$B$9)*MAX(0,  (HLOOKUP(AI$2,Earnings!$G$2:$BC$81,('Yearly Pension'!$A78)+1, FALSE)) - AI$1), ((Assumptions!$B$8)*'Yearly Pension'!AI$1))))</f>
        <v>1368.143117949478</v>
      </c>
      <c r="AJ78" s="6">
        <f>(HLOOKUP('Yearly Pension'!AJ$2,'Credited Service'!$G$1:$BC$80,$A78+1,FALSE)) * (IF($B78=500, (Assumptions!$B$7)*12, IF((HLOOKUP(AJ$2,Earnings!$G$2:$BC$81,('Yearly Pension'!$A78)+1, FALSE)) &gt; AJ$1, (Assumptions!$B$8)*(AJ$1) + (Assumptions!$B$9)*MAX(0,  (HLOOKUP(AJ$2,Earnings!$G$2:$BC$81,('Yearly Pension'!$A78)+1, FALSE)) - AJ$1), ((Assumptions!$B$8)*'Yearly Pension'!AJ$1))))</f>
        <v>1426.990442667457</v>
      </c>
      <c r="AK78" s="6">
        <f>(HLOOKUP('Yearly Pension'!AK$2,'Credited Service'!$G$1:$BC$80,$A78+1,FALSE)) * (IF($B78=500, (Assumptions!$B$7)*12, IF((HLOOKUP(AK$2,Earnings!$G$2:$BC$81,('Yearly Pension'!$A78)+1, FALSE)) &gt; AK$1, (Assumptions!$B$8)*(AK$1) + (Assumptions!$B$9)*MAX(0,  (HLOOKUP(AK$2,Earnings!$G$2:$BC$81,('Yearly Pension'!$A78)+1, FALSE)) - AK$1), ((Assumptions!$B$8)*'Yearly Pension'!AK$1))))</f>
        <v>1484.6076603741553</v>
      </c>
      <c r="AL78" s="6">
        <f>(HLOOKUP('Yearly Pension'!AL$2,'Credited Service'!$G$1:$BC$80,$A78+1,FALSE)) * (IF($B78=500, (Assumptions!$B$7)*12, IF((HLOOKUP(AL$2,Earnings!$G$2:$BC$81,('Yearly Pension'!$A78)+1, FALSE)) &gt; AL$1, (Assumptions!$B$8)*(AL$1) + (Assumptions!$B$9)*MAX(0,  (HLOOKUP(AL$2,Earnings!$G$2:$BC$81,('Yearly Pension'!$A78)+1, FALSE)) - AL$1), ((Assumptions!$B$8)*'Yearly Pension'!AL$1))))</f>
        <v>1547.4991667891215</v>
      </c>
      <c r="AM78" s="6">
        <f>(HLOOKUP('Yearly Pension'!AM$2,'Credited Service'!$G$1:$BC$80,$A78+1,FALSE)) * (IF($B78=500, (Assumptions!$B$7)*12, IF((HLOOKUP(AM$2,Earnings!$G$2:$BC$81,('Yearly Pension'!$A78)+1, FALSE)) &gt; AM$1, (Assumptions!$B$8)*(AM$1) + (Assumptions!$B$9)*MAX(0,  (HLOOKUP(AM$2,Earnings!$G$2:$BC$81,('Yearly Pension'!$A78)+1, FALSE)) - AM$1), ((Assumptions!$B$8)*'Yearly Pension'!AM$1))))</f>
        <v>1611.9335334606862</v>
      </c>
      <c r="AN78" s="6">
        <f>(HLOOKUP('Yearly Pension'!AN$2,'Credited Service'!$G$1:$BC$80,$A78+1,FALSE)) * (IF($B78=500, (Assumptions!$B$7)*12, IF((HLOOKUP(AN$2,Earnings!$G$2:$BC$81,('Yearly Pension'!$A78)+1, FALSE)) &gt; AN$1, (Assumptions!$B$8)*(AN$1) + (Assumptions!$B$9)*MAX(0,  (HLOOKUP(AN$2,Earnings!$G$2:$BC$81,('Yearly Pension'!$A78)+1, FALSE)) - AN$1), ((Assumptions!$B$8)*'Yearly Pension'!AN$1))))</f>
        <v>1682.5036747991139</v>
      </c>
      <c r="AO78" s="6">
        <f>(HLOOKUP('Yearly Pension'!AO$2,'Credited Service'!$G$1:$BC$80,$A78+1,FALSE)) * (IF($B78=500, (Assumptions!$B$7)*12, IF((HLOOKUP(AO$2,Earnings!$G$2:$BC$81,('Yearly Pension'!$A78)+1, FALSE)) &gt; AO$1, (Assumptions!$B$8)*(AO$1) + (Assumptions!$B$9)*MAX(0,  (HLOOKUP(AO$2,Earnings!$G$2:$BC$81,('Yearly Pension'!$A78)+1, FALSE)) - AO$1), ((Assumptions!$B$8)*'Yearly Pension'!AO$1))))</f>
        <v>1754.8470217910785</v>
      </c>
      <c r="AP78" s="6">
        <f>(HLOOKUP('Yearly Pension'!AP$2,'Credited Service'!$G$1:$BC$80,$A78+1,FALSE)) * (IF($B78=500, (Assumptions!$B$7)*12, IF((HLOOKUP(AP$2,Earnings!$G$2:$BC$81,('Yearly Pension'!$A78)+1, FALSE)) &gt; AP$1, (Assumptions!$B$8)*(AP$1) + (Assumptions!$B$9)*MAX(0,  (HLOOKUP(AP$2,Earnings!$G$2:$BC$81,('Yearly Pension'!$A78)+1, FALSE)) - AP$1), ((Assumptions!$B$8)*'Yearly Pension'!AP$1))))</f>
        <v>1825.885702662722</v>
      </c>
      <c r="AQ78" s="6">
        <f>(HLOOKUP('Yearly Pension'!AQ$2,'Credited Service'!$G$1:$BC$80,$A78+1,FALSE)) * (IF($B78=500, (Assumptions!$B$7)*12, IF((HLOOKUP(AQ$2,Earnings!$G$2:$BC$81,('Yearly Pension'!$A78)+1, FALSE)) &gt; AQ$1, (Assumptions!$B$8)*(AQ$1) + (Assumptions!$B$9)*MAX(0,  (HLOOKUP(AQ$2,Earnings!$G$2:$BC$81,('Yearly Pension'!$A78)+1, FALSE)) - AQ$1), ((Assumptions!$B$8)*'Yearly Pension'!AQ$1))))</f>
        <v>1905.3467307692304</v>
      </c>
      <c r="AR78" s="6">
        <f>(HLOOKUP('Yearly Pension'!AR$2,'Credited Service'!$G$1:$BC$80,$A78+1,FALSE)) * (IF($B78=500, (Assumptions!$B$7)*12, IF((HLOOKUP(AR$2,Earnings!$G$2:$BC$81,('Yearly Pension'!$A78)+1, FALSE)) &gt; AR$1, (Assumptions!$B$8)*(AR$1) + (Assumptions!$B$9)*MAX(0,  (HLOOKUP(AR$2,Earnings!$G$2:$BC$81,('Yearly Pension'!$A78)+1, FALSE)) - AR$1), ((Assumptions!$B$8)*'Yearly Pension'!AR$1))))</f>
        <v>1985.6822</v>
      </c>
      <c r="AS78" s="6">
        <f>(HLOOKUP('Yearly Pension'!AS$2,'Credited Service'!$G$1:$BC$80,$A78+1,FALSE)) * (IF($B78=500, (Assumptions!$B$7)*12, IF((HLOOKUP(AS$2,Earnings!$G$2:$BC$81,('Yearly Pension'!$A78)+1, FALSE)) &gt; AS$1, (Assumptions!$B$8)*(AS$1) + (Assumptions!$B$9)*MAX(0,  (HLOOKUP(AS$2,Earnings!$G$2:$BC$81,('Yearly Pension'!$A78)+1, FALSE)) - AS$1), ((Assumptions!$B$8)*'Yearly Pension'!AS$1))))</f>
        <v>2048.2926659999998</v>
      </c>
      <c r="AT78" s="6">
        <f>(HLOOKUP('Yearly Pension'!AT$2,'Credited Service'!$G$1:$BC$80,$A78+1,FALSE)) * (IF($B78=500, (Assumptions!$B$7)*12, IF((HLOOKUP(AT$2,Earnings!$G$2:$BC$81,('Yearly Pension'!$A78)+1, FALSE)) &gt; AT$1, (Assumptions!$B$8)*(AT$1) + (Assumptions!$B$9)*MAX(0,  (HLOOKUP(AT$2,Earnings!$G$2:$BC$81,('Yearly Pension'!$A78)+1, FALSE)) - AT$1), ((Assumptions!$B$8)*'Yearly Pension'!AT$1))))</f>
        <v>2111.7126459800002</v>
      </c>
      <c r="AU78" s="6">
        <f>(HLOOKUP('Yearly Pension'!AU$2,'Credited Service'!$G$1:$BC$80,$A78+1,FALSE)) * (IF($B78=500, (Assumptions!$B$7)*12, IF((HLOOKUP(AU$2,Earnings!$G$2:$BC$81,('Yearly Pension'!$A78)+1, FALSE)) &gt; AU$1, (Assumptions!$B$8)*(AU$1) + (Assumptions!$B$9)*MAX(0,  (HLOOKUP(AU$2,Earnings!$G$2:$BC$81,('Yearly Pension'!$A78)+1, FALSE)) - AU$1), ((Assumptions!$B$8)*'Yearly Pension'!AU$1))))</f>
        <v>2183.0448253594004</v>
      </c>
      <c r="AV78" s="6">
        <f>(HLOOKUP('Yearly Pension'!AV$2,'Credited Service'!$G$1:$BC$80,$A78+1,FALSE)) * (IF($B78=500, (Assumptions!$B$7)*12, IF((HLOOKUP(AV$2,Earnings!$G$2:$BC$81,('Yearly Pension'!$A78)+1, FALSE)) &gt; AV$1, (Assumptions!$B$8)*(AV$1) + (Assumptions!$B$9)*MAX(0,  (HLOOKUP(AV$2,Earnings!$G$2:$BC$81,('Yearly Pension'!$A78)+1, FALSE)) - AV$1), ((Assumptions!$B$8)*'Yearly Pension'!AV$1))))</f>
        <v>2255.3137701201822</v>
      </c>
      <c r="AW78" s="6">
        <f>(HLOOKUP('Yearly Pension'!AW$2,'Credited Service'!$G$1:$BC$80,$A78+1,FALSE)) * (IF($B78=500, (Assumptions!$B$7)*12, IF((HLOOKUP(AW$2,Earnings!$G$2:$BC$81,('Yearly Pension'!$A78)+1, FALSE)) &gt; AW$1, (Assumptions!$B$8)*(AW$1) + (Assumptions!$B$9)*MAX(0,  (HLOOKUP(AW$2,Earnings!$G$2:$BC$81,('Yearly Pension'!$A78)+1, FALSE)) - AW$1), ((Assumptions!$B$8)*'Yearly Pension'!AW$1))))</f>
        <v>2324.1059832237875</v>
      </c>
      <c r="AX78" s="6">
        <f>(HLOOKUP('Yearly Pension'!AX$2,'Credited Service'!$G$1:$BC$80,$A78+1,FALSE)) * (IF($B78=500, (Assumptions!$B$7)*12, IF((HLOOKUP(AX$2,Earnings!$G$2:$BC$81,('Yearly Pension'!$A78)+1, FALSE)) &gt; AX$1, (Assumptions!$B$8)*(AX$1) + (Assumptions!$B$9)*MAX(0,  (HLOOKUP(AX$2,Earnings!$G$2:$BC$81,('Yearly Pension'!$A78)+1, FALSE)) - AX$1), ((Assumptions!$B$8)*'Yearly Pension'!AX$1))))</f>
        <v>2390.1555627205012</v>
      </c>
      <c r="AY78" s="6">
        <f>(HLOOKUP('Yearly Pension'!AY$2,'Credited Service'!$G$1:$BC$80,$A78+1,FALSE)) * (IF($B78=500, (Assumptions!$B$7)*12, IF((HLOOKUP(AY$2,Earnings!$G$2:$BC$81,('Yearly Pension'!$A78)+1, FALSE)) &gt; AY$1, (Assumptions!$B$8)*(AY$1) + (Assumptions!$B$9)*MAX(0,  (HLOOKUP(AY$2,Earnings!$G$2:$BC$81,('Yearly Pension'!$A78)+1, FALSE)) - AY$1), ((Assumptions!$B$8)*'Yearly Pension'!AY$1))))</f>
        <v>2458.0396856021162</v>
      </c>
      <c r="AZ78" s="6">
        <f>(HLOOKUP('Yearly Pension'!AZ$2,'Credited Service'!$G$1:$BC$80,$A78+1,FALSE)) * (IF($B78=500, (Assumptions!$B$7)*12, IF((HLOOKUP(AZ$2,Earnings!$G$2:$BC$81,('Yearly Pension'!$A78)+1, FALSE)) &gt; AZ$1, (Assumptions!$B$8)*(AZ$1) + (Assumptions!$B$9)*MAX(0,  (HLOOKUP(AZ$2,Earnings!$G$2:$BC$81,('Yearly Pension'!$A78)+1, FALSE)) - AZ$1), ((Assumptions!$B$8)*'Yearly Pension'!AZ$1))))</f>
        <v>2527.8075104101799</v>
      </c>
      <c r="BA78" s="6">
        <f>(HLOOKUP('Yearly Pension'!BA$2,'Credited Service'!$G$1:$BC$80,$A78+1,FALSE)) * (IF($B78=500, (Assumptions!$B$7)*12, IF((HLOOKUP(BA$2,Earnings!$G$2:$BC$81,('Yearly Pension'!$A78)+1, FALSE)) &gt; BA$1, (Assumptions!$B$8)*(BA$1) + (Assumptions!$B$9)*MAX(0,  (HLOOKUP(BA$2,Earnings!$G$2:$BC$81,('Yearly Pension'!$A78)+1, FALSE)) - BA$1), ((Assumptions!$B$8)*'Yearly Pension'!BA$1))))</f>
        <v>2599.5094353320851</v>
      </c>
      <c r="BB78" s="6">
        <f>(HLOOKUP('Yearly Pension'!BB$2,'Credited Service'!$G$1:$BC$80,$A78+1,FALSE)) * (IF($B78=500, (Assumptions!$B$7)*12, IF((HLOOKUP(BB$2,Earnings!$G$2:$BC$81,('Yearly Pension'!$A78)+1, FALSE)) &gt; BB$1, (Assumptions!$B$8)*(BB$1) + (Assumptions!$B$9)*MAX(0,  (HLOOKUP(BB$2,Earnings!$G$2:$BC$81,('Yearly Pension'!$A78)+1, FALSE)) - BB$1), ((Assumptions!$B$8)*'Yearly Pension'!BB$1))))</f>
        <v>2673.197125986032</v>
      </c>
      <c r="BC78" s="6">
        <f>(HLOOKUP('Yearly Pension'!BC$2,'Credited Service'!$G$1:$BC$80,$A78+1,FALSE)) * (IF($B78=500, (Assumptions!$B$7)*12, IF((HLOOKUP(BC$2,Earnings!$G$2:$BC$81,('Yearly Pension'!$A78)+1, FALSE)) &gt; BC$1, (Assumptions!$B$8)*(BC$1) + (Assumptions!$B$9)*MAX(0,  (HLOOKUP(BC$2,Earnings!$G$2:$BC$81,('Yearly Pension'!$A78)+1, FALSE)) - BC$1), ((Assumptions!$B$8)*'Yearly Pension'!BC$1))))</f>
        <v>916.30784788778533</v>
      </c>
    </row>
    <row r="79" spans="1:55" x14ac:dyDescent="0.25">
      <c r="A79" s="204">
        <v>77</v>
      </c>
      <c r="B79" s="1">
        <v>600</v>
      </c>
      <c r="C79" s="1">
        <v>386</v>
      </c>
      <c r="D79" s="3">
        <v>29557</v>
      </c>
      <c r="E79" s="3">
        <v>44774</v>
      </c>
      <c r="G79" s="6">
        <f>(HLOOKUP('Yearly Pension'!G$2,'Credited Service'!$G$1:$BC$80,$A79+1,FALSE)) * (IF($B79=500, (Assumptions!$B$7)*12, IF((HLOOKUP(G$2,Earnings!$G$2:$BC$81,('Yearly Pension'!$A79)+1, FALSE)) &gt; G$1, (Assumptions!$B$8)*(G$1) + (Assumptions!$B$9)*MAX(0,  (HLOOKUP(G$2,Earnings!$G$2:$BC$81,('Yearly Pension'!$A79)+1, FALSE)) - G$1), ((Assumptions!$B$8)*'Yearly Pension'!G$1))))</f>
        <v>0</v>
      </c>
      <c r="H79" s="6">
        <f>(HLOOKUP('Yearly Pension'!H$2,'Credited Service'!$G$1:$BC$80,$A79+1,FALSE)) * (IF($B79=500, (Assumptions!$B$7)*12, IF((HLOOKUP(H$2,Earnings!$G$2:$BC$81,('Yearly Pension'!$A79)+1, FALSE)) &gt; H$1, (Assumptions!$B$8)*(H$1) + (Assumptions!$B$9)*MAX(0,  (HLOOKUP(H$2,Earnings!$G$2:$BC$81,('Yearly Pension'!$A79)+1, FALSE)) - H$1), ((Assumptions!$B$8)*'Yearly Pension'!H$1))))</f>
        <v>0</v>
      </c>
      <c r="I79" s="6">
        <f>(HLOOKUP('Yearly Pension'!I$2,'Credited Service'!$G$1:$BC$80,$A79+1,FALSE)) * (IF($B79=500, (Assumptions!$B$7)*12, IF((HLOOKUP(I$2,Earnings!$G$2:$BC$81,('Yearly Pension'!$A79)+1, FALSE)) &gt; I$1, (Assumptions!$B$8)*(I$1) + (Assumptions!$B$9)*MAX(0,  (HLOOKUP(I$2,Earnings!$G$2:$BC$81,('Yearly Pension'!$A79)+1, FALSE)) - I$1), ((Assumptions!$B$8)*'Yearly Pension'!I$1))))</f>
        <v>0</v>
      </c>
      <c r="J79" s="6">
        <f>(HLOOKUP('Yearly Pension'!J$2,'Credited Service'!$G$1:$BC$80,$A79+1,FALSE)) * (IF($B79=500, (Assumptions!$B$7)*12, IF((HLOOKUP(J$2,Earnings!$G$2:$BC$81,('Yearly Pension'!$A79)+1, FALSE)) &gt; J$1, (Assumptions!$B$8)*(J$1) + (Assumptions!$B$9)*MAX(0,  (HLOOKUP(J$2,Earnings!$G$2:$BC$81,('Yearly Pension'!$A79)+1, FALSE)) - J$1), ((Assumptions!$B$8)*'Yearly Pension'!J$1))))</f>
        <v>44.365983589633203</v>
      </c>
      <c r="K79" s="6">
        <f>(HLOOKUP('Yearly Pension'!K$2,'Credited Service'!$G$1:$BC$80,$A79+1,FALSE)) * (IF($B79=500, (Assumptions!$B$7)*12, IF((HLOOKUP(K$2,Earnings!$G$2:$BC$81,('Yearly Pension'!$A79)+1, FALSE)) &gt; K$1, (Assumptions!$B$8)*(K$1) + (Assumptions!$B$9)*MAX(0,  (HLOOKUP(K$2,Earnings!$G$2:$BC$81,('Yearly Pension'!$A79)+1, FALSE)) - K$1), ((Assumptions!$B$8)*'Yearly Pension'!K$1))))</f>
        <v>546.80107519862247</v>
      </c>
      <c r="L79" s="6">
        <f>(HLOOKUP('Yearly Pension'!L$2,'Credited Service'!$G$1:$BC$80,$A79+1,FALSE)) * (IF($B79=500, (Assumptions!$B$7)*12, IF((HLOOKUP(L$2,Earnings!$G$2:$BC$81,('Yearly Pension'!$A79)+1, FALSE)) &gt; L$1, (Assumptions!$B$8)*(L$1) + (Assumptions!$B$9)*MAX(0,  (HLOOKUP(L$2,Earnings!$G$2:$BC$81,('Yearly Pension'!$A79)+1, FALSE)) - L$1), ((Assumptions!$B$8)*'Yearly Pension'!L$1))))</f>
        <v>560.91631820656744</v>
      </c>
      <c r="M79" s="6">
        <f>(HLOOKUP('Yearly Pension'!M$2,'Credited Service'!$G$1:$BC$80,$A79+1,FALSE)) * (IF($B79=500, (Assumptions!$B$7)*12, IF((HLOOKUP(M$2,Earnings!$G$2:$BC$81,('Yearly Pension'!$A79)+1, FALSE)) &gt; M$1, (Assumptions!$B$8)*(M$1) + (Assumptions!$B$9)*MAX(0,  (HLOOKUP(M$2,Earnings!$G$2:$BC$81,('Yearly Pension'!$A79)+1, FALSE)) - M$1), ((Assumptions!$B$8)*'Yearly Pension'!M$1))))</f>
        <v>574.77697093483005</v>
      </c>
      <c r="N79" s="6">
        <f>(HLOOKUP('Yearly Pension'!N$2,'Credited Service'!$G$1:$BC$80,$A79+1,FALSE)) * (IF($B79=500, (Assumptions!$B$7)*12, IF((HLOOKUP(N$2,Earnings!$G$2:$BC$81,('Yearly Pension'!$A79)+1, FALSE)) &gt; N$1, (Assumptions!$B$8)*(N$1) + (Assumptions!$B$9)*MAX(0,  (HLOOKUP(N$2,Earnings!$G$2:$BC$81,('Yearly Pension'!$A79)+1, FALSE)) - N$1), ((Assumptions!$B$8)*'Yearly Pension'!N$1))))</f>
        <v>587.78404977222317</v>
      </c>
      <c r="O79" s="6">
        <f>(HLOOKUP('Yearly Pension'!O$2,'Credited Service'!$G$1:$BC$80,$A79+1,FALSE)) * (IF($B79=500, (Assumptions!$B$7)*12, IF((HLOOKUP(O$2,Earnings!$G$2:$BC$81,('Yearly Pension'!$A79)+1, FALSE)) &gt; O$1, (Assumptions!$B$8)*(O$1) + (Assumptions!$B$9)*MAX(0,  (HLOOKUP(O$2,Earnings!$G$2:$BC$81,('Yearly Pension'!$A79)+1, FALSE)) - O$1), ((Assumptions!$B$8)*'Yearly Pension'!O$1))))</f>
        <v>599.98021176311227</v>
      </c>
      <c r="P79" s="6">
        <f>(HLOOKUP('Yearly Pension'!P$2,'Credited Service'!$G$1:$BC$80,$A79+1,FALSE)) * (IF($B79=500, (Assumptions!$B$7)*12, IF((HLOOKUP(P$2,Earnings!$G$2:$BC$81,('Yearly Pension'!$A79)+1, FALSE)) &gt; P$1, (Assumptions!$B$8)*(P$1) + (Assumptions!$B$9)*MAX(0,  (HLOOKUP(P$2,Earnings!$G$2:$BC$81,('Yearly Pension'!$A79)+1, FALSE)) - P$1), ((Assumptions!$B$8)*'Yearly Pension'!P$1))))</f>
        <v>614.6098202336367</v>
      </c>
      <c r="Q79" s="6">
        <f>(HLOOKUP('Yearly Pension'!Q$2,'Credited Service'!$G$1:$BC$80,$A79+1,FALSE)) * (IF($B79=500, (Assumptions!$B$7)*12, IF((HLOOKUP(Q$2,Earnings!$G$2:$BC$81,('Yearly Pension'!$A79)+1, FALSE)) &gt; Q$1, (Assumptions!$B$8)*(Q$1) + (Assumptions!$B$9)*MAX(0,  (HLOOKUP(Q$2,Earnings!$G$2:$BC$81,('Yearly Pension'!$A79)+1, FALSE)) - Q$1), ((Assumptions!$B$8)*'Yearly Pension'!Q$1))))</f>
        <v>645.15901304298222</v>
      </c>
      <c r="R79" s="6">
        <f>(HLOOKUP('Yearly Pension'!R$2,'Credited Service'!$G$1:$BC$80,$A79+1,FALSE)) * (IF($B79=500, (Assumptions!$B$7)*12, IF((HLOOKUP(R$2,Earnings!$G$2:$BC$81,('Yearly Pension'!$A79)+1, FALSE)) &gt; R$1, (Assumptions!$B$8)*(R$1) + (Assumptions!$B$9)*MAX(0,  (HLOOKUP(R$2,Earnings!$G$2:$BC$81,('Yearly Pension'!$A79)+1, FALSE)) - R$1), ((Assumptions!$B$8)*'Yearly Pension'!R$1))))</f>
        <v>673.75577356470149</v>
      </c>
      <c r="S79" s="6">
        <f>(HLOOKUP('Yearly Pension'!S$2,'Credited Service'!$G$1:$BC$80,$A79+1,FALSE)) * (IF($B79=500, (Assumptions!$B$7)*12, IF((HLOOKUP(S$2,Earnings!$G$2:$BC$81,('Yearly Pension'!$A79)+1, FALSE)) &gt; S$1, (Assumptions!$B$8)*(S$1) + (Assumptions!$B$9)*MAX(0,  (HLOOKUP(S$2,Earnings!$G$2:$BC$81,('Yearly Pension'!$A79)+1, FALSE)) - S$1), ((Assumptions!$B$8)*'Yearly Pension'!S$1))))</f>
        <v>699.81000450728948</v>
      </c>
      <c r="T79" s="6">
        <f>(HLOOKUP('Yearly Pension'!T$2,'Credited Service'!$G$1:$BC$80,$A79+1,FALSE)) * (IF($B79=500, (Assumptions!$B$7)*12, IF((HLOOKUP(T$2,Earnings!$G$2:$BC$81,('Yearly Pension'!$A79)+1, FALSE)) &gt; T$1, (Assumptions!$B$8)*(T$1) + (Assumptions!$B$9)*MAX(0,  (HLOOKUP(T$2,Earnings!$G$2:$BC$81,('Yearly Pension'!$A79)+1, FALSE)) - T$1), ((Assumptions!$B$8)*'Yearly Pension'!T$1))))</f>
        <v>727.21360468758121</v>
      </c>
      <c r="U79" s="6">
        <f>(HLOOKUP('Yearly Pension'!U$2,'Credited Service'!$G$1:$BC$80,$A79+1,FALSE)) * (IF($B79=500, (Assumptions!$B$7)*12, IF((HLOOKUP(U$2,Earnings!$G$2:$BC$81,('Yearly Pension'!$A79)+1, FALSE)) &gt; U$1, (Assumptions!$B$8)*(U$1) + (Assumptions!$B$9)*MAX(0,  (HLOOKUP(U$2,Earnings!$G$2:$BC$81,('Yearly Pension'!$A79)+1, FALSE)) - U$1), ((Assumptions!$B$8)*'Yearly Pension'!U$1))))</f>
        <v>753.46054887508444</v>
      </c>
      <c r="V79" s="6">
        <f>(HLOOKUP('Yearly Pension'!V$2,'Credited Service'!$G$1:$BC$80,$A79+1,FALSE)) * (IF($B79=500, (Assumptions!$B$7)*12, IF((HLOOKUP(V$2,Earnings!$G$2:$BC$81,('Yearly Pension'!$A79)+1, FALSE)) &gt; V$1, (Assumptions!$B$8)*(V$1) + (Assumptions!$B$9)*MAX(0,  (HLOOKUP(V$2,Earnings!$G$2:$BC$81,('Yearly Pension'!$A79)+1, FALSE)) - V$1), ((Assumptions!$B$8)*'Yearly Pension'!V$1))))</f>
        <v>780.52697083008798</v>
      </c>
      <c r="W79" s="6">
        <f>(HLOOKUP('Yearly Pension'!W$2,'Credited Service'!$G$1:$BC$80,$A79+1,FALSE)) * (IF($B79=500, (Assumptions!$B$7)*12, IF((HLOOKUP(W$2,Earnings!$G$2:$BC$81,('Yearly Pension'!$A79)+1, FALSE)) &gt; W$1, (Assumptions!$B$8)*(W$1) + (Assumptions!$B$9)*MAX(0,  (HLOOKUP(W$2,Earnings!$G$2:$BC$81,('Yearly Pension'!$A79)+1, FALSE)) - W$1), ((Assumptions!$B$8)*'Yearly Pension'!W$1))))</f>
        <v>812.31124966329151</v>
      </c>
      <c r="X79" s="6">
        <f>(HLOOKUP('Yearly Pension'!X$2,'Credited Service'!$G$1:$BC$80,$A79+1,FALSE)) * (IF($B79=500, (Assumptions!$B$7)*12, IF((HLOOKUP(X$2,Earnings!$G$2:$BC$81,('Yearly Pension'!$A79)+1, FALSE)) &gt; X$1, (Assumptions!$B$8)*(X$1) + (Assumptions!$B$9)*MAX(0,  (HLOOKUP(X$2,Earnings!$G$2:$BC$81,('Yearly Pension'!$A79)+1, FALSE)) - X$1), ((Assumptions!$B$8)*'Yearly Pension'!X$1))))</f>
        <v>846.95409964982309</v>
      </c>
      <c r="Y79" s="6">
        <f>(HLOOKUP('Yearly Pension'!Y$2,'Credited Service'!$G$1:$BC$80,$A79+1,FALSE)) * (IF($B79=500, (Assumptions!$B$7)*12, IF((HLOOKUP(Y$2,Earnings!$G$2:$BC$81,('Yearly Pension'!$A79)+1, FALSE)) &gt; Y$1, (Assumptions!$B$8)*(Y$1) + (Assumptions!$B$9)*MAX(0,  (HLOOKUP(Y$2,Earnings!$G$2:$BC$81,('Yearly Pension'!$A79)+1, FALSE)) - Y$1), ((Assumptions!$B$8)*'Yearly Pension'!Y$1))))</f>
        <v>886.43866363581617</v>
      </c>
      <c r="Z79" s="6">
        <f>(HLOOKUP('Yearly Pension'!Z$2,'Credited Service'!$G$1:$BC$80,$A79+1,FALSE)) * (IF($B79=500, (Assumptions!$B$7)*12, IF((HLOOKUP(Z$2,Earnings!$G$2:$BC$81,('Yearly Pension'!$A79)+1, FALSE)) &gt; Z$1, (Assumptions!$B$8)*(Z$1) + (Assumptions!$B$9)*MAX(0,  (HLOOKUP(Z$2,Earnings!$G$2:$BC$81,('Yearly Pension'!$A79)+1, FALSE)) - Z$1), ((Assumptions!$B$8)*'Yearly Pension'!Z$1))))</f>
        <v>927.63061018124893</v>
      </c>
      <c r="AA79" s="6">
        <f>(HLOOKUP('Yearly Pension'!AA$2,'Credited Service'!$G$1:$BC$80,$A79+1,FALSE)) * (IF($B79=500, (Assumptions!$B$7)*12, IF((HLOOKUP(AA$2,Earnings!$G$2:$BC$81,('Yearly Pension'!$A79)+1, FALSE)) &gt; AA$1, (Assumptions!$B$8)*(AA$1) + (Assumptions!$B$9)*MAX(0,  (HLOOKUP(AA$2,Earnings!$G$2:$BC$81,('Yearly Pension'!$A79)+1, FALSE)) - AA$1), ((Assumptions!$B$8)*'Yearly Pension'!AA$1))))</f>
        <v>971.23823458849893</v>
      </c>
      <c r="AB79" s="6">
        <f>(HLOOKUP('Yearly Pension'!AB$2,'Credited Service'!$G$1:$BC$80,$A79+1,FALSE)) * (IF($B79=500, (Assumptions!$B$7)*12, IF((HLOOKUP(AB$2,Earnings!$G$2:$BC$81,('Yearly Pension'!$A79)+1, FALSE)) &gt; AB$1, (Assumptions!$B$8)*(AB$1) + (Assumptions!$B$9)*MAX(0,  (HLOOKUP(AB$2,Earnings!$G$2:$BC$81,('Yearly Pension'!$A79)+1, FALSE)) - AB$1), ((Assumptions!$B$8)*'Yearly Pension'!AB$1))))</f>
        <v>1012.2125639720389</v>
      </c>
      <c r="AC79" s="6">
        <f>(HLOOKUP('Yearly Pension'!AC$2,'Credited Service'!$G$1:$BC$80,$A79+1,FALSE)) * (IF($B79=500, (Assumptions!$B$7)*12, IF((HLOOKUP(AC$2,Earnings!$G$2:$BC$81,('Yearly Pension'!$A79)+1, FALSE)) &gt; AC$1, (Assumptions!$B$8)*(AC$1) + (Assumptions!$B$9)*MAX(0,  (HLOOKUP(AC$2,Earnings!$G$2:$BC$81,('Yearly Pension'!$A79)+1, FALSE)) - AC$1), ((Assumptions!$B$8)*'Yearly Pension'!AC$1))))</f>
        <v>1058.9474665309203</v>
      </c>
      <c r="AD79" s="6">
        <f>(HLOOKUP('Yearly Pension'!AD$2,'Credited Service'!$G$1:$BC$80,$A79+1,FALSE)) * (IF($B79=500, (Assumptions!$B$7)*12, IF((HLOOKUP(AD$2,Earnings!$G$2:$BC$81,('Yearly Pension'!$A79)+1, FALSE)) &gt; AD$1, (Assumptions!$B$8)*(AD$1) + (Assumptions!$B$9)*MAX(0,  (HLOOKUP(AD$2,Earnings!$G$2:$BC$81,('Yearly Pension'!$A79)+1, FALSE)) - AD$1), ((Assumptions!$B$8)*'Yearly Pension'!AD$1))))</f>
        <v>1109.5997651921573</v>
      </c>
      <c r="AE79" s="6">
        <f>(HLOOKUP('Yearly Pension'!AE$2,'Credited Service'!$G$1:$BC$80,$A79+1,FALSE)) * (IF($B79=500, (Assumptions!$B$7)*12, IF((HLOOKUP(AE$2,Earnings!$G$2:$BC$81,('Yearly Pension'!$A79)+1, FALSE)) &gt; AE$1, (Assumptions!$B$8)*(AE$1) + (Assumptions!$B$9)*MAX(0,  (HLOOKUP(AE$2,Earnings!$G$2:$BC$81,('Yearly Pension'!$A79)+1, FALSE)) - AE$1), ((Assumptions!$B$8)*'Yearly Pension'!AE$1))))</f>
        <v>1159.1293557998438</v>
      </c>
      <c r="AF79" s="6">
        <f>(HLOOKUP('Yearly Pension'!AF$2,'Credited Service'!$G$1:$BC$80,$A79+1,FALSE)) * (IF($B79=500, (Assumptions!$B$7)*12, IF((HLOOKUP(AF$2,Earnings!$G$2:$BC$81,('Yearly Pension'!$A79)+1, FALSE)) &gt; AF$1, (Assumptions!$B$8)*(AF$1) + (Assumptions!$B$9)*MAX(0,  (HLOOKUP(AF$2,Earnings!$G$2:$BC$81,('Yearly Pension'!$A79)+1, FALSE)) - AF$1), ((Assumptions!$B$8)*'Yearly Pension'!AF$1))))</f>
        <v>1210.1793300318375</v>
      </c>
      <c r="AG79" s="6">
        <f>(HLOOKUP('Yearly Pension'!AG$2,'Credited Service'!$G$1:$BC$80,$A79+1,FALSE)) * (IF($B79=500, (Assumptions!$B$7)*12, IF((HLOOKUP(AG$2,Earnings!$G$2:$BC$81,('Yearly Pension'!$A79)+1, FALSE)) &gt; AG$1, (Assumptions!$B$8)*(AG$1) + (Assumptions!$B$9)*MAX(0,  (HLOOKUP(AG$2,Earnings!$G$2:$BC$81,('Yearly Pension'!$A79)+1, FALSE)) - AG$1), ((Assumptions!$B$8)*'Yearly Pension'!AG$1))))</f>
        <v>1263.476103233111</v>
      </c>
      <c r="AH79" s="6">
        <f>(HLOOKUP('Yearly Pension'!AH$2,'Credited Service'!$G$1:$BC$80,$A79+1,FALSE)) * (IF($B79=500, (Assumptions!$B$7)*12, IF((HLOOKUP(AH$2,Earnings!$G$2:$BC$81,('Yearly Pension'!$A79)+1, FALSE)) &gt; AH$1, (Assumptions!$B$8)*(AH$1) + (Assumptions!$B$9)*MAX(0,  (HLOOKUP(AH$2,Earnings!$G$2:$BC$81,('Yearly Pension'!$A79)+1, FALSE)) - AH$1), ((Assumptions!$B$8)*'Yearly Pension'!AH$1))))</f>
        <v>1320.3895473624357</v>
      </c>
      <c r="AI79" s="6">
        <f>(HLOOKUP('Yearly Pension'!AI$2,'Credited Service'!$G$1:$BC$80,$A79+1,FALSE)) * (IF($B79=500, (Assumptions!$B$7)*12, IF((HLOOKUP(AI$2,Earnings!$G$2:$BC$81,('Yearly Pension'!$A79)+1, FALSE)) &gt; AI$1, (Assumptions!$B$8)*(AI$1) + (Assumptions!$B$9)*MAX(0,  (HLOOKUP(AI$2,Earnings!$G$2:$BC$81,('Yearly Pension'!$A79)+1, FALSE)) - AI$1), ((Assumptions!$B$8)*'Yearly Pension'!AI$1))))</f>
        <v>1379.7331292569331</v>
      </c>
      <c r="AJ79" s="6">
        <f>(HLOOKUP('Yearly Pension'!AJ$2,'Credited Service'!$G$1:$BC$80,$A79+1,FALSE)) * (IF($B79=500, (Assumptions!$B$7)*12, IF((HLOOKUP(AJ$2,Earnings!$G$2:$BC$81,('Yearly Pension'!$A79)+1, FALSE)) &gt; AJ$1, (Assumptions!$B$8)*(AJ$1) + (Assumptions!$B$9)*MAX(0,  (HLOOKUP(AJ$2,Earnings!$G$2:$BC$81,('Yearly Pension'!$A79)+1, FALSE)) - AJ$1), ((Assumptions!$B$8)*'Yearly Pension'!AJ$1))))</f>
        <v>1439.0440544272105</v>
      </c>
      <c r="AK79" s="6">
        <f>(HLOOKUP('Yearly Pension'!AK$2,'Credited Service'!$G$1:$BC$80,$A79+1,FALSE)) * (IF($B79=500, (Assumptions!$B$7)*12, IF((HLOOKUP(AK$2,Earnings!$G$2:$BC$81,('Yearly Pension'!$A79)+1, FALSE)) &gt; AK$1, (Assumptions!$B$8)*(AK$1) + (Assumptions!$B$9)*MAX(0,  (HLOOKUP(AK$2,Earnings!$G$2:$BC$81,('Yearly Pension'!$A79)+1, FALSE)) - AK$1), ((Assumptions!$B$8)*'Yearly Pension'!AK$1))))</f>
        <v>1497.1434166042991</v>
      </c>
      <c r="AL79" s="6">
        <f>(HLOOKUP('Yearly Pension'!AL$2,'Credited Service'!$G$1:$BC$80,$A79+1,FALSE)) * (IF($B79=500, (Assumptions!$B$7)*12, IF((HLOOKUP(AL$2,Earnings!$G$2:$BC$81,('Yearly Pension'!$A79)+1, FALSE)) &gt; AL$1, (Assumptions!$B$8)*(AL$1) + (Assumptions!$B$9)*MAX(0,  (HLOOKUP(AL$2,Earnings!$G$2:$BC$81,('Yearly Pension'!$A79)+1, FALSE)) - AL$1), ((Assumptions!$B$8)*'Yearly Pension'!AL$1))))</f>
        <v>1560.5363532684714</v>
      </c>
      <c r="AM79" s="6">
        <f>(HLOOKUP('Yearly Pension'!AM$2,'Credited Service'!$G$1:$BC$80,$A79+1,FALSE)) * (IF($B79=500, (Assumptions!$B$7)*12, IF((HLOOKUP(AM$2,Earnings!$G$2:$BC$81,('Yearly Pension'!$A79)+1, FALSE)) &gt; AM$1, (Assumptions!$B$8)*(AM$1) + (Assumptions!$B$9)*MAX(0,  (HLOOKUP(AM$2,Earnings!$G$2:$BC$81,('Yearly Pension'!$A79)+1, FALSE)) - AM$1), ((Assumptions!$B$8)*'Yearly Pension'!AM$1))))</f>
        <v>1625.4922073992102</v>
      </c>
      <c r="AN79" s="6">
        <f>(HLOOKUP('Yearly Pension'!AN$2,'Credited Service'!$G$1:$BC$80,$A79+1,FALSE)) * (IF($B79=500, (Assumptions!$B$7)*12, IF((HLOOKUP(AN$2,Earnings!$G$2:$BC$81,('Yearly Pension'!$A79)+1, FALSE)) &gt; AN$1, (Assumptions!$B$8)*(AN$1) + (Assumptions!$B$9)*MAX(0,  (HLOOKUP(AN$2,Earnings!$G$2:$BC$81,('Yearly Pension'!$A79)+1, FALSE)) - AN$1), ((Assumptions!$B$8)*'Yearly Pension'!AN$1))))</f>
        <v>1696.6046956951786</v>
      </c>
      <c r="AO79" s="6">
        <f>(HLOOKUP('Yearly Pension'!AO$2,'Credited Service'!$G$1:$BC$80,$A79+1,FALSE)) * (IF($B79=500, (Assumptions!$B$7)*12, IF((HLOOKUP(AO$2,Earnings!$G$2:$BC$81,('Yearly Pension'!$A79)+1, FALSE)) &gt; AO$1, (Assumptions!$B$8)*(AO$1) + (Assumptions!$B$9)*MAX(0,  (HLOOKUP(AO$2,Earnings!$G$2:$BC$81,('Yearly Pension'!$A79)+1, FALSE)) - AO$1), ((Assumptions!$B$8)*'Yearly Pension'!AO$1))))</f>
        <v>1769.5120835229859</v>
      </c>
      <c r="AP79" s="6">
        <f>(HLOOKUP('Yearly Pension'!AP$2,'Credited Service'!$G$1:$BC$80,$A79+1,FALSE)) * (IF($B79=500, (Assumptions!$B$7)*12, IF((HLOOKUP(AP$2,Earnings!$G$2:$BC$81,('Yearly Pension'!$A79)+1, FALSE)) &gt; AP$1, (Assumptions!$B$8)*(AP$1) + (Assumptions!$B$9)*MAX(0,  (HLOOKUP(AP$2,Earnings!$G$2:$BC$81,('Yearly Pension'!$A79)+1, FALSE)) - AP$1), ((Assumptions!$B$8)*'Yearly Pension'!AP$1))))</f>
        <v>1841.1373668639053</v>
      </c>
      <c r="AQ79" s="6">
        <f>(HLOOKUP('Yearly Pension'!AQ$2,'Credited Service'!$G$1:$BC$80,$A79+1,FALSE)) * (IF($B79=500, (Assumptions!$B$7)*12, IF((HLOOKUP(AQ$2,Earnings!$G$2:$BC$81,('Yearly Pension'!$A79)+1, FALSE)) &gt; AQ$1, (Assumptions!$B$8)*(AQ$1) + (Assumptions!$B$9)*MAX(0,  (HLOOKUP(AQ$2,Earnings!$G$2:$BC$81,('Yearly Pension'!$A79)+1, FALSE)) - AQ$1), ((Assumptions!$B$8)*'Yearly Pension'!AQ$1))))</f>
        <v>1921.2084615384615</v>
      </c>
      <c r="AR79" s="6">
        <f>(HLOOKUP('Yearly Pension'!AR$2,'Credited Service'!$G$1:$BC$80,$A79+1,FALSE)) * (IF($B79=500, (Assumptions!$B$7)*12, IF((HLOOKUP(AR$2,Earnings!$G$2:$BC$81,('Yearly Pension'!$A79)+1, FALSE)) &gt; AR$1, (Assumptions!$B$8)*(AR$1) + (Assumptions!$B$9)*MAX(0,  (HLOOKUP(AR$2,Earnings!$G$2:$BC$81,('Yearly Pension'!$A79)+1, FALSE)) - AR$1), ((Assumptions!$B$8)*'Yearly Pension'!AR$1))))</f>
        <v>2002.1784</v>
      </c>
      <c r="AS79" s="6">
        <f>(HLOOKUP('Yearly Pension'!AS$2,'Credited Service'!$G$1:$BC$80,$A79+1,FALSE)) * (IF($B79=500, (Assumptions!$B$7)*12, IF((HLOOKUP(AS$2,Earnings!$G$2:$BC$81,('Yearly Pension'!$A79)+1, FALSE)) &gt; AS$1, (Assumptions!$B$8)*(AS$1) + (Assumptions!$B$9)*MAX(0,  (HLOOKUP(AS$2,Earnings!$G$2:$BC$81,('Yearly Pension'!$A79)+1, FALSE)) - AS$1), ((Assumptions!$B$8)*'Yearly Pension'!AS$1))))</f>
        <v>2065.2837519999998</v>
      </c>
      <c r="AT79" s="6">
        <f>(HLOOKUP('Yearly Pension'!AT$2,'Credited Service'!$G$1:$BC$80,$A79+1,FALSE)) * (IF($B79=500, (Assumptions!$B$7)*12, IF((HLOOKUP(AT$2,Earnings!$G$2:$BC$81,('Yearly Pension'!$A79)+1, FALSE)) &gt; AT$1, (Assumptions!$B$8)*(AT$1) + (Assumptions!$B$9)*MAX(0,  (HLOOKUP(AT$2,Earnings!$G$2:$BC$81,('Yearly Pension'!$A79)+1, FALSE)) - AT$1), ((Assumptions!$B$8)*'Yearly Pension'!AT$1))))</f>
        <v>2129.2134645600004</v>
      </c>
      <c r="AU79" s="6">
        <f>(HLOOKUP('Yearly Pension'!AU$2,'Credited Service'!$G$1:$BC$80,$A79+1,FALSE)) * (IF($B79=500, (Assumptions!$B$7)*12, IF((HLOOKUP(AU$2,Earnings!$G$2:$BC$81,('Yearly Pension'!$A79)+1, FALSE)) &gt; AU$1, (Assumptions!$B$8)*(AU$1) + (Assumptions!$B$9)*MAX(0,  (HLOOKUP(AU$2,Earnings!$G$2:$BC$81,('Yearly Pension'!$A79)+1, FALSE)) - AU$1), ((Assumptions!$B$8)*'Yearly Pension'!AU$1))))</f>
        <v>2201.0706684968004</v>
      </c>
      <c r="AV79" s="6">
        <f>(HLOOKUP('Yearly Pension'!AV$2,'Credited Service'!$G$1:$BC$80,$A79+1,FALSE)) * (IF($B79=500, (Assumptions!$B$7)*12, IF((HLOOKUP(AV$2,Earnings!$G$2:$BC$81,('Yearly Pension'!$A79)+1, FALSE)) &gt; AV$1, (Assumptions!$B$8)*(AV$1) + (Assumptions!$B$9)*MAX(0,  (HLOOKUP(AV$2,Earnings!$G$2:$BC$81,('Yearly Pension'!$A79)+1, FALSE)) - AV$1), ((Assumptions!$B$8)*'Yearly Pension'!AV$1))))</f>
        <v>2273.8803885517045</v>
      </c>
      <c r="AW79" s="6">
        <f>(HLOOKUP('Yearly Pension'!AW$2,'Credited Service'!$G$1:$BC$80,$A79+1,FALSE)) * (IF($B79=500, (Assumptions!$B$7)*12, IF((HLOOKUP(AW$2,Earnings!$G$2:$BC$81,('Yearly Pension'!$A79)+1, FALSE)) &gt; AW$1, (Assumptions!$B$8)*(AW$1) + (Assumptions!$B$9)*MAX(0,  (HLOOKUP(AW$2,Earnings!$G$2:$BC$81,('Yearly Pension'!$A79)+1, FALSE)) - AW$1), ((Assumptions!$B$8)*'Yearly Pension'!AW$1))))</f>
        <v>2343.2296002082558</v>
      </c>
      <c r="AX79" s="6">
        <f>(HLOOKUP('Yearly Pension'!AX$2,'Credited Service'!$G$1:$BC$80,$A79+1,FALSE)) * (IF($B79=500, (Assumptions!$B$7)*12, IF((HLOOKUP(AX$2,Earnings!$G$2:$BC$81,('Yearly Pension'!$A79)+1, FALSE)) &gt; AX$1, (Assumptions!$B$8)*(AX$1) + (Assumptions!$B$9)*MAX(0,  (HLOOKUP(AX$2,Earnings!$G$2:$BC$81,('Yearly Pension'!$A79)+1, FALSE)) - AX$1), ((Assumptions!$B$8)*'Yearly Pension'!AX$1))))</f>
        <v>2409.8528882145033</v>
      </c>
      <c r="AY79" s="6">
        <f>(HLOOKUP('Yearly Pension'!AY$2,'Credited Service'!$G$1:$BC$80,$A79+1,FALSE)) * (IF($B79=500, (Assumptions!$B$7)*12, IF((HLOOKUP(AY$2,Earnings!$G$2:$BC$81,('Yearly Pension'!$A79)+1, FALSE)) &gt; AY$1, (Assumptions!$B$8)*(AY$1) + (Assumptions!$B$9)*MAX(0,  (HLOOKUP(AY$2,Earnings!$G$2:$BC$81,('Yearly Pension'!$A79)+1, FALSE)) - AY$1), ((Assumptions!$B$8)*'Yearly Pension'!AY$1))))</f>
        <v>2478.3279308609385</v>
      </c>
      <c r="AZ79" s="6">
        <f>(HLOOKUP('Yearly Pension'!AZ$2,'Credited Service'!$G$1:$BC$80,$A79+1,FALSE)) * (IF($B79=500, (Assumptions!$B$7)*12, IF((HLOOKUP(AZ$2,Earnings!$G$2:$BC$81,('Yearly Pension'!$A79)+1, FALSE)) &gt; AZ$1, (Assumptions!$B$8)*(AZ$1) + (Assumptions!$B$9)*MAX(0,  (HLOOKUP(AZ$2,Earnings!$G$2:$BC$81,('Yearly Pension'!$A79)+1, FALSE)) - AZ$1), ((Assumptions!$B$8)*'Yearly Pension'!AZ$1))))</f>
        <v>1486.7442350989475</v>
      </c>
      <c r="BA79" s="6">
        <f>(HLOOKUP('Yearly Pension'!BA$2,'Credited Service'!$G$1:$BC$80,$A79+1,FALSE)) * (IF($B79=500, (Assumptions!$B$7)*12, IF((HLOOKUP(BA$2,Earnings!$G$2:$BC$81,('Yearly Pension'!$A79)+1, FALSE)) &gt; BA$1, (Assumptions!$B$8)*(BA$1) + (Assumptions!$B$9)*MAX(0,  (HLOOKUP(BA$2,Earnings!$G$2:$BC$81,('Yearly Pension'!$A79)+1, FALSE)) - BA$1), ((Assumptions!$B$8)*'Yearly Pension'!BA$1))))</f>
        <v>0</v>
      </c>
      <c r="BB79" s="6">
        <f>(HLOOKUP('Yearly Pension'!BB$2,'Credited Service'!$G$1:$BC$80,$A79+1,FALSE)) * (IF($B79=500, (Assumptions!$B$7)*12, IF((HLOOKUP(BB$2,Earnings!$G$2:$BC$81,('Yearly Pension'!$A79)+1, FALSE)) &gt; BB$1, (Assumptions!$B$8)*(BB$1) + (Assumptions!$B$9)*MAX(0,  (HLOOKUP(BB$2,Earnings!$G$2:$BC$81,('Yearly Pension'!$A79)+1, FALSE)) - BB$1), ((Assumptions!$B$8)*'Yearly Pension'!BB$1))))</f>
        <v>0</v>
      </c>
      <c r="BC79" s="6">
        <f>(HLOOKUP('Yearly Pension'!BC$2,'Credited Service'!$G$1:$BC$80,$A79+1,FALSE)) * (IF($B79=500, (Assumptions!$B$7)*12, IF((HLOOKUP(BC$2,Earnings!$G$2:$BC$81,('Yearly Pension'!$A79)+1, FALSE)) &gt; BC$1, (Assumptions!$B$8)*(BC$1) + (Assumptions!$B$9)*MAX(0,  (HLOOKUP(BC$2,Earnings!$G$2:$BC$81,('Yearly Pension'!$A79)+1, FALSE)) - BC$1), ((Assumptions!$B$8)*'Yearly Pension'!BC$1))))</f>
        <v>0</v>
      </c>
    </row>
    <row r="80" spans="1:55" x14ac:dyDescent="0.25">
      <c r="A80" s="204">
        <v>78</v>
      </c>
      <c r="B80" s="1">
        <v>600</v>
      </c>
      <c r="C80" s="1">
        <v>360</v>
      </c>
      <c r="D80" s="3">
        <v>29373</v>
      </c>
      <c r="E80" s="3">
        <v>44409</v>
      </c>
      <c r="G80" s="6">
        <f>(HLOOKUP('Yearly Pension'!G$2,'Credited Service'!$G$1:$BC$80,$A80+1,FALSE)) * (IF($B80=500, (Assumptions!$B$7)*12, IF((HLOOKUP(G$2,Earnings!$G$2:$BC$81,('Yearly Pension'!$A80)+1, FALSE)) &gt; G$1, (Assumptions!$B$8)*(G$1) + (Assumptions!$B$9)*MAX(0,  (HLOOKUP(G$2,Earnings!$G$2:$BC$81,('Yearly Pension'!$A80)+1, FALSE)) - G$1), ((Assumptions!$B$8)*'Yearly Pension'!G$1))))</f>
        <v>0</v>
      </c>
      <c r="H80" s="6">
        <f>(HLOOKUP('Yearly Pension'!H$2,'Credited Service'!$G$1:$BC$80,$A80+1,FALSE)) * (IF($B80=500, (Assumptions!$B$7)*12, IF((HLOOKUP(H$2,Earnings!$G$2:$BC$81,('Yearly Pension'!$A80)+1, FALSE)) &gt; H$1, (Assumptions!$B$8)*(H$1) + (Assumptions!$B$9)*MAX(0,  (HLOOKUP(H$2,Earnings!$G$2:$BC$81,('Yearly Pension'!$A80)+1, FALSE)) - H$1), ((Assumptions!$B$8)*'Yearly Pension'!H$1))))</f>
        <v>0</v>
      </c>
      <c r="I80" s="6">
        <f>(HLOOKUP('Yearly Pension'!I$2,'Credited Service'!$G$1:$BC$80,$A80+1,FALSE)) * (IF($B80=500, (Assumptions!$B$7)*12, IF((HLOOKUP(I$2,Earnings!$G$2:$BC$81,('Yearly Pension'!$A80)+1, FALSE)) &gt; I$1, (Assumptions!$B$8)*(I$1) + (Assumptions!$B$9)*MAX(0,  (HLOOKUP(I$2,Earnings!$G$2:$BC$81,('Yearly Pension'!$A80)+1, FALSE)) - I$1), ((Assumptions!$B$8)*'Yearly Pension'!I$1))))</f>
        <v>0</v>
      </c>
      <c r="J80" s="6">
        <f>(HLOOKUP('Yearly Pension'!J$2,'Credited Service'!$G$1:$BC$80,$A80+1,FALSE)) * (IF($B80=500, (Assumptions!$B$7)*12, IF((HLOOKUP(J$2,Earnings!$G$2:$BC$81,('Yearly Pension'!$A80)+1, FALSE)) &gt; J$1, (Assumptions!$B$8)*(J$1) + (Assumptions!$B$9)*MAX(0,  (HLOOKUP(J$2,Earnings!$G$2:$BC$81,('Yearly Pension'!$A80)+1, FALSE)) - J$1), ((Assumptions!$B$8)*'Yearly Pension'!J$1))))</f>
        <v>315.63412518487291</v>
      </c>
      <c r="K80" s="6">
        <f>(HLOOKUP('Yearly Pension'!K$2,'Credited Service'!$G$1:$BC$80,$A80+1,FALSE)) * (IF($B80=500, (Assumptions!$B$7)*12, IF((HLOOKUP(K$2,Earnings!$G$2:$BC$81,('Yearly Pension'!$A80)+1, FALSE)) &gt; K$1, (Assumptions!$B$8)*(K$1) + (Assumptions!$B$9)*MAX(0,  (HLOOKUP(K$2,Earnings!$G$2:$BC$81,('Yearly Pension'!$A80)+1, FALSE)) - K$1), ((Assumptions!$B$8)*'Yearly Pension'!K$1))))</f>
        <v>555.84415461531626</v>
      </c>
      <c r="L80" s="6">
        <f>(HLOOKUP('Yearly Pension'!L$2,'Credited Service'!$G$1:$BC$80,$A80+1,FALSE)) * (IF($B80=500, (Assumptions!$B$7)*12, IF((HLOOKUP(L$2,Earnings!$G$2:$BC$81,('Yearly Pension'!$A80)+1, FALSE)) &gt; L$1, (Assumptions!$B$8)*(L$1) + (Assumptions!$B$9)*MAX(0,  (HLOOKUP(L$2,Earnings!$G$2:$BC$81,('Yearly Pension'!$A80)+1, FALSE)) - L$1), ((Assumptions!$B$8)*'Yearly Pension'!L$1))))</f>
        <v>570.32112079992885</v>
      </c>
      <c r="M80" s="6">
        <f>(HLOOKUP('Yearly Pension'!M$2,'Credited Service'!$G$1:$BC$80,$A80+1,FALSE)) * (IF($B80=500, (Assumptions!$B$7)*12, IF((HLOOKUP(M$2,Earnings!$G$2:$BC$81,('Yearly Pension'!$A80)+1, FALSE)) &gt; M$1, (Assumptions!$B$8)*(M$1) + (Assumptions!$B$9)*MAX(0,  (HLOOKUP(M$2,Earnings!$G$2:$BC$81,('Yearly Pension'!$A80)+1, FALSE)) - M$1), ((Assumptions!$B$8)*'Yearly Pension'!M$1))))</f>
        <v>584.55796563192609</v>
      </c>
      <c r="N80" s="6">
        <f>(HLOOKUP('Yearly Pension'!N$2,'Credited Service'!$G$1:$BC$80,$A80+1,FALSE)) * (IF($B80=500, (Assumptions!$B$7)*12, IF((HLOOKUP(N$2,Earnings!$G$2:$BC$81,('Yearly Pension'!$A80)+1, FALSE)) &gt; N$1, (Assumptions!$B$8)*(N$1) + (Assumptions!$B$9)*MAX(0,  (HLOOKUP(N$2,Earnings!$G$2:$BC$81,('Yearly Pension'!$A80)+1, FALSE)) - N$1), ((Assumptions!$B$8)*'Yearly Pension'!N$1))))</f>
        <v>597.95628425720315</v>
      </c>
      <c r="O80" s="6">
        <f>(HLOOKUP('Yearly Pension'!O$2,'Credited Service'!$G$1:$BC$80,$A80+1,FALSE)) * (IF($B80=500, (Assumptions!$B$7)*12, IF((HLOOKUP(O$2,Earnings!$G$2:$BC$81,('Yearly Pension'!$A80)+1, FALSE)) &gt; O$1, (Assumptions!$B$8)*(O$1) + (Assumptions!$B$9)*MAX(0,  (HLOOKUP(O$2,Earnings!$G$2:$BC$81,('Yearly Pension'!$A80)+1, FALSE)) - O$1), ((Assumptions!$B$8)*'Yearly Pension'!O$1))))</f>
        <v>610.55933562749124</v>
      </c>
      <c r="P80" s="6">
        <f>(HLOOKUP('Yearly Pension'!P$2,'Credited Service'!$G$1:$BC$80,$A80+1,FALSE)) * (IF($B80=500, (Assumptions!$B$7)*12, IF((HLOOKUP(P$2,Earnings!$G$2:$BC$81,('Yearly Pension'!$A80)+1, FALSE)) &gt; P$1, (Assumptions!$B$8)*(P$1) + (Assumptions!$B$9)*MAX(0,  (HLOOKUP(P$2,Earnings!$G$2:$BC$81,('Yearly Pension'!$A80)+1, FALSE)) - P$1), ((Assumptions!$B$8)*'Yearly Pension'!P$1))))</f>
        <v>625.61210905259099</v>
      </c>
      <c r="Q80" s="6">
        <f>(HLOOKUP('Yearly Pension'!Q$2,'Credited Service'!$G$1:$BC$80,$A80+1,FALSE)) * (IF($B80=500, (Assumptions!$B$7)*12, IF((HLOOKUP(Q$2,Earnings!$G$2:$BC$81,('Yearly Pension'!$A80)+1, FALSE)) &gt; Q$1, (Assumptions!$B$8)*(Q$1) + (Assumptions!$B$9)*MAX(0,  (HLOOKUP(Q$2,Earnings!$G$2:$BC$81,('Yearly Pension'!$A80)+1, FALSE)) - Q$1), ((Assumptions!$B$8)*'Yearly Pension'!Q$1))))</f>
        <v>656.6013934146946</v>
      </c>
      <c r="R80" s="6">
        <f>(HLOOKUP('Yearly Pension'!R$2,'Credited Service'!$G$1:$BC$80,$A80+1,FALSE)) * (IF($B80=500, (Assumptions!$B$7)*12, IF((HLOOKUP(R$2,Earnings!$G$2:$BC$81,('Yearly Pension'!$A80)+1, FALSE)) &gt; R$1, (Assumptions!$B$8)*(R$1) + (Assumptions!$B$9)*MAX(0,  (HLOOKUP(R$2,Earnings!$G$2:$BC$81,('Yearly Pension'!$A80)+1, FALSE)) - R$1), ((Assumptions!$B$8)*'Yearly Pension'!R$1))))</f>
        <v>685.65584915128238</v>
      </c>
      <c r="S80" s="6">
        <f>(HLOOKUP('Yearly Pension'!S$2,'Credited Service'!$G$1:$BC$80,$A80+1,FALSE)) * (IF($B80=500, (Assumptions!$B$7)*12, IF((HLOOKUP(S$2,Earnings!$G$2:$BC$81,('Yearly Pension'!$A80)+1, FALSE)) &gt; S$1, (Assumptions!$B$8)*(S$1) + (Assumptions!$B$9)*MAX(0,  (HLOOKUP(S$2,Earnings!$G$2:$BC$81,('Yearly Pension'!$A80)+1, FALSE)) - S$1), ((Assumptions!$B$8)*'Yearly Pension'!S$1))))</f>
        <v>712.18608311733374</v>
      </c>
      <c r="T80" s="6">
        <f>(HLOOKUP('Yearly Pension'!T$2,'Credited Service'!$G$1:$BC$80,$A80+1,FALSE)) * (IF($B80=500, (Assumptions!$B$7)*12, IF((HLOOKUP(T$2,Earnings!$G$2:$BC$81,('Yearly Pension'!$A80)+1, FALSE)) &gt; T$1, (Assumptions!$B$8)*(T$1) + (Assumptions!$B$9)*MAX(0,  (HLOOKUP(T$2,Earnings!$G$2:$BC$81,('Yearly Pension'!$A80)+1, FALSE)) - T$1), ((Assumptions!$B$8)*'Yearly Pension'!T$1))))</f>
        <v>740.0847264420272</v>
      </c>
      <c r="U80" s="6">
        <f>(HLOOKUP('Yearly Pension'!U$2,'Credited Service'!$G$1:$BC$80,$A80+1,FALSE)) * (IF($B80=500, (Assumptions!$B$7)*12, IF((HLOOKUP(U$2,Earnings!$G$2:$BC$81,('Yearly Pension'!$A80)+1, FALSE)) &gt; U$1, (Assumptions!$B$8)*(U$1) + (Assumptions!$B$9)*MAX(0,  (HLOOKUP(U$2,Earnings!$G$2:$BC$81,('Yearly Pension'!$A80)+1, FALSE)) - U$1), ((Assumptions!$B$8)*'Yearly Pension'!U$1))))</f>
        <v>766.84651549970829</v>
      </c>
      <c r="V80" s="6">
        <f>(HLOOKUP('Yearly Pension'!V$2,'Credited Service'!$G$1:$BC$80,$A80+1,FALSE)) * (IF($B80=500, (Assumptions!$B$7)*12, IF((HLOOKUP(V$2,Earnings!$G$2:$BC$81,('Yearly Pension'!$A80)+1, FALSE)) &gt; V$1, (Assumptions!$B$8)*(V$1) + (Assumptions!$B$9)*MAX(0,  (HLOOKUP(V$2,Earnings!$G$2:$BC$81,('Yearly Pension'!$A80)+1, FALSE)) - V$1), ((Assumptions!$B$8)*'Yearly Pension'!V$1))))</f>
        <v>794.4483761196966</v>
      </c>
      <c r="W80" s="6">
        <f>(HLOOKUP('Yearly Pension'!W$2,'Credited Service'!$G$1:$BC$80,$A80+1,FALSE)) * (IF($B80=500, (Assumptions!$B$7)*12, IF((HLOOKUP(W$2,Earnings!$G$2:$BC$81,('Yearly Pension'!$A80)+1, FALSE)) &gt; W$1, (Assumptions!$B$8)*(W$1) + (Assumptions!$B$9)*MAX(0,  (HLOOKUP(W$2,Earnings!$G$2:$BC$81,('Yearly Pension'!$A80)+1, FALSE)) - W$1), ((Assumptions!$B$8)*'Yearly Pension'!W$1))))</f>
        <v>826.78951116448457</v>
      </c>
      <c r="X80" s="6">
        <f>(HLOOKUP('Yearly Pension'!X$2,'Credited Service'!$G$1:$BC$80,$A80+1,FALSE)) * (IF($B80=500, (Assumptions!$B$7)*12, IF((HLOOKUP(X$2,Earnings!$G$2:$BC$81,('Yearly Pension'!$A80)+1, FALSE)) &gt; X$1, (Assumptions!$B$8)*(X$1) + (Assumptions!$B$9)*MAX(0,  (HLOOKUP(X$2,Earnings!$G$2:$BC$81,('Yearly Pension'!$A80)+1, FALSE)) - X$1), ((Assumptions!$B$8)*'Yearly Pension'!X$1))))</f>
        <v>862.011491611064</v>
      </c>
      <c r="Y80" s="6">
        <f>(HLOOKUP('Yearly Pension'!Y$2,'Credited Service'!$G$1:$BC$80,$A80+1,FALSE)) * (IF($B80=500, (Assumptions!$B$7)*12, IF((HLOOKUP(Y$2,Earnings!$G$2:$BC$81,('Yearly Pension'!$A80)+1, FALSE)) &gt; Y$1, (Assumptions!$B$8)*(Y$1) + (Assumptions!$B$9)*MAX(0,  (HLOOKUP(Y$2,Earnings!$G$2:$BC$81,('Yearly Pension'!$A80)+1, FALSE)) - Y$1), ((Assumptions!$B$8)*'Yearly Pension'!Y$1))))</f>
        <v>902.0983512755065</v>
      </c>
      <c r="Z80" s="6">
        <f>(HLOOKUP('Yearly Pension'!Z$2,'Credited Service'!$G$1:$BC$80,$A80+1,FALSE)) * (IF($B80=500, (Assumptions!$B$7)*12, IF((HLOOKUP(Z$2,Earnings!$G$2:$BC$81,('Yearly Pension'!$A80)+1, FALSE)) &gt; Z$1, (Assumptions!$B$8)*(Z$1) + (Assumptions!$B$9)*MAX(0,  (HLOOKUP(Z$2,Earnings!$G$2:$BC$81,('Yearly Pension'!$A80)+1, FALSE)) - Z$1), ((Assumptions!$B$8)*'Yearly Pension'!Z$1))))</f>
        <v>943.91668532652693</v>
      </c>
      <c r="AA80" s="6">
        <f>(HLOOKUP('Yearly Pension'!AA$2,'Credited Service'!$G$1:$BC$80,$A80+1,FALSE)) * (IF($B80=500, (Assumptions!$B$7)*12, IF((HLOOKUP(AA$2,Earnings!$G$2:$BC$81,('Yearly Pension'!$A80)+1, FALSE)) &gt; AA$1, (Assumptions!$B$8)*(AA$1) + (Assumptions!$B$9)*MAX(0,  (HLOOKUP(AA$2,Earnings!$G$2:$BC$81,('Yearly Pension'!$A80)+1, FALSE)) - AA$1), ((Assumptions!$B$8)*'Yearly Pension'!AA$1))))</f>
        <v>988.17575273958801</v>
      </c>
      <c r="AB80" s="6">
        <f>(HLOOKUP('Yearly Pension'!AB$2,'Credited Service'!$G$1:$BC$80,$A80+1,FALSE)) * (IF($B80=500, (Assumptions!$B$7)*12, IF((HLOOKUP(AB$2,Earnings!$G$2:$BC$81,('Yearly Pension'!$A80)+1, FALSE)) &gt; AB$1, (Assumptions!$B$8)*(AB$1) + (Assumptions!$B$9)*MAX(0,  (HLOOKUP(AB$2,Earnings!$G$2:$BC$81,('Yearly Pension'!$A80)+1, FALSE)) - AB$1), ((Assumptions!$B$8)*'Yearly Pension'!AB$1))))</f>
        <v>1029.8275828491717</v>
      </c>
      <c r="AC80" s="6">
        <f>(HLOOKUP('Yearly Pension'!AC$2,'Credited Service'!$G$1:$BC$80,$A80+1,FALSE)) * (IF($B80=500, (Assumptions!$B$7)*12, IF((HLOOKUP(AC$2,Earnings!$G$2:$BC$81,('Yearly Pension'!$A80)+1, FALSE)) &gt; AC$1, (Assumptions!$B$8)*(AC$1) + (Assumptions!$B$9)*MAX(0,  (HLOOKUP(AC$2,Earnings!$G$2:$BC$81,('Yearly Pension'!$A80)+1, FALSE)) - AC$1), ((Assumptions!$B$8)*'Yearly Pension'!AC$1))))</f>
        <v>1077.2670861631384</v>
      </c>
      <c r="AD80" s="6">
        <f>(HLOOKUP('Yearly Pension'!AD$2,'Credited Service'!$G$1:$BC$80,$A80+1,FALSE)) * (IF($B80=500, (Assumptions!$B$7)*12, IF((HLOOKUP(AD$2,Earnings!$G$2:$BC$81,('Yearly Pension'!$A80)+1, FALSE)) &gt; AD$1, (Assumptions!$B$8)*(AD$1) + (Assumptions!$B$9)*MAX(0,  (HLOOKUP(AD$2,Earnings!$G$2:$BC$81,('Yearly Pension'!$A80)+1, FALSE)) - AD$1), ((Assumptions!$B$8)*'Yearly Pension'!AD$1))))</f>
        <v>1128.652169609664</v>
      </c>
      <c r="AE80" s="6">
        <f>(HLOOKUP('Yearly Pension'!AE$2,'Credited Service'!$G$1:$BC$80,$A80+1,FALSE)) * (IF($B80=500, (Assumptions!$B$7)*12, IF((HLOOKUP(AE$2,Earnings!$G$2:$BC$81,('Yearly Pension'!$A80)+1, FALSE)) &gt; AE$1, (Assumptions!$B$8)*(AE$1) + (Assumptions!$B$9)*MAX(0,  (HLOOKUP(AE$2,Earnings!$G$2:$BC$81,('Yearly Pension'!$A80)+1, FALSE)) - AE$1), ((Assumptions!$B$8)*'Yearly Pension'!AE$1))))</f>
        <v>1178.9438563940507</v>
      </c>
      <c r="AF80" s="6">
        <f>(HLOOKUP('Yearly Pension'!AF$2,'Credited Service'!$G$1:$BC$80,$A80+1,FALSE)) * (IF($B80=500, (Assumptions!$B$7)*12, IF((HLOOKUP(AF$2,Earnings!$G$2:$BC$81,('Yearly Pension'!$A80)+1, FALSE)) &gt; AF$1, (Assumptions!$B$8)*(AF$1) + (Assumptions!$B$9)*MAX(0,  (HLOOKUP(AF$2,Earnings!$G$2:$BC$81,('Yearly Pension'!$A80)+1, FALSE)) - AF$1), ((Assumptions!$B$8)*'Yearly Pension'!AF$1))))</f>
        <v>1230.7864106498128</v>
      </c>
      <c r="AG80" s="6">
        <f>(HLOOKUP('Yearly Pension'!AG$2,'Credited Service'!$G$1:$BC$80,$A80+1,FALSE)) * (IF($B80=500, (Assumptions!$B$7)*12, IF((HLOOKUP(AG$2,Earnings!$G$2:$BC$81,('Yearly Pension'!$A80)+1, FALSE)) &gt; AG$1, (Assumptions!$B$8)*(AG$1) + (Assumptions!$B$9)*MAX(0,  (HLOOKUP(AG$2,Earnings!$G$2:$BC$81,('Yearly Pension'!$A80)+1, FALSE)) - AG$1), ((Assumptions!$B$8)*'Yearly Pension'!AG$1))))</f>
        <v>1284.9074670758055</v>
      </c>
      <c r="AH80" s="6">
        <f>(HLOOKUP('Yearly Pension'!AH$2,'Credited Service'!$G$1:$BC$80,$A80+1,FALSE)) * (IF($B80=500, (Assumptions!$B$7)*12, IF((HLOOKUP(AH$2,Earnings!$G$2:$BC$81,('Yearly Pension'!$A80)+1, FALSE)) &gt; AH$1, (Assumptions!$B$8)*(AH$1) + (Assumptions!$B$9)*MAX(0,  (HLOOKUP(AH$2,Earnings!$G$2:$BC$81,('Yearly Pension'!$A80)+1, FALSE)) - AH$1), ((Assumptions!$B$8)*'Yearly Pension'!AH$1))))</f>
        <v>1342.6781657588376</v>
      </c>
      <c r="AI80" s="6">
        <f>(HLOOKUP('Yearly Pension'!AI$2,'Credited Service'!$G$1:$BC$80,$A80+1,FALSE)) * (IF($B80=500, (Assumptions!$B$7)*12, IF((HLOOKUP(AI$2,Earnings!$G$2:$BC$81,('Yearly Pension'!$A80)+1, FALSE)) &gt; AI$1, (Assumptions!$B$8)*(AI$1) + (Assumptions!$B$9)*MAX(0,  (HLOOKUP(AI$2,Earnings!$G$2:$BC$81,('Yearly Pension'!$A80)+1, FALSE)) - AI$1), ((Assumptions!$B$8)*'Yearly Pension'!AI$1))))</f>
        <v>1402.9132923891912</v>
      </c>
      <c r="AJ80" s="6">
        <f>(HLOOKUP('Yearly Pension'!AJ$2,'Credited Service'!$G$1:$BC$80,$A80+1,FALSE)) * (IF($B80=500, (Assumptions!$B$7)*12, IF((HLOOKUP(AJ$2,Earnings!$G$2:$BC$81,('Yearly Pension'!$A80)+1, FALSE)) &gt; AJ$1, (Assumptions!$B$8)*(AJ$1) + (Assumptions!$B$9)*MAX(0,  (HLOOKUP(AJ$2,Earnings!$G$2:$BC$81,('Yearly Pension'!$A80)+1, FALSE)) - AJ$1), ((Assumptions!$B$8)*'Yearly Pension'!AJ$1))))</f>
        <v>1463.1514240847589</v>
      </c>
      <c r="AK80" s="6">
        <f>(HLOOKUP('Yearly Pension'!AK$2,'Credited Service'!$G$1:$BC$80,$A80+1,FALSE)) * (IF($B80=500, (Assumptions!$B$7)*12, IF((HLOOKUP(AK$2,Earnings!$G$2:$BC$81,('Yearly Pension'!$A80)+1, FALSE)) &gt; AK$1, (Assumptions!$B$8)*(AK$1) + (Assumptions!$B$9)*MAX(0,  (HLOOKUP(AK$2,Earnings!$G$2:$BC$81,('Yearly Pension'!$A80)+1, FALSE)) - AK$1), ((Assumptions!$B$8)*'Yearly Pension'!AK$1))))</f>
        <v>1522.2150810481494</v>
      </c>
      <c r="AL80" s="6">
        <f>(HLOOKUP('Yearly Pension'!AL$2,'Credited Service'!$G$1:$BC$80,$A80+1,FALSE)) * (IF($B80=500, (Assumptions!$B$7)*12, IF((HLOOKUP(AL$2,Earnings!$G$2:$BC$81,('Yearly Pension'!$A80)+1, FALSE)) &gt; AL$1, (Assumptions!$B$8)*(AL$1) + (Assumptions!$B$9)*MAX(0,  (HLOOKUP(AL$2,Earnings!$G$2:$BC$81,('Yearly Pension'!$A80)+1, FALSE)) - AL$1), ((Assumptions!$B$8)*'Yearly Pension'!AL$1))))</f>
        <v>1586.6108842900753</v>
      </c>
      <c r="AM80" s="6">
        <f>(HLOOKUP('Yearly Pension'!AM$2,'Credited Service'!$G$1:$BC$80,$A80+1,FALSE)) * (IF($B80=500, (Assumptions!$B$7)*12, IF((HLOOKUP(AM$2,Earnings!$G$2:$BC$81,('Yearly Pension'!$A80)+1, FALSE)) &gt; AM$1, (Assumptions!$B$8)*(AM$1) + (Assumptions!$B$9)*MAX(0,  (HLOOKUP(AM$2,Earnings!$G$2:$BC$81,('Yearly Pension'!$A80)+1, FALSE)) - AM$1), ((Assumptions!$B$8)*'Yearly Pension'!AM$1))))</f>
        <v>1652.6097196616784</v>
      </c>
      <c r="AN80" s="6">
        <f>(HLOOKUP('Yearly Pension'!AN$2,'Credited Service'!$G$1:$BC$80,$A80+1,FALSE)) * (IF($B80=500, (Assumptions!$B$7)*12, IF((HLOOKUP(AN$2,Earnings!$G$2:$BC$81,('Yearly Pension'!$A80)+1, FALSE)) &gt; AN$1, (Assumptions!$B$8)*(AN$1) + (Assumptions!$B$9)*MAX(0,  (HLOOKUP(AN$2,Earnings!$G$2:$BC$81,('Yearly Pension'!$A80)+1, FALSE)) - AN$1), ((Assumptions!$B$8)*'Yearly Pension'!AN$1))))</f>
        <v>1724.8069084481458</v>
      </c>
      <c r="AO80" s="6">
        <f>(HLOOKUP('Yearly Pension'!AO$2,'Credited Service'!$G$1:$BC$80,$A80+1,FALSE)) * (IF($B80=500, (Assumptions!$B$7)*12, IF((HLOOKUP(AO$2,Earnings!$G$2:$BC$81,('Yearly Pension'!$A80)+1, FALSE)) &gt; AO$1, (Assumptions!$B$8)*(AO$1) + (Assumptions!$B$9)*MAX(0,  (HLOOKUP(AO$2,Earnings!$G$2:$BC$81,('Yearly Pension'!$A80)+1, FALSE)) - AO$1), ((Assumptions!$B$8)*'Yearly Pension'!AO$1))))</f>
        <v>1798.8423847860718</v>
      </c>
      <c r="AP80" s="6">
        <f>(HLOOKUP('Yearly Pension'!AP$2,'Credited Service'!$G$1:$BC$80,$A80+1,FALSE)) * (IF($B80=500, (Assumptions!$B$7)*12, IF((HLOOKUP(AP$2,Earnings!$G$2:$BC$81,('Yearly Pension'!$A80)+1, FALSE)) &gt; AP$1, (Assumptions!$B$8)*(AP$1) + (Assumptions!$B$9)*MAX(0,  (HLOOKUP(AP$2,Earnings!$G$2:$BC$81,('Yearly Pension'!$A80)+1, FALSE)) - AP$1), ((Assumptions!$B$8)*'Yearly Pension'!AP$1))))</f>
        <v>1871.6408801775146</v>
      </c>
      <c r="AQ80" s="6">
        <f>(HLOOKUP('Yearly Pension'!AQ$2,'Credited Service'!$G$1:$BC$80,$A80+1,FALSE)) * (IF($B80=500, (Assumptions!$B$7)*12, IF((HLOOKUP(AQ$2,Earnings!$G$2:$BC$81,('Yearly Pension'!$A80)+1, FALSE)) &gt; AQ$1, (Assumptions!$B$8)*(AQ$1) + (Assumptions!$B$9)*MAX(0,  (HLOOKUP(AQ$2,Earnings!$G$2:$BC$81,('Yearly Pension'!$A80)+1, FALSE)) - AQ$1), ((Assumptions!$B$8)*'Yearly Pension'!AQ$1))))</f>
        <v>1952.9321153846154</v>
      </c>
      <c r="AR80" s="6">
        <f>(HLOOKUP('Yearly Pension'!AR$2,'Credited Service'!$G$1:$BC$80,$A80+1,FALSE)) * (IF($B80=500, (Assumptions!$B$7)*12, IF((HLOOKUP(AR$2,Earnings!$G$2:$BC$81,('Yearly Pension'!$A80)+1, FALSE)) &gt; AR$1, (Assumptions!$B$8)*(AR$1) + (Assumptions!$B$9)*MAX(0,  (HLOOKUP(AR$2,Earnings!$G$2:$BC$81,('Yearly Pension'!$A80)+1, FALSE)) - AR$1), ((Assumptions!$B$8)*'Yearly Pension'!AR$1))))</f>
        <v>2035.171</v>
      </c>
      <c r="AS80" s="6">
        <f>(HLOOKUP('Yearly Pension'!AS$2,'Credited Service'!$G$1:$BC$80,$A80+1,FALSE)) * (IF($B80=500, (Assumptions!$B$7)*12, IF((HLOOKUP(AS$2,Earnings!$G$2:$BC$81,('Yearly Pension'!$A80)+1, FALSE)) &gt; AS$1, (Assumptions!$B$8)*(AS$1) + (Assumptions!$B$9)*MAX(0,  (HLOOKUP(AS$2,Earnings!$G$2:$BC$81,('Yearly Pension'!$A80)+1, FALSE)) - AS$1), ((Assumptions!$B$8)*'Yearly Pension'!AS$1))))</f>
        <v>2099.26613</v>
      </c>
      <c r="AT80" s="6">
        <f>(HLOOKUP('Yearly Pension'!AT$2,'Credited Service'!$G$1:$BC$80,$A80+1,FALSE)) * (IF($B80=500, (Assumptions!$B$7)*12, IF((HLOOKUP(AT$2,Earnings!$G$2:$BC$81,('Yearly Pension'!$A80)+1, FALSE)) &gt; AT$1, (Assumptions!$B$8)*(AT$1) + (Assumptions!$B$9)*MAX(0,  (HLOOKUP(AT$2,Earnings!$G$2:$BC$81,('Yearly Pension'!$A80)+1, FALSE)) - AT$1), ((Assumptions!$B$8)*'Yearly Pension'!AT$1))))</f>
        <v>2164.2153139000002</v>
      </c>
      <c r="AU80" s="6">
        <f>(HLOOKUP('Yearly Pension'!AU$2,'Credited Service'!$G$1:$BC$80,$A80+1,FALSE)) * (IF($B80=500, (Assumptions!$B$7)*12, IF((HLOOKUP(AU$2,Earnings!$G$2:$BC$81,('Yearly Pension'!$A80)+1, FALSE)) &gt; AU$1, (Assumptions!$B$8)*(AU$1) + (Assumptions!$B$9)*MAX(0,  (HLOOKUP(AU$2,Earnings!$G$2:$BC$81,('Yearly Pension'!$A80)+1, FALSE)) - AU$1), ((Assumptions!$B$8)*'Yearly Pension'!AU$1))))</f>
        <v>2237.1225733170004</v>
      </c>
      <c r="AV80" s="6">
        <f>(HLOOKUP('Yearly Pension'!AV$2,'Credited Service'!$G$1:$BC$80,$A80+1,FALSE)) * (IF($B80=500, (Assumptions!$B$7)*12, IF((HLOOKUP(AV$2,Earnings!$G$2:$BC$81,('Yearly Pension'!$A80)+1, FALSE)) &gt; AV$1, (Assumptions!$B$8)*(AV$1) + (Assumptions!$B$9)*MAX(0,  (HLOOKUP(AV$2,Earnings!$G$2:$BC$81,('Yearly Pension'!$A80)+1, FALSE)) - AV$1), ((Assumptions!$B$8)*'Yearly Pension'!AV$1))))</f>
        <v>2311.0138505165105</v>
      </c>
      <c r="AW80" s="6">
        <f>(HLOOKUP('Yearly Pension'!AW$2,'Credited Service'!$G$1:$BC$80,$A80+1,FALSE)) * (IF($B80=500, (Assumptions!$B$7)*12, IF((HLOOKUP(AW$2,Earnings!$G$2:$BC$81,('Yearly Pension'!$A80)+1, FALSE)) &gt; AW$1, (Assumptions!$B$8)*(AW$1) + (Assumptions!$B$9)*MAX(0,  (HLOOKUP(AW$2,Earnings!$G$2:$BC$81,('Yearly Pension'!$A80)+1, FALSE)) - AW$1), ((Assumptions!$B$8)*'Yearly Pension'!AW$1))))</f>
        <v>2381.477066032006</v>
      </c>
      <c r="AX80" s="6">
        <f>(HLOOKUP('Yearly Pension'!AX$2,'Credited Service'!$G$1:$BC$80,$A80+1,FALSE)) * (IF($B80=500, (Assumptions!$B$7)*12, IF((HLOOKUP(AX$2,Earnings!$G$2:$BC$81,('Yearly Pension'!$A80)+1, FALSE)) &gt; AX$1, (Assumptions!$B$8)*(AX$1) + (Assumptions!$B$9)*MAX(0,  (HLOOKUP(AX$2,Earnings!$G$2:$BC$81,('Yearly Pension'!$A80)+1, FALSE)) - AX$1), ((Assumptions!$B$8)*'Yearly Pension'!AX$1))))</f>
        <v>2449.2477780129661</v>
      </c>
      <c r="AY80" s="6">
        <f>(HLOOKUP('Yearly Pension'!AY$2,'Credited Service'!$G$1:$BC$80,$A80+1,FALSE)) * (IF($B80=500, (Assumptions!$B$7)*12, IF((HLOOKUP(AY$2,Earnings!$G$2:$BC$81,('Yearly Pension'!$A80)+1, FALSE)) &gt; AY$1, (Assumptions!$B$8)*(AY$1) + (Assumptions!$B$9)*MAX(0,  (HLOOKUP(AY$2,Earnings!$G$2:$BC$81,('Yearly Pension'!$A80)+1, FALSE)) - AY$1), ((Assumptions!$B$8)*'Yearly Pension'!AY$1))))</f>
        <v>1469.3610559561241</v>
      </c>
      <c r="AZ80" s="6">
        <f>(HLOOKUP('Yearly Pension'!AZ$2,'Credited Service'!$G$1:$BC$80,$A80+1,FALSE)) * (IF($B80=500, (Assumptions!$B$7)*12, IF((HLOOKUP(AZ$2,Earnings!$G$2:$BC$81,('Yearly Pension'!$A80)+1, FALSE)) &gt; AZ$1, (Assumptions!$B$8)*(AZ$1) + (Assumptions!$B$9)*MAX(0,  (HLOOKUP(AZ$2,Earnings!$G$2:$BC$81,('Yearly Pension'!$A80)+1, FALSE)) - AZ$1), ((Assumptions!$B$8)*'Yearly Pension'!AZ$1))))</f>
        <v>0</v>
      </c>
      <c r="BA80" s="6">
        <f>(HLOOKUP('Yearly Pension'!BA$2,'Credited Service'!$G$1:$BC$80,$A80+1,FALSE)) * (IF($B80=500, (Assumptions!$B$7)*12, IF((HLOOKUP(BA$2,Earnings!$G$2:$BC$81,('Yearly Pension'!$A80)+1, FALSE)) &gt; BA$1, (Assumptions!$B$8)*(BA$1) + (Assumptions!$B$9)*MAX(0,  (HLOOKUP(BA$2,Earnings!$G$2:$BC$81,('Yearly Pension'!$A80)+1, FALSE)) - BA$1), ((Assumptions!$B$8)*'Yearly Pension'!BA$1))))</f>
        <v>0</v>
      </c>
      <c r="BB80" s="6">
        <f>(HLOOKUP('Yearly Pension'!BB$2,'Credited Service'!$G$1:$BC$80,$A80+1,FALSE)) * (IF($B80=500, (Assumptions!$B$7)*12, IF((HLOOKUP(BB$2,Earnings!$G$2:$BC$81,('Yearly Pension'!$A80)+1, FALSE)) &gt; BB$1, (Assumptions!$B$8)*(BB$1) + (Assumptions!$B$9)*MAX(0,  (HLOOKUP(BB$2,Earnings!$G$2:$BC$81,('Yearly Pension'!$A80)+1, FALSE)) - BB$1), ((Assumptions!$B$8)*'Yearly Pension'!BB$1))))</f>
        <v>0</v>
      </c>
      <c r="BC80" s="6">
        <f>(HLOOKUP('Yearly Pension'!BC$2,'Credited Service'!$G$1:$BC$80,$A80+1,FALSE)) * (IF($B80=500, (Assumptions!$B$7)*12, IF((HLOOKUP(BC$2,Earnings!$G$2:$BC$81,('Yearly Pension'!$A80)+1, FALSE)) &gt; BC$1, (Assumptions!$B$8)*(BC$1) + (Assumptions!$B$9)*MAX(0,  (HLOOKUP(BC$2,Earnings!$G$2:$BC$81,('Yearly Pension'!$A80)+1, FALSE)) - BC$1), ((Assumptions!$B$8)*'Yearly Pension'!BC$1))))</f>
        <v>0</v>
      </c>
    </row>
    <row r="81" spans="1:55" ht="13.8" thickBot="1" x14ac:dyDescent="0.3">
      <c r="A81" s="205">
        <v>79</v>
      </c>
      <c r="B81" s="1">
        <v>600</v>
      </c>
      <c r="C81" s="1">
        <v>316</v>
      </c>
      <c r="D81" s="3">
        <v>28185</v>
      </c>
      <c r="E81" s="3">
        <v>45078</v>
      </c>
      <c r="G81" s="6">
        <f>(HLOOKUP('Yearly Pension'!G$2,'Credited Service'!$G$1:$BC$80,$A81+1,FALSE)) * 499.902898879541</f>
        <v>416.58574906628417</v>
      </c>
      <c r="H81" s="6">
        <f>(HLOOKUP('Yearly Pension'!H$2,'Credited Service'!$G$1:$BC$80,$A81+1,FALSE)) * (IF($B81=500, (Assumptions!$B$7)*12, IF((HLOOKUP(H$2,Earnings!$G$2:$BC$81,('Yearly Pension'!$A81)+1, FALSE)) &gt; H$1, (Assumptions!$B$8)*(H$1) + (Assumptions!$B$9)*MAX(0,  (HLOOKUP(H$2,Earnings!$G$2:$BC$81,('Yearly Pension'!$A81)+1, FALSE)) - H$1), ((Assumptions!$B$8)*'Yearly Pension'!H$1))))</f>
        <v>515.23981483472289</v>
      </c>
      <c r="I81" s="6">
        <f>(HLOOKUP('Yearly Pension'!I$2,'Credited Service'!$G$1:$BC$80,$A81+1,FALSE)) * (IF($B81=500, (Assumptions!$B$7)*12, IF((HLOOKUP(I$2,Earnings!$G$2:$BC$81,('Yearly Pension'!$A81)+1, FALSE)) &gt; I$1, (Assumptions!$B$8)*(I$1) + (Assumptions!$B$9)*MAX(0,  (HLOOKUP(I$2,Earnings!$G$2:$BC$81,('Yearly Pension'!$A81)+1, FALSE)) - I$1), ((Assumptions!$B$8)*'Yearly Pension'!I$1))))</f>
        <v>530.19180742811182</v>
      </c>
      <c r="J81" s="6">
        <f>(HLOOKUP('Yearly Pension'!J$2,'Credited Service'!$G$1:$BC$80,$A81+1,FALSE)) * (IF($B81=500, (Assumptions!$B$7)*12, IF((HLOOKUP(J$2,Earnings!$G$2:$BC$81,('Yearly Pension'!$A81)+1, FALSE)) &gt; J$1, (Assumptions!$B$8)*(J$1) + (Assumptions!$B$9)*MAX(0,  (HLOOKUP(J$2,Earnings!$G$2:$BC$81,('Yearly Pension'!$A81)+1, FALSE)) - J$1), ((Assumptions!$B$8)*'Yearly Pension'!J$1))))</f>
        <v>545.43467972523638</v>
      </c>
      <c r="K81" s="6">
        <f>(HLOOKUP('Yearly Pension'!K$2,'Credited Service'!$G$1:$BC$80,$A81+1,FALSE)) * (IF($B81=500, (Assumptions!$B$7)*12, IF((HLOOKUP(K$2,Earnings!$G$2:$BC$81,('Yearly Pension'!$A81)+1, FALSE)) &gt; K$1, (Assumptions!$B$8)*(K$1) + (Assumptions!$B$9)*MAX(0,  (HLOOKUP(K$2,Earnings!$G$2:$BC$81,('Yearly Pension'!$A81)+1, FALSE)) - K$1), ((Assumptions!$B$8)*'Yearly Pension'!K$1))))</f>
        <v>560.36566691424582</v>
      </c>
      <c r="L81" s="6">
        <f>(HLOOKUP('Yearly Pension'!L$2,'Credited Service'!$G$1:$BC$80,$A81+1,FALSE)) * (IF($B81=500, (Assumptions!$B$7)*12, IF((HLOOKUP(L$2,Earnings!$G$2:$BC$81,('Yearly Pension'!$A81)+1, FALSE)) &gt; L$1, (Assumptions!$B$8)*(L$1) + (Assumptions!$B$9)*MAX(0,  (HLOOKUP(L$2,Earnings!$G$2:$BC$81,('Yearly Pension'!$A81)+1, FALSE)) - L$1), ((Assumptions!$B$8)*'Yearly Pension'!L$1))))</f>
        <v>575.02349359081563</v>
      </c>
      <c r="M81" s="6">
        <f>(HLOOKUP('Yearly Pension'!M$2,'Credited Service'!$G$1:$BC$80,$A81+1,FALSE)) * (IF($B81=500, (Assumptions!$B$7)*12, IF((HLOOKUP(M$2,Earnings!$G$2:$BC$81,('Yearly Pension'!$A81)+1, FALSE)) &gt; M$1, (Assumptions!$B$8)*(M$1) + (Assumptions!$B$9)*MAX(0,  (HLOOKUP(M$2,Earnings!$G$2:$BC$81,('Yearly Pension'!$A81)+1, FALSE)) - M$1), ((Assumptions!$B$8)*'Yearly Pension'!M$1))))</f>
        <v>589.4484333344484</v>
      </c>
      <c r="N81" s="6">
        <f>(HLOOKUP('Yearly Pension'!N$2,'Credited Service'!$G$1:$BC$80,$A81+1,FALSE)) * (IF($B81=500, (Assumptions!$B$7)*12, IF((HLOOKUP(N$2,Earnings!$G$2:$BC$81,('Yearly Pension'!$A81)+1, FALSE)) &gt; N$1, (Assumptions!$B$8)*(N$1) + (Assumptions!$B$9)*MAX(0,  (HLOOKUP(N$2,Earnings!$G$2:$BC$81,('Yearly Pension'!$A81)+1, FALSE)) - N$1), ((Assumptions!$B$8)*'Yearly Pension'!N$1))))</f>
        <v>603.04237066782639</v>
      </c>
      <c r="O81" s="6">
        <f>(HLOOKUP('Yearly Pension'!O$2,'Credited Service'!$G$1:$BC$80,$A81+1,FALSE)) * (IF($B81=500, (Assumptions!$B$7)*12, IF((HLOOKUP(O$2,Earnings!$G$2:$BC$81,('Yearly Pension'!$A81)+1, FALSE)) &gt; O$1, (Assumptions!$B$8)*(O$1) + (Assumptions!$B$9)*MAX(0,  (HLOOKUP(O$2,Earnings!$G$2:$BC$81,('Yearly Pension'!$A81)+1, FALSE)) - O$1), ((Assumptions!$B$8)*'Yearly Pension'!O$1))))</f>
        <v>615.84886549453938</v>
      </c>
      <c r="P81" s="6">
        <f>(HLOOKUP('Yearly Pension'!P$2,'Credited Service'!$G$1:$BC$80,$A81+1,FALSE)) * (IF($B81=500, (Assumptions!$B$7)*12, IF((HLOOKUP(P$2,Earnings!$G$2:$BC$81,('Yearly Pension'!$A81)+1, FALSE)) &gt; P$1, (Assumptions!$B$8)*(P$1) + (Assumptions!$B$9)*MAX(0,  (HLOOKUP(P$2,Earnings!$G$2:$BC$81,('Yearly Pension'!$A81)+1, FALSE)) - P$1), ((Assumptions!$B$8)*'Yearly Pension'!P$1))))</f>
        <v>631.11322011432094</v>
      </c>
      <c r="Q81" s="6">
        <f>(HLOOKUP('Yearly Pension'!Q$2,'Credited Service'!$G$1:$BC$80,$A81+1,FALSE)) * (IF($B81=500, (Assumptions!$B$7)*12, IF((HLOOKUP(Q$2,Earnings!$G$2:$BC$81,('Yearly Pension'!$A81)+1, FALSE)) &gt; Q$1, (Assumptions!$B$8)*(Q$1) + (Assumptions!$B$9)*MAX(0,  (HLOOKUP(Q$2,Earnings!$G$2:$BC$81,('Yearly Pension'!$A81)+1, FALSE)) - Q$1), ((Assumptions!$B$8)*'Yearly Pension'!Q$1))))</f>
        <v>662.32254891889386</v>
      </c>
      <c r="R81" s="6">
        <f>(HLOOKUP('Yearly Pension'!R$2,'Credited Service'!$G$1:$BC$80,$A81+1,FALSE)) * (IF($B81=500, (Assumptions!$B$7)*12, IF((HLOOKUP(R$2,Earnings!$G$2:$BC$81,('Yearly Pension'!$A81)+1, FALSE)) &gt; R$1, (Assumptions!$B$8)*(R$1) + (Assumptions!$B$9)*MAX(0,  (HLOOKUP(R$2,Earnings!$G$2:$BC$81,('Yearly Pension'!$A81)+1, FALSE)) - R$1), ((Assumptions!$B$8)*'Yearly Pension'!R$1))))</f>
        <v>691.60585087564959</v>
      </c>
      <c r="S81" s="6">
        <f>(HLOOKUP('Yearly Pension'!S$2,'Credited Service'!$G$1:$BC$80,$A81+1,FALSE)) * (IF($B81=500, (Assumptions!$B$7)*12, IF((HLOOKUP(S$2,Earnings!$G$2:$BC$81,('Yearly Pension'!$A81)+1, FALSE)) &gt; S$1, (Assumptions!$B$8)*(S$1) + (Assumptions!$B$9)*MAX(0,  (HLOOKUP(S$2,Earnings!$G$2:$BC$81,('Yearly Pension'!$A81)+1, FALSE)) - S$1), ((Assumptions!$B$8)*'Yearly Pension'!S$1))))</f>
        <v>718.37408491067549</v>
      </c>
      <c r="T81" s="6">
        <f>(HLOOKUP('Yearly Pension'!T$2,'Credited Service'!$G$1:$BC$80,$A81+1,FALSE)) * (IF($B81=500, (Assumptions!$B$7)*12, IF((HLOOKUP(T$2,Earnings!$G$2:$BC$81,('Yearly Pension'!$A81)+1, FALSE)) &gt; T$1, (Assumptions!$B$8)*(T$1) + (Assumptions!$B$9)*MAX(0,  (HLOOKUP(T$2,Earnings!$G$2:$BC$81,('Yearly Pension'!$A81)+1, FALSE)) - T$1), ((Assumptions!$B$8)*'Yearly Pension'!T$1))))</f>
        <v>746.52024830710252</v>
      </c>
      <c r="U81" s="6">
        <f>(HLOOKUP('Yearly Pension'!U$2,'Credited Service'!$G$1:$BC$80,$A81+1,FALSE)) * (IF($B81=500, (Assumptions!$B$7)*12, IF((HLOOKUP(U$2,Earnings!$G$2:$BC$81,('Yearly Pension'!$A81)+1, FALSE)) &gt; U$1, (Assumptions!$B$8)*(U$1) + (Assumptions!$B$9)*MAX(0,  (HLOOKUP(U$2,Earnings!$G$2:$BC$81,('Yearly Pension'!$A81)+1, FALSE)) - U$1), ((Assumptions!$B$8)*'Yearly Pension'!U$1))))</f>
        <v>773.5394582393867</v>
      </c>
      <c r="V81" s="6">
        <f>(HLOOKUP('Yearly Pension'!V$2,'Credited Service'!$G$1:$BC$80,$A81+1,FALSE)) * (IF($B81=500, (Assumptions!$B$7)*12, IF((HLOOKUP(V$2,Earnings!$G$2:$BC$81,('Yearly Pension'!$A81)+1, FALSE)) &gt; V$1, (Assumptions!$B$8)*(V$1) + (Assumptions!$B$9)*MAX(0,  (HLOOKUP(V$2,Earnings!$G$2:$BC$81,('Yearly Pension'!$A81)+1, FALSE)) - V$1), ((Assumptions!$B$8)*'Yearly Pension'!V$1))))</f>
        <v>801.40903656896216</v>
      </c>
      <c r="W81" s="6">
        <f>(HLOOKUP('Yearly Pension'!W$2,'Credited Service'!$G$1:$BC$80,$A81+1,FALSE)) * (IF($B81=500, (Assumptions!$B$7)*12, IF((HLOOKUP(W$2,Earnings!$G$2:$BC$81,('Yearly Pension'!$A81)+1, FALSE)) &gt; W$1, (Assumptions!$B$8)*(W$1) + (Assumptions!$B$9)*MAX(0,  (HLOOKUP(W$2,Earnings!$G$2:$BC$81,('Yearly Pension'!$A81)+1, FALSE)) - W$1), ((Assumptions!$B$8)*'Yearly Pension'!W$1))))</f>
        <v>834.02859803172078</v>
      </c>
      <c r="X81" s="6">
        <f>(HLOOKUP('Yearly Pension'!X$2,'Credited Service'!$G$1:$BC$80,$A81+1,FALSE)) * (IF($B81=500, (Assumptions!$B$7)*12, IF((HLOOKUP(X$2,Earnings!$G$2:$BC$81,('Yearly Pension'!$A81)+1, FALSE)) &gt; X$1, (Assumptions!$B$8)*(X$1) + (Assumptions!$B$9)*MAX(0,  (HLOOKUP(X$2,Earnings!$G$2:$BC$81,('Yearly Pension'!$A81)+1, FALSE)) - X$1), ((Assumptions!$B$8)*'Yearly Pension'!X$1))))</f>
        <v>869.54014195298964</v>
      </c>
      <c r="Y81" s="6">
        <f>(HLOOKUP('Yearly Pension'!Y$2,'Credited Service'!$G$1:$BC$80,$A81+1,FALSE)) * (IF($B81=500, (Assumptions!$B$7)*12, IF((HLOOKUP(Y$2,Earnings!$G$2:$BC$81,('Yearly Pension'!$A81)+1, FALSE)) &gt; Y$1, (Assumptions!$B$8)*(Y$1) + (Assumptions!$B$9)*MAX(0,  (HLOOKUP(Y$2,Earnings!$G$2:$BC$81,('Yearly Pension'!$A81)+1, FALSE)) - Y$1), ((Assumptions!$B$8)*'Yearly Pension'!Y$1))))</f>
        <v>909.92814763110937</v>
      </c>
      <c r="Z81" s="6">
        <f>(HLOOKUP('Yearly Pension'!Z$2,'Credited Service'!$G$1:$BC$80,$A81+1,FALSE)) * (IF($B81=500, (Assumptions!$B$7)*12, IF((HLOOKUP(Z$2,Earnings!$G$2:$BC$81,('Yearly Pension'!$A81)+1, FALSE)) &gt; Z$1, (Assumptions!$B$8)*(Z$1) + (Assumptions!$B$9)*MAX(0,  (HLOOKUP(Z$2,Earnings!$G$2:$BC$81,('Yearly Pension'!$A81)+1, FALSE)) - Z$1), ((Assumptions!$B$8)*'Yearly Pension'!Z$1))))</f>
        <v>952.05967353635367</v>
      </c>
      <c r="AA81" s="6">
        <f>(HLOOKUP('Yearly Pension'!AA$2,'Credited Service'!$G$1:$BC$80,$A81+1,FALSE)) * (IF($B81=500, (Assumptions!$B$7)*12, IF((HLOOKUP(AA$2,Earnings!$G$2:$BC$81,('Yearly Pension'!$A81)+1, FALSE)) &gt; AA$1, (Assumptions!$B$8)*(AA$1) + (Assumptions!$B$9)*MAX(0,  (HLOOKUP(AA$2,Earnings!$G$2:$BC$81,('Yearly Pension'!$A81)+1, FALSE)) - AA$1), ((Assumptions!$B$8)*'Yearly Pension'!AA$1))))</f>
        <v>996.64446047780791</v>
      </c>
      <c r="AB81" s="6">
        <f>(HLOOKUP('Yearly Pension'!AB$2,'Credited Service'!$G$1:$BC$80,$A81+1,FALSE)) * (IF($B81=500, (Assumptions!$B$7)*12, IF((HLOOKUP(AB$2,Earnings!$G$2:$BC$81,('Yearly Pension'!$A81)+1, FALSE)) &gt; AB$1, (Assumptions!$B$8)*(AB$1) + (Assumptions!$B$9)*MAX(0,  (HLOOKUP(AB$2,Earnings!$G$2:$BC$81,('Yearly Pension'!$A81)+1, FALSE)) - AB$1), ((Assumptions!$B$8)*'Yearly Pension'!AB$1))))</f>
        <v>1038.6350388969204</v>
      </c>
      <c r="AC81" s="6">
        <f>(HLOOKUP('Yearly Pension'!AC$2,'Credited Service'!$G$1:$BC$80,$A81+1,FALSE)) * (IF($B81=500, (Assumptions!$B$7)*12, IF((HLOOKUP(AC$2,Earnings!$G$2:$BC$81,('Yearly Pension'!$A81)+1, FALSE)) &gt; AC$1, (Assumptions!$B$8)*(AC$1) + (Assumptions!$B$9)*MAX(0,  (HLOOKUP(AC$2,Earnings!$G$2:$BC$81,('Yearly Pension'!$A81)+1, FALSE)) - AC$1), ((Assumptions!$B$8)*'Yearly Pension'!AC$1))))</f>
        <v>1086.426840452797</v>
      </c>
      <c r="AD81" s="6">
        <f>(HLOOKUP('Yearly Pension'!AD$2,'Credited Service'!$G$1:$BC$80,$A81+1,FALSE)) * (IF($B81=500, (Assumptions!$B$7)*12, IF((HLOOKUP(AD$2,Earnings!$G$2:$BC$81,('Yearly Pension'!$A81)+1, FALSE)) &gt; AD$1, (Assumptions!$B$8)*(AD$1) + (Assumptions!$B$9)*MAX(0,  (HLOOKUP(AD$2,Earnings!$G$2:$BC$81,('Yearly Pension'!$A81)+1, FALSE)) - AD$1), ((Assumptions!$B$8)*'Yearly Pension'!AD$1))))</f>
        <v>1138.178314070909</v>
      </c>
      <c r="AE81" s="6">
        <f>(HLOOKUP('Yearly Pension'!AE$2,'Credited Service'!$G$1:$BC$80,$A81+1,FALSE)) * (IF($B81=500, (Assumptions!$B$7)*12, IF((HLOOKUP(AE$2,Earnings!$G$2:$BC$81,('Yearly Pension'!$A81)+1, FALSE)) &gt; AE$1, (Assumptions!$B$8)*(AE$1) + (Assumptions!$B$9)*MAX(0,  (HLOOKUP(AE$2,Earnings!$G$2:$BC$81,('Yearly Pension'!$A81)+1, FALSE)) - AE$1), ((Assumptions!$B$8)*'Yearly Pension'!AE$1))))</f>
        <v>1188.8510466337455</v>
      </c>
      <c r="AF81" s="6">
        <f>(HLOOKUP('Yearly Pension'!AF$2,'Credited Service'!$G$1:$BC$80,$A81+1,FALSE)) * (IF($B81=500, (Assumptions!$B$7)*12, IF((HLOOKUP(AF$2,Earnings!$G$2:$BC$81,('Yearly Pension'!$A81)+1, FALSE)) &gt; AF$1, (Assumptions!$B$8)*(AF$1) + (Assumptions!$B$9)*MAX(0,  (HLOOKUP(AF$2,Earnings!$G$2:$BC$81,('Yearly Pension'!$A81)+1, FALSE)) - AF$1), ((Assumptions!$B$8)*'Yearly Pension'!AF$1))))</f>
        <v>1241.0898884990954</v>
      </c>
      <c r="AG81" s="6">
        <f>(HLOOKUP('Yearly Pension'!AG$2,'Credited Service'!$G$1:$BC$80,$A81+1,FALSE)) * (IF($B81=500, (Assumptions!$B$7)*12, IF((HLOOKUP(AG$2,Earnings!$G$2:$BC$81,('Yearly Pension'!$A81)+1, FALSE)) &gt; AG$1, (Assumptions!$B$8)*(AG$1) + (Assumptions!$B$9)*MAX(0,  (HLOOKUP(AG$2,Earnings!$G$2:$BC$81,('Yearly Pension'!$A81)+1, FALSE)) - AG$1), ((Assumptions!$B$8)*'Yearly Pension'!AG$1))))</f>
        <v>1295.6230840390592</v>
      </c>
      <c r="AH81" s="6">
        <f>(HLOOKUP('Yearly Pension'!AH$2,'Credited Service'!$G$1:$BC$80,$A81+1,FALSE)) * (IF($B81=500, (Assumptions!$B$7)*12, IF((HLOOKUP(AH$2,Earnings!$G$2:$BC$81,('Yearly Pension'!$A81)+1, FALSE)) &gt; AH$1, (Assumptions!$B$8)*(AH$1) + (Assumptions!$B$9)*MAX(0,  (HLOOKUP(AH$2,Earnings!$G$2:$BC$81,('Yearly Pension'!$A81)+1, FALSE)) - AH$1), ((Assumptions!$B$8)*'Yearly Pension'!AH$1))))</f>
        <v>1353.8224074006214</v>
      </c>
      <c r="AI81" s="6">
        <f>(HLOOKUP('Yearly Pension'!AI$2,'Credited Service'!$G$1:$BC$80,$A81+1,FALSE)) * (IF($B81=500, (Assumptions!$B$7)*12, IF((HLOOKUP(AI$2,Earnings!$G$2:$BC$81,('Yearly Pension'!$A81)+1, FALSE)) &gt; AI$1, (Assumptions!$B$8)*(AI$1) + (Assumptions!$B$9)*MAX(0,  (HLOOKUP(AI$2,Earnings!$G$2:$BC$81,('Yearly Pension'!$A81)+1, FALSE)) - AI$1), ((Assumptions!$B$8)*'Yearly Pension'!AI$1))))</f>
        <v>1414.5033036966465</v>
      </c>
      <c r="AJ81" s="6">
        <f>(HLOOKUP('Yearly Pension'!AJ$2,'Credited Service'!$G$1:$BC$80,$A81+1,FALSE)) * (IF($B81=500, (Assumptions!$B$7)*12, IF((HLOOKUP(AJ$2,Earnings!$G$2:$BC$81,('Yearly Pension'!$A81)+1, FALSE)) &gt; AJ$1, (Assumptions!$B$8)*(AJ$1) + (Assumptions!$B$9)*MAX(0,  (HLOOKUP(AJ$2,Earnings!$G$2:$BC$81,('Yearly Pension'!$A81)+1, FALSE)) - AJ$1), ((Assumptions!$B$8)*'Yearly Pension'!AJ$1))))</f>
        <v>1475.2050358445124</v>
      </c>
      <c r="AK81" s="6">
        <f>(HLOOKUP('Yearly Pension'!AK$2,'Credited Service'!$G$1:$BC$80,$A81+1,FALSE)) * (IF($B81=500, (Assumptions!$B$7)*12, IF((HLOOKUP(AK$2,Earnings!$G$2:$BC$81,('Yearly Pension'!$A81)+1, FALSE)) &gt; AK$1, (Assumptions!$B$8)*(AK$1) + (Assumptions!$B$9)*MAX(0,  (HLOOKUP(AK$2,Earnings!$G$2:$BC$81,('Yearly Pension'!$A81)+1, FALSE)) - AK$1), ((Assumptions!$B$8)*'Yearly Pension'!AK$1))))</f>
        <v>1534.7508372782931</v>
      </c>
      <c r="AL81" s="6">
        <f>(HLOOKUP('Yearly Pension'!AL$2,'Credited Service'!$G$1:$BC$80,$A81+1,FALSE)) * (IF($B81=500, (Assumptions!$B$7)*12, IF((HLOOKUP(AL$2,Earnings!$G$2:$BC$81,('Yearly Pension'!$A81)+1, FALSE)) &gt; AL$1, (Assumptions!$B$8)*(AL$1) + (Assumptions!$B$9)*MAX(0,  (HLOOKUP(AL$2,Earnings!$G$2:$BC$81,('Yearly Pension'!$A81)+1, FALSE)) - AL$1), ((Assumptions!$B$8)*'Yearly Pension'!AL$1))))</f>
        <v>1599.648070769425</v>
      </c>
      <c r="AM81" s="6">
        <f>(HLOOKUP('Yearly Pension'!AM$2,'Credited Service'!$G$1:$BC$80,$A81+1,FALSE)) * (IF($B81=500, (Assumptions!$B$7)*12, IF((HLOOKUP(AM$2,Earnings!$G$2:$BC$81,('Yearly Pension'!$A81)+1, FALSE)) &gt; AM$1, (Assumptions!$B$8)*(AM$1) + (Assumptions!$B$9)*MAX(0,  (HLOOKUP(AM$2,Earnings!$G$2:$BC$81,('Yearly Pension'!$A81)+1, FALSE)) - AM$1), ((Assumptions!$B$8)*'Yearly Pension'!AM$1))))</f>
        <v>1666.1683936002019</v>
      </c>
      <c r="AN81" s="6">
        <f>(HLOOKUP('Yearly Pension'!AN$2,'Credited Service'!$G$1:$BC$80,$A81+1,FALSE)) * (IF($B81=500, (Assumptions!$B$7)*12, IF((HLOOKUP(AN$2,Earnings!$G$2:$BC$81,('Yearly Pension'!$A81)+1, FALSE)) &gt; AN$1, (Assumptions!$B$8)*(AN$1) + (Assumptions!$B$9)*MAX(0,  (HLOOKUP(AN$2,Earnings!$G$2:$BC$81,('Yearly Pension'!$A81)+1, FALSE)) - AN$1), ((Assumptions!$B$8)*'Yearly Pension'!AN$1))))</f>
        <v>1738.9079293442101</v>
      </c>
      <c r="AO81" s="6">
        <f>(HLOOKUP('Yearly Pension'!AO$2,'Credited Service'!$G$1:$BC$80,$A81+1,FALSE)) * (IF($B81=500, (Assumptions!$B$7)*12, IF((HLOOKUP(AO$2,Earnings!$G$2:$BC$81,('Yearly Pension'!$A81)+1, FALSE)) &gt; AO$1, (Assumptions!$B$8)*(AO$1) + (Assumptions!$B$9)*MAX(0,  (HLOOKUP(AO$2,Earnings!$G$2:$BC$81,('Yearly Pension'!$A81)+1, FALSE)) - AO$1), ((Assumptions!$B$8)*'Yearly Pension'!AO$1))))</f>
        <v>1813.5074465179787</v>
      </c>
      <c r="AP81" s="6">
        <f>(HLOOKUP('Yearly Pension'!AP$2,'Credited Service'!$G$1:$BC$80,$A81+1,FALSE)) * (IF($B81=500, (Assumptions!$B$7)*12, IF((HLOOKUP(AP$2,Earnings!$G$2:$BC$81,('Yearly Pension'!$A81)+1, FALSE)) &gt; AP$1, (Assumptions!$B$8)*(AP$1) + (Assumptions!$B$9)*MAX(0,  (HLOOKUP(AP$2,Earnings!$G$2:$BC$81,('Yearly Pension'!$A81)+1, FALSE)) - AP$1), ((Assumptions!$B$8)*'Yearly Pension'!AP$1))))</f>
        <v>1886.8925443786979</v>
      </c>
      <c r="AQ81" s="6">
        <f>(HLOOKUP('Yearly Pension'!AQ$2,'Credited Service'!$G$1:$BC$80,$A81+1,FALSE)) * (IF($B81=500, (Assumptions!$B$7)*12, IF((HLOOKUP(AQ$2,Earnings!$G$2:$BC$81,('Yearly Pension'!$A81)+1, FALSE)) &gt; AQ$1, (Assumptions!$B$8)*(AQ$1) + (Assumptions!$B$9)*MAX(0,  (HLOOKUP(AQ$2,Earnings!$G$2:$BC$81,('Yearly Pension'!$A81)+1, FALSE)) - AQ$1), ((Assumptions!$B$8)*'Yearly Pension'!AQ$1))))</f>
        <v>1968.7938461538461</v>
      </c>
      <c r="AR81" s="6">
        <f>(HLOOKUP('Yearly Pension'!AR$2,'Credited Service'!$G$1:$BC$80,$A81+1,FALSE)) * (IF($B81=500, (Assumptions!$B$7)*12, IF((HLOOKUP(AR$2,Earnings!$G$2:$BC$81,('Yearly Pension'!$A81)+1, FALSE)) &gt; AR$1, (Assumptions!$B$8)*(AR$1) + (Assumptions!$B$9)*MAX(0,  (HLOOKUP(AR$2,Earnings!$G$2:$BC$81,('Yearly Pension'!$A81)+1, FALSE)) - AR$1), ((Assumptions!$B$8)*'Yearly Pension'!AR$1))))</f>
        <v>2051.6671999999999</v>
      </c>
      <c r="AS81" s="6">
        <f>(HLOOKUP('Yearly Pension'!AS$2,'Credited Service'!$G$1:$BC$80,$A81+1,FALSE)) * (IF($B81=500, (Assumptions!$B$7)*12, IF((HLOOKUP(AS$2,Earnings!$G$2:$BC$81,('Yearly Pension'!$A81)+1, FALSE)) &gt; AS$1, (Assumptions!$B$8)*(AS$1) + (Assumptions!$B$9)*MAX(0,  (HLOOKUP(AS$2,Earnings!$G$2:$BC$81,('Yearly Pension'!$A81)+1, FALSE)) - AS$1), ((Assumptions!$B$8)*'Yearly Pension'!AS$1))))</f>
        <v>2116.257216</v>
      </c>
      <c r="AT81" s="6">
        <f>(HLOOKUP('Yearly Pension'!AT$2,'Credited Service'!$G$1:$BC$80,$A81+1,FALSE)) * (IF($B81=500, (Assumptions!$B$7)*12, IF((HLOOKUP(AT$2,Earnings!$G$2:$BC$81,('Yearly Pension'!$A81)+1, FALSE)) &gt; AT$1, (Assumptions!$B$8)*(AT$1) + (Assumptions!$B$9)*MAX(0,  (HLOOKUP(AT$2,Earnings!$G$2:$BC$81,('Yearly Pension'!$A81)+1, FALSE)) - AT$1), ((Assumptions!$B$8)*'Yearly Pension'!AT$1))))</f>
        <v>2181.7161324800004</v>
      </c>
      <c r="AU81" s="6">
        <f>(HLOOKUP('Yearly Pension'!AU$2,'Credited Service'!$G$1:$BC$80,$A81+1,FALSE)) * (IF($B81=500, (Assumptions!$B$7)*12, IF((HLOOKUP(AU$2,Earnings!$G$2:$BC$81,('Yearly Pension'!$A81)+1, FALSE)) &gt; AU$1, (Assumptions!$B$8)*(AU$1) + (Assumptions!$B$9)*MAX(0,  (HLOOKUP(AU$2,Earnings!$G$2:$BC$81,('Yearly Pension'!$A81)+1, FALSE)) - AU$1), ((Assumptions!$B$8)*'Yearly Pension'!AU$1))))</f>
        <v>2255.1484164544008</v>
      </c>
      <c r="AV81" s="6">
        <f>(HLOOKUP('Yearly Pension'!AV$2,'Credited Service'!$G$1:$BC$80,$A81+1,FALSE)) * (IF($B81=500, (Assumptions!$B$7)*12, IF((HLOOKUP(AV$2,Earnings!$G$2:$BC$81,('Yearly Pension'!$A81)+1, FALSE)) &gt; AV$1, (Assumptions!$B$8)*(AV$1) + (Assumptions!$B$9)*MAX(0,  (HLOOKUP(AV$2,Earnings!$G$2:$BC$81,('Yearly Pension'!$A81)+1, FALSE)) - AV$1), ((Assumptions!$B$8)*'Yearly Pension'!AV$1))))</f>
        <v>2329.5804689480328</v>
      </c>
      <c r="AW81" s="6">
        <f>(HLOOKUP('Yearly Pension'!AW$2,'Credited Service'!$G$1:$BC$80,$A81+1,FALSE)) * (IF($B81=500, (Assumptions!$B$7)*12, IF((HLOOKUP(AW$2,Earnings!$G$2:$BC$81,('Yearly Pension'!$A81)+1, FALSE)) &gt; AW$1, (Assumptions!$B$8)*(AW$1) + (Assumptions!$B$9)*MAX(0,  (HLOOKUP(AW$2,Earnings!$G$2:$BC$81,('Yearly Pension'!$A81)+1, FALSE)) - AW$1), ((Assumptions!$B$8)*'Yearly Pension'!AW$1))))</f>
        <v>2400.6006830164738</v>
      </c>
      <c r="AX81" s="6">
        <f>(HLOOKUP('Yearly Pension'!AX$2,'Credited Service'!$G$1:$BC$80,$A81+1,FALSE)) * (IF($B81=500, (Assumptions!$B$7)*12, IF((HLOOKUP(AX$2,Earnings!$G$2:$BC$81,('Yearly Pension'!$A81)+1, FALSE)) &gt; AX$1, (Assumptions!$B$8)*(AX$1) + (Assumptions!$B$9)*MAX(0,  (HLOOKUP(AX$2,Earnings!$G$2:$BC$81,('Yearly Pension'!$A81)+1, FALSE)) - AX$1), ((Assumptions!$B$8)*'Yearly Pension'!AX$1))))</f>
        <v>2468.9451035069678</v>
      </c>
      <c r="AY81" s="6">
        <f>(HLOOKUP('Yearly Pension'!AY$2,'Credited Service'!$G$1:$BC$80,$A81+1,FALSE)) * (IF($B81=500, (Assumptions!$B$7)*12, IF((HLOOKUP(AY$2,Earnings!$G$2:$BC$81,('Yearly Pension'!$A81)+1, FALSE)) &gt; AY$1, (Assumptions!$B$8)*(AY$1) + (Assumptions!$B$9)*MAX(0,  (HLOOKUP(AY$2,Earnings!$G$2:$BC$81,('Yearly Pension'!$A81)+1, FALSE)) - AY$1), ((Assumptions!$B$8)*'Yearly Pension'!AY$1))))</f>
        <v>2539.1929126121772</v>
      </c>
      <c r="AZ81" s="6">
        <f>(HLOOKUP('Yearly Pension'!AZ$2,'Credited Service'!$G$1:$BC$80,$A81+1,FALSE)) * (IF($B81=500, (Assumptions!$B$7)*12, IF((HLOOKUP(AZ$2,Earnings!$G$2:$BC$81,('Yearly Pension'!$A81)+1, FALSE)) &gt; AZ$1, (Assumptions!$B$8)*(AZ$1) + (Assumptions!$B$9)*MAX(0,  (HLOOKUP(AZ$2,Earnings!$G$2:$BC$81,('Yearly Pension'!$A81)+1, FALSE)) - AZ$1), ((Assumptions!$B$8)*'Yearly Pension'!AZ$1))))</f>
        <v>2611.3953342305426</v>
      </c>
      <c r="BA81" s="6">
        <f>(HLOOKUP('Yearly Pension'!BA$2,'Credited Service'!$G$1:$BC$80,$A81+1,FALSE)) * (IF($B81=500, (Assumptions!$B$7)*12, IF((HLOOKUP(BA$2,Earnings!$G$2:$BC$81,('Yearly Pension'!$A81)+1, FALSE)) &gt; BA$1, (Assumptions!$B$8)*(BA$1) + (Assumptions!$B$9)*MAX(0,  (HLOOKUP(BA$2,Earnings!$G$2:$BC$81,('Yearly Pension'!$A81)+1, FALSE)) - BA$1), ((Assumptions!$B$8)*'Yearly Pension'!BA$1))))</f>
        <v>1119.0020391112744</v>
      </c>
      <c r="BB81" s="6">
        <f>(HLOOKUP('Yearly Pension'!BB$2,'Credited Service'!$G$1:$BC$80,$A81+1,FALSE)) * (IF($B81=500, (Assumptions!$B$7)*12, IF((HLOOKUP(BB$2,Earnings!$G$2:$BC$81,('Yearly Pension'!$A81)+1, FALSE)) &gt; BB$1, (Assumptions!$B$8)*(BB$1) + (Assumptions!$B$9)*MAX(0,  (HLOOKUP(BB$2,Earnings!$G$2:$BC$81,('Yearly Pension'!$A81)+1, FALSE)) - BB$1), ((Assumptions!$B$8)*'Yearly Pension'!BB$1))))</f>
        <v>0</v>
      </c>
      <c r="BC81" s="6">
        <f>(HLOOKUP('Yearly Pension'!BC$2,'Credited Service'!$G$1:$BC$80,$A81+1,FALSE)) * (IF($B81=500, (Assumptions!$B$7)*12, IF((HLOOKUP(BC$2,Earnings!$G$2:$BC$81,('Yearly Pension'!$A81)+1, FALSE)) &gt; BC$1, (Assumptions!$B$8)*(BC$1) + (Assumptions!$B$9)*MAX(0,  (HLOOKUP(BC$2,Earnings!$G$2:$BC$81,('Yearly Pension'!$A81)+1, FALSE)) - BC$1), ((Assumptions!$B$8)*'Yearly Pension'!BC$1))))</f>
        <v>0</v>
      </c>
    </row>
  </sheetData>
  <mergeCells count="4">
    <mergeCell ref="C1:C2"/>
    <mergeCell ref="B1:B2"/>
    <mergeCell ref="E1:E2"/>
    <mergeCell ref="D1:D2"/>
  </mergeCells>
  <pageMargins left="0.7" right="0.7" top="0.75" bottom="0.75" header="0.3" footer="0.3"/>
  <pageSetup orientation="portrait" horizontalDpi="4294967293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A577-91A4-4231-9A5B-73E103FA77BC}">
  <dimension ref="A1:E67"/>
  <sheetViews>
    <sheetView showGridLines="0" workbookViewId="0">
      <selection activeCell="K25" sqref="K25"/>
    </sheetView>
  </sheetViews>
  <sheetFormatPr defaultRowHeight="13.2" x14ac:dyDescent="0.25"/>
  <cols>
    <col min="1" max="16384" width="8.88671875" style="208"/>
  </cols>
  <sheetData>
    <row r="1" spans="1:5" x14ac:dyDescent="0.25">
      <c r="A1" s="208">
        <f ca="1">YEAR('Part D Pension Calculator'!B1)</f>
        <v>2019</v>
      </c>
      <c r="B1" s="208">
        <v>1</v>
      </c>
      <c r="C1" s="208">
        <v>1</v>
      </c>
      <c r="E1" s="208" t="s">
        <v>115</v>
      </c>
    </row>
    <row r="2" spans="1:5" x14ac:dyDescent="0.25">
      <c r="A2" s="208">
        <f ca="1">A1+1</f>
        <v>2020</v>
      </c>
      <c r="B2" s="208">
        <v>2</v>
      </c>
      <c r="C2" s="208">
        <v>2</v>
      </c>
    </row>
    <row r="3" spans="1:5" x14ac:dyDescent="0.25">
      <c r="A3" s="208">
        <f t="shared" ref="A3:A65" ca="1" si="0">A2+1</f>
        <v>2021</v>
      </c>
      <c r="B3" s="208">
        <v>3</v>
      </c>
      <c r="C3" s="208">
        <v>3</v>
      </c>
    </row>
    <row r="4" spans="1:5" x14ac:dyDescent="0.25">
      <c r="A4" s="208">
        <f t="shared" ca="1" si="0"/>
        <v>2022</v>
      </c>
      <c r="B4" s="208">
        <v>4</v>
      </c>
      <c r="C4" s="208">
        <v>4</v>
      </c>
    </row>
    <row r="5" spans="1:5" x14ac:dyDescent="0.25">
      <c r="A5" s="208">
        <f t="shared" ca="1" si="0"/>
        <v>2023</v>
      </c>
      <c r="B5" s="208">
        <v>5</v>
      </c>
      <c r="C5" s="208">
        <v>5</v>
      </c>
    </row>
    <row r="6" spans="1:5" x14ac:dyDescent="0.25">
      <c r="A6" s="208">
        <f t="shared" ca="1" si="0"/>
        <v>2024</v>
      </c>
      <c r="B6" s="208">
        <v>6</v>
      </c>
      <c r="C6" s="208">
        <v>6</v>
      </c>
    </row>
    <row r="7" spans="1:5" x14ac:dyDescent="0.25">
      <c r="A7" s="208">
        <f t="shared" ca="1" si="0"/>
        <v>2025</v>
      </c>
      <c r="B7" s="208">
        <v>7</v>
      </c>
      <c r="C7" s="208">
        <v>7</v>
      </c>
    </row>
    <row r="8" spans="1:5" x14ac:dyDescent="0.25">
      <c r="A8" s="208">
        <f t="shared" ca="1" si="0"/>
        <v>2026</v>
      </c>
      <c r="B8" s="208">
        <v>8</v>
      </c>
      <c r="C8" s="208">
        <v>8</v>
      </c>
    </row>
    <row r="9" spans="1:5" x14ac:dyDescent="0.25">
      <c r="A9" s="208">
        <f t="shared" ca="1" si="0"/>
        <v>2027</v>
      </c>
      <c r="B9" s="208">
        <v>9</v>
      </c>
      <c r="C9" s="208">
        <v>9</v>
      </c>
    </row>
    <row r="10" spans="1:5" x14ac:dyDescent="0.25">
      <c r="A10" s="208">
        <f t="shared" ca="1" si="0"/>
        <v>2028</v>
      </c>
      <c r="B10" s="208">
        <v>10</v>
      </c>
      <c r="C10" s="208">
        <v>10</v>
      </c>
    </row>
    <row r="11" spans="1:5" x14ac:dyDescent="0.25">
      <c r="A11" s="208">
        <f t="shared" ca="1" si="0"/>
        <v>2029</v>
      </c>
      <c r="B11" s="208">
        <v>11</v>
      </c>
      <c r="C11" s="208">
        <v>11</v>
      </c>
    </row>
    <row r="12" spans="1:5" x14ac:dyDescent="0.25">
      <c r="A12" s="208">
        <f t="shared" ca="1" si="0"/>
        <v>2030</v>
      </c>
      <c r="B12" s="208">
        <v>12</v>
      </c>
      <c r="C12" s="208">
        <v>12</v>
      </c>
    </row>
    <row r="13" spans="1:5" x14ac:dyDescent="0.25">
      <c r="A13" s="208">
        <f t="shared" ca="1" si="0"/>
        <v>2031</v>
      </c>
      <c r="C13" s="208">
        <v>13</v>
      </c>
    </row>
    <row r="14" spans="1:5" x14ac:dyDescent="0.25">
      <c r="A14" s="208">
        <f t="shared" ca="1" si="0"/>
        <v>2032</v>
      </c>
      <c r="C14" s="208">
        <v>14</v>
      </c>
    </row>
    <row r="15" spans="1:5" x14ac:dyDescent="0.25">
      <c r="A15" s="208">
        <f t="shared" ca="1" si="0"/>
        <v>2033</v>
      </c>
      <c r="C15" s="208">
        <v>15</v>
      </c>
    </row>
    <row r="16" spans="1:5" x14ac:dyDescent="0.25">
      <c r="A16" s="208">
        <f t="shared" ca="1" si="0"/>
        <v>2034</v>
      </c>
      <c r="C16" s="208">
        <v>16</v>
      </c>
    </row>
    <row r="17" spans="1:3" x14ac:dyDescent="0.25">
      <c r="A17" s="208">
        <f t="shared" ca="1" si="0"/>
        <v>2035</v>
      </c>
      <c r="C17" s="208">
        <v>17</v>
      </c>
    </row>
    <row r="18" spans="1:3" x14ac:dyDescent="0.25">
      <c r="A18" s="208">
        <f t="shared" ca="1" si="0"/>
        <v>2036</v>
      </c>
      <c r="C18" s="208">
        <v>18</v>
      </c>
    </row>
    <row r="19" spans="1:3" x14ac:dyDescent="0.25">
      <c r="A19" s="208">
        <f t="shared" ca="1" si="0"/>
        <v>2037</v>
      </c>
      <c r="C19" s="208">
        <v>19</v>
      </c>
    </row>
    <row r="20" spans="1:3" x14ac:dyDescent="0.25">
      <c r="A20" s="208">
        <f t="shared" ca="1" si="0"/>
        <v>2038</v>
      </c>
      <c r="C20" s="208">
        <v>20</v>
      </c>
    </row>
    <row r="21" spans="1:3" x14ac:dyDescent="0.25">
      <c r="A21" s="208">
        <f t="shared" ca="1" si="0"/>
        <v>2039</v>
      </c>
      <c r="C21" s="208">
        <v>21</v>
      </c>
    </row>
    <row r="22" spans="1:3" x14ac:dyDescent="0.25">
      <c r="A22" s="208">
        <f t="shared" ca="1" si="0"/>
        <v>2040</v>
      </c>
      <c r="C22" s="208">
        <v>22</v>
      </c>
    </row>
    <row r="23" spans="1:3" x14ac:dyDescent="0.25">
      <c r="A23" s="208">
        <f t="shared" ca="1" si="0"/>
        <v>2041</v>
      </c>
      <c r="C23" s="208">
        <v>23</v>
      </c>
    </row>
    <row r="24" spans="1:3" x14ac:dyDescent="0.25">
      <c r="A24" s="208">
        <f t="shared" ca="1" si="0"/>
        <v>2042</v>
      </c>
      <c r="C24" s="208">
        <v>24</v>
      </c>
    </row>
    <row r="25" spans="1:3" x14ac:dyDescent="0.25">
      <c r="A25" s="208">
        <f t="shared" ca="1" si="0"/>
        <v>2043</v>
      </c>
      <c r="C25" s="208">
        <v>25</v>
      </c>
    </row>
    <row r="26" spans="1:3" x14ac:dyDescent="0.25">
      <c r="A26" s="208">
        <f t="shared" ca="1" si="0"/>
        <v>2044</v>
      </c>
      <c r="C26" s="208">
        <v>26</v>
      </c>
    </row>
    <row r="27" spans="1:3" x14ac:dyDescent="0.25">
      <c r="A27" s="208">
        <f t="shared" ca="1" si="0"/>
        <v>2045</v>
      </c>
      <c r="C27" s="208">
        <v>27</v>
      </c>
    </row>
    <row r="28" spans="1:3" x14ac:dyDescent="0.25">
      <c r="A28" s="208">
        <f t="shared" ca="1" si="0"/>
        <v>2046</v>
      </c>
      <c r="C28" s="208">
        <v>28</v>
      </c>
    </row>
    <row r="29" spans="1:3" x14ac:dyDescent="0.25">
      <c r="A29" s="208">
        <f t="shared" ca="1" si="0"/>
        <v>2047</v>
      </c>
      <c r="C29" s="208">
        <f>IF('Part D Pension Calculator'!G12=2, IF(MOD('Part D Pension Calculator'!G10-2016,4)=0, 29,""), 29)</f>
        <v>29</v>
      </c>
    </row>
    <row r="30" spans="1:3" x14ac:dyDescent="0.25">
      <c r="A30" s="208">
        <f t="shared" ca="1" si="0"/>
        <v>2048</v>
      </c>
      <c r="C30" s="208">
        <f>IF('Part D Pension Calculator'!G12=2,"",30)</f>
        <v>30</v>
      </c>
    </row>
    <row r="31" spans="1:3" x14ac:dyDescent="0.25">
      <c r="A31" s="208">
        <f t="shared" ca="1" si="0"/>
        <v>2049</v>
      </c>
      <c r="B31" s="208" t="s">
        <v>75</v>
      </c>
      <c r="C31" s="208">
        <f>IF(OR('Part D Pension Calculator'!G12={1,3,5,7,8,10,12}), 31, "")</f>
        <v>31</v>
      </c>
    </row>
    <row r="32" spans="1:3" x14ac:dyDescent="0.25">
      <c r="A32" s="208">
        <f t="shared" ca="1" si="0"/>
        <v>2050</v>
      </c>
    </row>
    <row r="33" spans="1:1" x14ac:dyDescent="0.25">
      <c r="A33" s="208">
        <f t="shared" ca="1" si="0"/>
        <v>2051</v>
      </c>
    </row>
    <row r="34" spans="1:1" x14ac:dyDescent="0.25">
      <c r="A34" s="208">
        <f t="shared" ca="1" si="0"/>
        <v>2052</v>
      </c>
    </row>
    <row r="35" spans="1:1" x14ac:dyDescent="0.25">
      <c r="A35" s="208">
        <f t="shared" ca="1" si="0"/>
        <v>2053</v>
      </c>
    </row>
    <row r="36" spans="1:1" x14ac:dyDescent="0.25">
      <c r="A36" s="208">
        <f t="shared" ca="1" si="0"/>
        <v>2054</v>
      </c>
    </row>
    <row r="37" spans="1:1" x14ac:dyDescent="0.25">
      <c r="A37" s="208">
        <f t="shared" ca="1" si="0"/>
        <v>2055</v>
      </c>
    </row>
    <row r="38" spans="1:1" x14ac:dyDescent="0.25">
      <c r="A38" s="208">
        <f t="shared" ca="1" si="0"/>
        <v>2056</v>
      </c>
    </row>
    <row r="39" spans="1:1" x14ac:dyDescent="0.25">
      <c r="A39" s="208">
        <f t="shared" ca="1" si="0"/>
        <v>2057</v>
      </c>
    </row>
    <row r="40" spans="1:1" x14ac:dyDescent="0.25">
      <c r="A40" s="208">
        <f t="shared" ca="1" si="0"/>
        <v>2058</v>
      </c>
    </row>
    <row r="41" spans="1:1" x14ac:dyDescent="0.25">
      <c r="A41" s="208">
        <f t="shared" ca="1" si="0"/>
        <v>2059</v>
      </c>
    </row>
    <row r="42" spans="1:1" x14ac:dyDescent="0.25">
      <c r="A42" s="208">
        <f t="shared" ca="1" si="0"/>
        <v>2060</v>
      </c>
    </row>
    <row r="43" spans="1:1" x14ac:dyDescent="0.25">
      <c r="A43" s="208">
        <f t="shared" ca="1" si="0"/>
        <v>2061</v>
      </c>
    </row>
    <row r="44" spans="1:1" x14ac:dyDescent="0.25">
      <c r="A44" s="208">
        <f t="shared" ca="1" si="0"/>
        <v>2062</v>
      </c>
    </row>
    <row r="45" spans="1:1" x14ac:dyDescent="0.25">
      <c r="A45" s="208">
        <f t="shared" ca="1" si="0"/>
        <v>2063</v>
      </c>
    </row>
    <row r="46" spans="1:1" x14ac:dyDescent="0.25">
      <c r="A46" s="208">
        <f t="shared" ca="1" si="0"/>
        <v>2064</v>
      </c>
    </row>
    <row r="47" spans="1:1" x14ac:dyDescent="0.25">
      <c r="A47" s="208">
        <f t="shared" ca="1" si="0"/>
        <v>2065</v>
      </c>
    </row>
    <row r="48" spans="1:1" x14ac:dyDescent="0.25">
      <c r="A48" s="208">
        <f t="shared" ca="1" si="0"/>
        <v>2066</v>
      </c>
    </row>
    <row r="49" spans="1:1" x14ac:dyDescent="0.25">
      <c r="A49" s="208">
        <f t="shared" ca="1" si="0"/>
        <v>2067</v>
      </c>
    </row>
    <row r="50" spans="1:1" x14ac:dyDescent="0.25">
      <c r="A50" s="208">
        <f t="shared" ca="1" si="0"/>
        <v>2068</v>
      </c>
    </row>
    <row r="51" spans="1:1" x14ac:dyDescent="0.25">
      <c r="A51" s="208">
        <f t="shared" ca="1" si="0"/>
        <v>2069</v>
      </c>
    </row>
    <row r="52" spans="1:1" x14ac:dyDescent="0.25">
      <c r="A52" s="208">
        <f t="shared" ca="1" si="0"/>
        <v>2070</v>
      </c>
    </row>
    <row r="53" spans="1:1" x14ac:dyDescent="0.25">
      <c r="A53" s="208">
        <f t="shared" ca="1" si="0"/>
        <v>2071</v>
      </c>
    </row>
    <row r="54" spans="1:1" x14ac:dyDescent="0.25">
      <c r="A54" s="208">
        <f t="shared" ca="1" si="0"/>
        <v>2072</v>
      </c>
    </row>
    <row r="55" spans="1:1" x14ac:dyDescent="0.25">
      <c r="A55" s="208">
        <f t="shared" ca="1" si="0"/>
        <v>2073</v>
      </c>
    </row>
    <row r="56" spans="1:1" x14ac:dyDescent="0.25">
      <c r="A56" s="208">
        <f t="shared" ca="1" si="0"/>
        <v>2074</v>
      </c>
    </row>
    <row r="57" spans="1:1" x14ac:dyDescent="0.25">
      <c r="A57" s="208">
        <f t="shared" ca="1" si="0"/>
        <v>2075</v>
      </c>
    </row>
    <row r="58" spans="1:1" x14ac:dyDescent="0.25">
      <c r="A58" s="208">
        <f t="shared" ca="1" si="0"/>
        <v>2076</v>
      </c>
    </row>
    <row r="59" spans="1:1" x14ac:dyDescent="0.25">
      <c r="A59" s="208">
        <f t="shared" ca="1" si="0"/>
        <v>2077</v>
      </c>
    </row>
    <row r="60" spans="1:1" x14ac:dyDescent="0.25">
      <c r="A60" s="208">
        <f t="shared" ca="1" si="0"/>
        <v>2078</v>
      </c>
    </row>
    <row r="61" spans="1:1" x14ac:dyDescent="0.25">
      <c r="A61" s="208">
        <f t="shared" ca="1" si="0"/>
        <v>2079</v>
      </c>
    </row>
    <row r="62" spans="1:1" x14ac:dyDescent="0.25">
      <c r="A62" s="208">
        <f t="shared" ca="1" si="0"/>
        <v>2080</v>
      </c>
    </row>
    <row r="63" spans="1:1" x14ac:dyDescent="0.25">
      <c r="A63" s="208">
        <f t="shared" ca="1" si="0"/>
        <v>2081</v>
      </c>
    </row>
    <row r="64" spans="1:1" x14ac:dyDescent="0.25">
      <c r="A64" s="208">
        <f t="shared" ca="1" si="0"/>
        <v>2082</v>
      </c>
    </row>
    <row r="65" spans="1:1" x14ac:dyDescent="0.25">
      <c r="A65" s="208">
        <f t="shared" ca="1" si="0"/>
        <v>2083</v>
      </c>
    </row>
    <row r="66" spans="1:1" x14ac:dyDescent="0.25">
      <c r="A66" s="208">
        <f ca="1">A65+1</f>
        <v>2084</v>
      </c>
    </row>
    <row r="67" spans="1:1" x14ac:dyDescent="0.25">
      <c r="A67" s="208">
        <f t="shared" ref="A67" ca="1" si="1">A66+1</f>
        <v>2085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E617-EB28-4FC6-AD4C-94823D0709D9}">
  <dimension ref="A1:G80"/>
  <sheetViews>
    <sheetView showGridLines="0" workbookViewId="0">
      <pane ySplit="1" topLeftCell="A2" activePane="bottomLeft" state="frozen"/>
      <selection pane="bottomLeft" activeCell="E11" sqref="E11"/>
    </sheetView>
  </sheetViews>
  <sheetFormatPr defaultRowHeight="13.2" x14ac:dyDescent="0.25"/>
  <cols>
    <col min="1" max="1" width="12.77734375" style="208" bestFit="1" customWidth="1"/>
    <col min="2" max="2" width="7.88671875" style="208" bestFit="1" customWidth="1"/>
    <col min="3" max="3" width="16.77734375" style="208" bestFit="1" customWidth="1"/>
    <col min="4" max="4" width="12.33203125" style="208" bestFit="1" customWidth="1"/>
    <col min="5" max="5" width="11.88671875" style="208" bestFit="1" customWidth="1"/>
    <col min="6" max="6" width="18.5546875" style="208" bestFit="1" customWidth="1"/>
    <col min="7" max="7" width="22.21875" style="208" bestFit="1" customWidth="1"/>
    <col min="8" max="255" width="8.88671875" style="208"/>
    <col min="256" max="256" width="12.77734375" style="208" bestFit="1" customWidth="1"/>
    <col min="257" max="257" width="7.88671875" style="208" bestFit="1" customWidth="1"/>
    <col min="258" max="258" width="16.77734375" style="208" bestFit="1" customWidth="1"/>
    <col min="259" max="259" width="12.33203125" style="208" bestFit="1" customWidth="1"/>
    <col min="260" max="260" width="11.88671875" style="208" bestFit="1" customWidth="1"/>
    <col min="261" max="261" width="18.5546875" style="208" bestFit="1" customWidth="1"/>
    <col min="262" max="262" width="22.21875" style="208" bestFit="1" customWidth="1"/>
    <col min="263" max="263" width="25.44140625" style="208" bestFit="1" customWidth="1"/>
    <col min="264" max="511" width="8.88671875" style="208"/>
    <col min="512" max="512" width="12.77734375" style="208" bestFit="1" customWidth="1"/>
    <col min="513" max="513" width="7.88671875" style="208" bestFit="1" customWidth="1"/>
    <col min="514" max="514" width="16.77734375" style="208" bestFit="1" customWidth="1"/>
    <col min="515" max="515" width="12.33203125" style="208" bestFit="1" customWidth="1"/>
    <col min="516" max="516" width="11.88671875" style="208" bestFit="1" customWidth="1"/>
    <col min="517" max="517" width="18.5546875" style="208" bestFit="1" customWidth="1"/>
    <col min="518" max="518" width="22.21875" style="208" bestFit="1" customWidth="1"/>
    <col min="519" max="519" width="25.44140625" style="208" bestFit="1" customWidth="1"/>
    <col min="520" max="767" width="8.88671875" style="208"/>
    <col min="768" max="768" width="12.77734375" style="208" bestFit="1" customWidth="1"/>
    <col min="769" max="769" width="7.88671875" style="208" bestFit="1" customWidth="1"/>
    <col min="770" max="770" width="16.77734375" style="208" bestFit="1" customWidth="1"/>
    <col min="771" max="771" width="12.33203125" style="208" bestFit="1" customWidth="1"/>
    <col min="772" max="772" width="11.88671875" style="208" bestFit="1" customWidth="1"/>
    <col min="773" max="773" width="18.5546875" style="208" bestFit="1" customWidth="1"/>
    <col min="774" max="774" width="22.21875" style="208" bestFit="1" customWidth="1"/>
    <col min="775" max="775" width="25.44140625" style="208" bestFit="1" customWidth="1"/>
    <col min="776" max="1023" width="8.88671875" style="208"/>
    <col min="1024" max="1024" width="12.77734375" style="208" bestFit="1" customWidth="1"/>
    <col min="1025" max="1025" width="7.88671875" style="208" bestFit="1" customWidth="1"/>
    <col min="1026" max="1026" width="16.77734375" style="208" bestFit="1" customWidth="1"/>
    <col min="1027" max="1027" width="12.33203125" style="208" bestFit="1" customWidth="1"/>
    <col min="1028" max="1028" width="11.88671875" style="208" bestFit="1" customWidth="1"/>
    <col min="1029" max="1029" width="18.5546875" style="208" bestFit="1" customWidth="1"/>
    <col min="1030" max="1030" width="22.21875" style="208" bestFit="1" customWidth="1"/>
    <col min="1031" max="1031" width="25.44140625" style="208" bestFit="1" customWidth="1"/>
    <col min="1032" max="1279" width="8.88671875" style="208"/>
    <col min="1280" max="1280" width="12.77734375" style="208" bestFit="1" customWidth="1"/>
    <col min="1281" max="1281" width="7.88671875" style="208" bestFit="1" customWidth="1"/>
    <col min="1282" max="1282" width="16.77734375" style="208" bestFit="1" customWidth="1"/>
    <col min="1283" max="1283" width="12.33203125" style="208" bestFit="1" customWidth="1"/>
    <col min="1284" max="1284" width="11.88671875" style="208" bestFit="1" customWidth="1"/>
    <col min="1285" max="1285" width="18.5546875" style="208" bestFit="1" customWidth="1"/>
    <col min="1286" max="1286" width="22.21875" style="208" bestFit="1" customWidth="1"/>
    <col min="1287" max="1287" width="25.44140625" style="208" bestFit="1" customWidth="1"/>
    <col min="1288" max="1535" width="8.88671875" style="208"/>
    <col min="1536" max="1536" width="12.77734375" style="208" bestFit="1" customWidth="1"/>
    <col min="1537" max="1537" width="7.88671875" style="208" bestFit="1" customWidth="1"/>
    <col min="1538" max="1538" width="16.77734375" style="208" bestFit="1" customWidth="1"/>
    <col min="1539" max="1539" width="12.33203125" style="208" bestFit="1" customWidth="1"/>
    <col min="1540" max="1540" width="11.88671875" style="208" bestFit="1" customWidth="1"/>
    <col min="1541" max="1541" width="18.5546875" style="208" bestFit="1" customWidth="1"/>
    <col min="1542" max="1542" width="22.21875" style="208" bestFit="1" customWidth="1"/>
    <col min="1543" max="1543" width="25.44140625" style="208" bestFit="1" customWidth="1"/>
    <col min="1544" max="1791" width="8.88671875" style="208"/>
    <col min="1792" max="1792" width="12.77734375" style="208" bestFit="1" customWidth="1"/>
    <col min="1793" max="1793" width="7.88671875" style="208" bestFit="1" customWidth="1"/>
    <col min="1794" max="1794" width="16.77734375" style="208" bestFit="1" customWidth="1"/>
    <col min="1795" max="1795" width="12.33203125" style="208" bestFit="1" customWidth="1"/>
    <col min="1796" max="1796" width="11.88671875" style="208" bestFit="1" customWidth="1"/>
    <col min="1797" max="1797" width="18.5546875" style="208" bestFit="1" customWidth="1"/>
    <col min="1798" max="1798" width="22.21875" style="208" bestFit="1" customWidth="1"/>
    <col min="1799" max="1799" width="25.44140625" style="208" bestFit="1" customWidth="1"/>
    <col min="1800" max="2047" width="8.88671875" style="208"/>
    <col min="2048" max="2048" width="12.77734375" style="208" bestFit="1" customWidth="1"/>
    <col min="2049" max="2049" width="7.88671875" style="208" bestFit="1" customWidth="1"/>
    <col min="2050" max="2050" width="16.77734375" style="208" bestFit="1" customWidth="1"/>
    <col min="2051" max="2051" width="12.33203125" style="208" bestFit="1" customWidth="1"/>
    <col min="2052" max="2052" width="11.88671875" style="208" bestFit="1" customWidth="1"/>
    <col min="2053" max="2053" width="18.5546875" style="208" bestFit="1" customWidth="1"/>
    <col min="2054" max="2054" width="22.21875" style="208" bestFit="1" customWidth="1"/>
    <col min="2055" max="2055" width="25.44140625" style="208" bestFit="1" customWidth="1"/>
    <col min="2056" max="2303" width="8.88671875" style="208"/>
    <col min="2304" max="2304" width="12.77734375" style="208" bestFit="1" customWidth="1"/>
    <col min="2305" max="2305" width="7.88671875" style="208" bestFit="1" customWidth="1"/>
    <col min="2306" max="2306" width="16.77734375" style="208" bestFit="1" customWidth="1"/>
    <col min="2307" max="2307" width="12.33203125" style="208" bestFit="1" customWidth="1"/>
    <col min="2308" max="2308" width="11.88671875" style="208" bestFit="1" customWidth="1"/>
    <col min="2309" max="2309" width="18.5546875" style="208" bestFit="1" customWidth="1"/>
    <col min="2310" max="2310" width="22.21875" style="208" bestFit="1" customWidth="1"/>
    <col min="2311" max="2311" width="25.44140625" style="208" bestFit="1" customWidth="1"/>
    <col min="2312" max="2559" width="8.88671875" style="208"/>
    <col min="2560" max="2560" width="12.77734375" style="208" bestFit="1" customWidth="1"/>
    <col min="2561" max="2561" width="7.88671875" style="208" bestFit="1" customWidth="1"/>
    <col min="2562" max="2562" width="16.77734375" style="208" bestFit="1" customWidth="1"/>
    <col min="2563" max="2563" width="12.33203125" style="208" bestFit="1" customWidth="1"/>
    <col min="2564" max="2564" width="11.88671875" style="208" bestFit="1" customWidth="1"/>
    <col min="2565" max="2565" width="18.5546875" style="208" bestFit="1" customWidth="1"/>
    <col min="2566" max="2566" width="22.21875" style="208" bestFit="1" customWidth="1"/>
    <col min="2567" max="2567" width="25.44140625" style="208" bestFit="1" customWidth="1"/>
    <col min="2568" max="2815" width="8.88671875" style="208"/>
    <col min="2816" max="2816" width="12.77734375" style="208" bestFit="1" customWidth="1"/>
    <col min="2817" max="2817" width="7.88671875" style="208" bestFit="1" customWidth="1"/>
    <col min="2818" max="2818" width="16.77734375" style="208" bestFit="1" customWidth="1"/>
    <col min="2819" max="2819" width="12.33203125" style="208" bestFit="1" customWidth="1"/>
    <col min="2820" max="2820" width="11.88671875" style="208" bestFit="1" customWidth="1"/>
    <col min="2821" max="2821" width="18.5546875" style="208" bestFit="1" customWidth="1"/>
    <col min="2822" max="2822" width="22.21875" style="208" bestFit="1" customWidth="1"/>
    <col min="2823" max="2823" width="25.44140625" style="208" bestFit="1" customWidth="1"/>
    <col min="2824" max="3071" width="8.88671875" style="208"/>
    <col min="3072" max="3072" width="12.77734375" style="208" bestFit="1" customWidth="1"/>
    <col min="3073" max="3073" width="7.88671875" style="208" bestFit="1" customWidth="1"/>
    <col min="3074" max="3074" width="16.77734375" style="208" bestFit="1" customWidth="1"/>
    <col min="3075" max="3075" width="12.33203125" style="208" bestFit="1" customWidth="1"/>
    <col min="3076" max="3076" width="11.88671875" style="208" bestFit="1" customWidth="1"/>
    <col min="3077" max="3077" width="18.5546875" style="208" bestFit="1" customWidth="1"/>
    <col min="3078" max="3078" width="22.21875" style="208" bestFit="1" customWidth="1"/>
    <col min="3079" max="3079" width="25.44140625" style="208" bestFit="1" customWidth="1"/>
    <col min="3080" max="3327" width="8.88671875" style="208"/>
    <col min="3328" max="3328" width="12.77734375" style="208" bestFit="1" customWidth="1"/>
    <col min="3329" max="3329" width="7.88671875" style="208" bestFit="1" customWidth="1"/>
    <col min="3330" max="3330" width="16.77734375" style="208" bestFit="1" customWidth="1"/>
    <col min="3331" max="3331" width="12.33203125" style="208" bestFit="1" customWidth="1"/>
    <col min="3332" max="3332" width="11.88671875" style="208" bestFit="1" customWidth="1"/>
    <col min="3333" max="3333" width="18.5546875" style="208" bestFit="1" customWidth="1"/>
    <col min="3334" max="3334" width="22.21875" style="208" bestFit="1" customWidth="1"/>
    <col min="3335" max="3335" width="25.44140625" style="208" bestFit="1" customWidth="1"/>
    <col min="3336" max="3583" width="8.88671875" style="208"/>
    <col min="3584" max="3584" width="12.77734375" style="208" bestFit="1" customWidth="1"/>
    <col min="3585" max="3585" width="7.88671875" style="208" bestFit="1" customWidth="1"/>
    <col min="3586" max="3586" width="16.77734375" style="208" bestFit="1" customWidth="1"/>
    <col min="3587" max="3587" width="12.33203125" style="208" bestFit="1" customWidth="1"/>
    <col min="3588" max="3588" width="11.88671875" style="208" bestFit="1" customWidth="1"/>
    <col min="3589" max="3589" width="18.5546875" style="208" bestFit="1" customWidth="1"/>
    <col min="3590" max="3590" width="22.21875" style="208" bestFit="1" customWidth="1"/>
    <col min="3591" max="3591" width="25.44140625" style="208" bestFit="1" customWidth="1"/>
    <col min="3592" max="3839" width="8.88671875" style="208"/>
    <col min="3840" max="3840" width="12.77734375" style="208" bestFit="1" customWidth="1"/>
    <col min="3841" max="3841" width="7.88671875" style="208" bestFit="1" customWidth="1"/>
    <col min="3842" max="3842" width="16.77734375" style="208" bestFit="1" customWidth="1"/>
    <col min="3843" max="3843" width="12.33203125" style="208" bestFit="1" customWidth="1"/>
    <col min="3844" max="3844" width="11.88671875" style="208" bestFit="1" customWidth="1"/>
    <col min="3845" max="3845" width="18.5546875" style="208" bestFit="1" customWidth="1"/>
    <col min="3846" max="3846" width="22.21875" style="208" bestFit="1" customWidth="1"/>
    <col min="3847" max="3847" width="25.44140625" style="208" bestFit="1" customWidth="1"/>
    <col min="3848" max="4095" width="8.88671875" style="208"/>
    <col min="4096" max="4096" width="12.77734375" style="208" bestFit="1" customWidth="1"/>
    <col min="4097" max="4097" width="7.88671875" style="208" bestFit="1" customWidth="1"/>
    <col min="4098" max="4098" width="16.77734375" style="208" bestFit="1" customWidth="1"/>
    <col min="4099" max="4099" width="12.33203125" style="208" bestFit="1" customWidth="1"/>
    <col min="4100" max="4100" width="11.88671875" style="208" bestFit="1" customWidth="1"/>
    <col min="4101" max="4101" width="18.5546875" style="208" bestFit="1" customWidth="1"/>
    <col min="4102" max="4102" width="22.21875" style="208" bestFit="1" customWidth="1"/>
    <col min="4103" max="4103" width="25.44140625" style="208" bestFit="1" customWidth="1"/>
    <col min="4104" max="4351" width="8.88671875" style="208"/>
    <col min="4352" max="4352" width="12.77734375" style="208" bestFit="1" customWidth="1"/>
    <col min="4353" max="4353" width="7.88671875" style="208" bestFit="1" customWidth="1"/>
    <col min="4354" max="4354" width="16.77734375" style="208" bestFit="1" customWidth="1"/>
    <col min="4355" max="4355" width="12.33203125" style="208" bestFit="1" customWidth="1"/>
    <col min="4356" max="4356" width="11.88671875" style="208" bestFit="1" customWidth="1"/>
    <col min="4357" max="4357" width="18.5546875" style="208" bestFit="1" customWidth="1"/>
    <col min="4358" max="4358" width="22.21875" style="208" bestFit="1" customWidth="1"/>
    <col min="4359" max="4359" width="25.44140625" style="208" bestFit="1" customWidth="1"/>
    <col min="4360" max="4607" width="8.88671875" style="208"/>
    <col min="4608" max="4608" width="12.77734375" style="208" bestFit="1" customWidth="1"/>
    <col min="4609" max="4609" width="7.88671875" style="208" bestFit="1" customWidth="1"/>
    <col min="4610" max="4610" width="16.77734375" style="208" bestFit="1" customWidth="1"/>
    <col min="4611" max="4611" width="12.33203125" style="208" bestFit="1" customWidth="1"/>
    <col min="4612" max="4612" width="11.88671875" style="208" bestFit="1" customWidth="1"/>
    <col min="4613" max="4613" width="18.5546875" style="208" bestFit="1" customWidth="1"/>
    <col min="4614" max="4614" width="22.21875" style="208" bestFit="1" customWidth="1"/>
    <col min="4615" max="4615" width="25.44140625" style="208" bestFit="1" customWidth="1"/>
    <col min="4616" max="4863" width="8.88671875" style="208"/>
    <col min="4864" max="4864" width="12.77734375" style="208" bestFit="1" customWidth="1"/>
    <col min="4865" max="4865" width="7.88671875" style="208" bestFit="1" customWidth="1"/>
    <col min="4866" max="4866" width="16.77734375" style="208" bestFit="1" customWidth="1"/>
    <col min="4867" max="4867" width="12.33203125" style="208" bestFit="1" customWidth="1"/>
    <col min="4868" max="4868" width="11.88671875" style="208" bestFit="1" customWidth="1"/>
    <col min="4869" max="4869" width="18.5546875" style="208" bestFit="1" customWidth="1"/>
    <col min="4870" max="4870" width="22.21875" style="208" bestFit="1" customWidth="1"/>
    <col min="4871" max="4871" width="25.44140625" style="208" bestFit="1" customWidth="1"/>
    <col min="4872" max="5119" width="8.88671875" style="208"/>
    <col min="5120" max="5120" width="12.77734375" style="208" bestFit="1" customWidth="1"/>
    <col min="5121" max="5121" width="7.88671875" style="208" bestFit="1" customWidth="1"/>
    <col min="5122" max="5122" width="16.77734375" style="208" bestFit="1" customWidth="1"/>
    <col min="5123" max="5123" width="12.33203125" style="208" bestFit="1" customWidth="1"/>
    <col min="5124" max="5124" width="11.88671875" style="208" bestFit="1" customWidth="1"/>
    <col min="5125" max="5125" width="18.5546875" style="208" bestFit="1" customWidth="1"/>
    <col min="5126" max="5126" width="22.21875" style="208" bestFit="1" customWidth="1"/>
    <col min="5127" max="5127" width="25.44140625" style="208" bestFit="1" customWidth="1"/>
    <col min="5128" max="5375" width="8.88671875" style="208"/>
    <col min="5376" max="5376" width="12.77734375" style="208" bestFit="1" customWidth="1"/>
    <col min="5377" max="5377" width="7.88671875" style="208" bestFit="1" customWidth="1"/>
    <col min="5378" max="5378" width="16.77734375" style="208" bestFit="1" customWidth="1"/>
    <col min="5379" max="5379" width="12.33203125" style="208" bestFit="1" customWidth="1"/>
    <col min="5380" max="5380" width="11.88671875" style="208" bestFit="1" customWidth="1"/>
    <col min="5381" max="5381" width="18.5546875" style="208" bestFit="1" customWidth="1"/>
    <col min="5382" max="5382" width="22.21875" style="208" bestFit="1" customWidth="1"/>
    <col min="5383" max="5383" width="25.44140625" style="208" bestFit="1" customWidth="1"/>
    <col min="5384" max="5631" width="8.88671875" style="208"/>
    <col min="5632" max="5632" width="12.77734375" style="208" bestFit="1" customWidth="1"/>
    <col min="5633" max="5633" width="7.88671875" style="208" bestFit="1" customWidth="1"/>
    <col min="5634" max="5634" width="16.77734375" style="208" bestFit="1" customWidth="1"/>
    <col min="5635" max="5635" width="12.33203125" style="208" bestFit="1" customWidth="1"/>
    <col min="5636" max="5636" width="11.88671875" style="208" bestFit="1" customWidth="1"/>
    <col min="5637" max="5637" width="18.5546875" style="208" bestFit="1" customWidth="1"/>
    <col min="5638" max="5638" width="22.21875" style="208" bestFit="1" customWidth="1"/>
    <col min="5639" max="5639" width="25.44140625" style="208" bestFit="1" customWidth="1"/>
    <col min="5640" max="5887" width="8.88671875" style="208"/>
    <col min="5888" max="5888" width="12.77734375" style="208" bestFit="1" customWidth="1"/>
    <col min="5889" max="5889" width="7.88671875" style="208" bestFit="1" customWidth="1"/>
    <col min="5890" max="5890" width="16.77734375" style="208" bestFit="1" customWidth="1"/>
    <col min="5891" max="5891" width="12.33203125" style="208" bestFit="1" customWidth="1"/>
    <col min="5892" max="5892" width="11.88671875" style="208" bestFit="1" customWidth="1"/>
    <col min="5893" max="5893" width="18.5546875" style="208" bestFit="1" customWidth="1"/>
    <col min="5894" max="5894" width="22.21875" style="208" bestFit="1" customWidth="1"/>
    <col min="5895" max="5895" width="25.44140625" style="208" bestFit="1" customWidth="1"/>
    <col min="5896" max="6143" width="8.88671875" style="208"/>
    <col min="6144" max="6144" width="12.77734375" style="208" bestFit="1" customWidth="1"/>
    <col min="6145" max="6145" width="7.88671875" style="208" bestFit="1" customWidth="1"/>
    <col min="6146" max="6146" width="16.77734375" style="208" bestFit="1" customWidth="1"/>
    <col min="6147" max="6147" width="12.33203125" style="208" bestFit="1" customWidth="1"/>
    <col min="6148" max="6148" width="11.88671875" style="208" bestFit="1" customWidth="1"/>
    <col min="6149" max="6149" width="18.5546875" style="208" bestFit="1" customWidth="1"/>
    <col min="6150" max="6150" width="22.21875" style="208" bestFit="1" customWidth="1"/>
    <col min="6151" max="6151" width="25.44140625" style="208" bestFit="1" customWidth="1"/>
    <col min="6152" max="6399" width="8.88671875" style="208"/>
    <col min="6400" max="6400" width="12.77734375" style="208" bestFit="1" customWidth="1"/>
    <col min="6401" max="6401" width="7.88671875" style="208" bestFit="1" customWidth="1"/>
    <col min="6402" max="6402" width="16.77734375" style="208" bestFit="1" customWidth="1"/>
    <col min="6403" max="6403" width="12.33203125" style="208" bestFit="1" customWidth="1"/>
    <col min="6404" max="6404" width="11.88671875" style="208" bestFit="1" customWidth="1"/>
    <col min="6405" max="6405" width="18.5546875" style="208" bestFit="1" customWidth="1"/>
    <col min="6406" max="6406" width="22.21875" style="208" bestFit="1" customWidth="1"/>
    <col min="6407" max="6407" width="25.44140625" style="208" bestFit="1" customWidth="1"/>
    <col min="6408" max="6655" width="8.88671875" style="208"/>
    <col min="6656" max="6656" width="12.77734375" style="208" bestFit="1" customWidth="1"/>
    <col min="6657" max="6657" width="7.88671875" style="208" bestFit="1" customWidth="1"/>
    <col min="6658" max="6658" width="16.77734375" style="208" bestFit="1" customWidth="1"/>
    <col min="6659" max="6659" width="12.33203125" style="208" bestFit="1" customWidth="1"/>
    <col min="6660" max="6660" width="11.88671875" style="208" bestFit="1" customWidth="1"/>
    <col min="6661" max="6661" width="18.5546875" style="208" bestFit="1" customWidth="1"/>
    <col min="6662" max="6662" width="22.21875" style="208" bestFit="1" customWidth="1"/>
    <col min="6663" max="6663" width="25.44140625" style="208" bestFit="1" customWidth="1"/>
    <col min="6664" max="6911" width="8.88671875" style="208"/>
    <col min="6912" max="6912" width="12.77734375" style="208" bestFit="1" customWidth="1"/>
    <col min="6913" max="6913" width="7.88671875" style="208" bestFit="1" customWidth="1"/>
    <col min="6914" max="6914" width="16.77734375" style="208" bestFit="1" customWidth="1"/>
    <col min="6915" max="6915" width="12.33203125" style="208" bestFit="1" customWidth="1"/>
    <col min="6916" max="6916" width="11.88671875" style="208" bestFit="1" customWidth="1"/>
    <col min="6917" max="6917" width="18.5546875" style="208" bestFit="1" customWidth="1"/>
    <col min="6918" max="6918" width="22.21875" style="208" bestFit="1" customWidth="1"/>
    <col min="6919" max="6919" width="25.44140625" style="208" bestFit="1" customWidth="1"/>
    <col min="6920" max="7167" width="8.88671875" style="208"/>
    <col min="7168" max="7168" width="12.77734375" style="208" bestFit="1" customWidth="1"/>
    <col min="7169" max="7169" width="7.88671875" style="208" bestFit="1" customWidth="1"/>
    <col min="7170" max="7170" width="16.77734375" style="208" bestFit="1" customWidth="1"/>
    <col min="7171" max="7171" width="12.33203125" style="208" bestFit="1" customWidth="1"/>
    <col min="7172" max="7172" width="11.88671875" style="208" bestFit="1" customWidth="1"/>
    <col min="7173" max="7173" width="18.5546875" style="208" bestFit="1" customWidth="1"/>
    <col min="7174" max="7174" width="22.21875" style="208" bestFit="1" customWidth="1"/>
    <col min="7175" max="7175" width="25.44140625" style="208" bestFit="1" customWidth="1"/>
    <col min="7176" max="7423" width="8.88671875" style="208"/>
    <col min="7424" max="7424" width="12.77734375" style="208" bestFit="1" customWidth="1"/>
    <col min="7425" max="7425" width="7.88671875" style="208" bestFit="1" customWidth="1"/>
    <col min="7426" max="7426" width="16.77734375" style="208" bestFit="1" customWidth="1"/>
    <col min="7427" max="7427" width="12.33203125" style="208" bestFit="1" customWidth="1"/>
    <col min="7428" max="7428" width="11.88671875" style="208" bestFit="1" customWidth="1"/>
    <col min="7429" max="7429" width="18.5546875" style="208" bestFit="1" customWidth="1"/>
    <col min="7430" max="7430" width="22.21875" style="208" bestFit="1" customWidth="1"/>
    <col min="7431" max="7431" width="25.44140625" style="208" bestFit="1" customWidth="1"/>
    <col min="7432" max="7679" width="8.88671875" style="208"/>
    <col min="7680" max="7680" width="12.77734375" style="208" bestFit="1" customWidth="1"/>
    <col min="7681" max="7681" width="7.88671875" style="208" bestFit="1" customWidth="1"/>
    <col min="7682" max="7682" width="16.77734375" style="208" bestFit="1" customWidth="1"/>
    <col min="7683" max="7683" width="12.33203125" style="208" bestFit="1" customWidth="1"/>
    <col min="7684" max="7684" width="11.88671875" style="208" bestFit="1" customWidth="1"/>
    <col min="7685" max="7685" width="18.5546875" style="208" bestFit="1" customWidth="1"/>
    <col min="7686" max="7686" width="22.21875" style="208" bestFit="1" customWidth="1"/>
    <col min="7687" max="7687" width="25.44140625" style="208" bestFit="1" customWidth="1"/>
    <col min="7688" max="7935" width="8.88671875" style="208"/>
    <col min="7936" max="7936" width="12.77734375" style="208" bestFit="1" customWidth="1"/>
    <col min="7937" max="7937" width="7.88671875" style="208" bestFit="1" customWidth="1"/>
    <col min="7938" max="7938" width="16.77734375" style="208" bestFit="1" customWidth="1"/>
    <col min="7939" max="7939" width="12.33203125" style="208" bestFit="1" customWidth="1"/>
    <col min="7940" max="7940" width="11.88671875" style="208" bestFit="1" customWidth="1"/>
    <col min="7941" max="7941" width="18.5546875" style="208" bestFit="1" customWidth="1"/>
    <col min="7942" max="7942" width="22.21875" style="208" bestFit="1" customWidth="1"/>
    <col min="7943" max="7943" width="25.44140625" style="208" bestFit="1" customWidth="1"/>
    <col min="7944" max="8191" width="8.88671875" style="208"/>
    <col min="8192" max="8192" width="12.77734375" style="208" bestFit="1" customWidth="1"/>
    <col min="8193" max="8193" width="7.88671875" style="208" bestFit="1" customWidth="1"/>
    <col min="8194" max="8194" width="16.77734375" style="208" bestFit="1" customWidth="1"/>
    <col min="8195" max="8195" width="12.33203125" style="208" bestFit="1" customWidth="1"/>
    <col min="8196" max="8196" width="11.88671875" style="208" bestFit="1" customWidth="1"/>
    <col min="8197" max="8197" width="18.5546875" style="208" bestFit="1" customWidth="1"/>
    <col min="8198" max="8198" width="22.21875" style="208" bestFit="1" customWidth="1"/>
    <col min="8199" max="8199" width="25.44140625" style="208" bestFit="1" customWidth="1"/>
    <col min="8200" max="8447" width="8.88671875" style="208"/>
    <col min="8448" max="8448" width="12.77734375" style="208" bestFit="1" customWidth="1"/>
    <col min="8449" max="8449" width="7.88671875" style="208" bestFit="1" customWidth="1"/>
    <col min="8450" max="8450" width="16.77734375" style="208" bestFit="1" customWidth="1"/>
    <col min="8451" max="8451" width="12.33203125" style="208" bestFit="1" customWidth="1"/>
    <col min="8452" max="8452" width="11.88671875" style="208" bestFit="1" customWidth="1"/>
    <col min="8453" max="8453" width="18.5546875" style="208" bestFit="1" customWidth="1"/>
    <col min="8454" max="8454" width="22.21875" style="208" bestFit="1" customWidth="1"/>
    <col min="8455" max="8455" width="25.44140625" style="208" bestFit="1" customWidth="1"/>
    <col min="8456" max="8703" width="8.88671875" style="208"/>
    <col min="8704" max="8704" width="12.77734375" style="208" bestFit="1" customWidth="1"/>
    <col min="8705" max="8705" width="7.88671875" style="208" bestFit="1" customWidth="1"/>
    <col min="8706" max="8706" width="16.77734375" style="208" bestFit="1" customWidth="1"/>
    <col min="8707" max="8707" width="12.33203125" style="208" bestFit="1" customWidth="1"/>
    <col min="8708" max="8708" width="11.88671875" style="208" bestFit="1" customWidth="1"/>
    <col min="8709" max="8709" width="18.5546875" style="208" bestFit="1" customWidth="1"/>
    <col min="8710" max="8710" width="22.21875" style="208" bestFit="1" customWidth="1"/>
    <col min="8711" max="8711" width="25.44140625" style="208" bestFit="1" customWidth="1"/>
    <col min="8712" max="8959" width="8.88671875" style="208"/>
    <col min="8960" max="8960" width="12.77734375" style="208" bestFit="1" customWidth="1"/>
    <col min="8961" max="8961" width="7.88671875" style="208" bestFit="1" customWidth="1"/>
    <col min="8962" max="8962" width="16.77734375" style="208" bestFit="1" customWidth="1"/>
    <col min="8963" max="8963" width="12.33203125" style="208" bestFit="1" customWidth="1"/>
    <col min="8964" max="8964" width="11.88671875" style="208" bestFit="1" customWidth="1"/>
    <col min="8965" max="8965" width="18.5546875" style="208" bestFit="1" customWidth="1"/>
    <col min="8966" max="8966" width="22.21875" style="208" bestFit="1" customWidth="1"/>
    <col min="8967" max="8967" width="25.44140625" style="208" bestFit="1" customWidth="1"/>
    <col min="8968" max="9215" width="8.88671875" style="208"/>
    <col min="9216" max="9216" width="12.77734375" style="208" bestFit="1" customWidth="1"/>
    <col min="9217" max="9217" width="7.88671875" style="208" bestFit="1" customWidth="1"/>
    <col min="9218" max="9218" width="16.77734375" style="208" bestFit="1" customWidth="1"/>
    <col min="9219" max="9219" width="12.33203125" style="208" bestFit="1" customWidth="1"/>
    <col min="9220" max="9220" width="11.88671875" style="208" bestFit="1" customWidth="1"/>
    <col min="9221" max="9221" width="18.5546875" style="208" bestFit="1" customWidth="1"/>
    <col min="9222" max="9222" width="22.21875" style="208" bestFit="1" customWidth="1"/>
    <col min="9223" max="9223" width="25.44140625" style="208" bestFit="1" customWidth="1"/>
    <col min="9224" max="9471" width="8.88671875" style="208"/>
    <col min="9472" max="9472" width="12.77734375" style="208" bestFit="1" customWidth="1"/>
    <col min="9473" max="9473" width="7.88671875" style="208" bestFit="1" customWidth="1"/>
    <col min="9474" max="9474" width="16.77734375" style="208" bestFit="1" customWidth="1"/>
    <col min="9475" max="9475" width="12.33203125" style="208" bestFit="1" customWidth="1"/>
    <col min="9476" max="9476" width="11.88671875" style="208" bestFit="1" customWidth="1"/>
    <col min="9477" max="9477" width="18.5546875" style="208" bestFit="1" customWidth="1"/>
    <col min="9478" max="9478" width="22.21875" style="208" bestFit="1" customWidth="1"/>
    <col min="9479" max="9479" width="25.44140625" style="208" bestFit="1" customWidth="1"/>
    <col min="9480" max="9727" width="8.88671875" style="208"/>
    <col min="9728" max="9728" width="12.77734375" style="208" bestFit="1" customWidth="1"/>
    <col min="9729" max="9729" width="7.88671875" style="208" bestFit="1" customWidth="1"/>
    <col min="9730" max="9730" width="16.77734375" style="208" bestFit="1" customWidth="1"/>
    <col min="9731" max="9731" width="12.33203125" style="208" bestFit="1" customWidth="1"/>
    <col min="9732" max="9732" width="11.88671875" style="208" bestFit="1" customWidth="1"/>
    <col min="9733" max="9733" width="18.5546875" style="208" bestFit="1" customWidth="1"/>
    <col min="9734" max="9734" width="22.21875" style="208" bestFit="1" customWidth="1"/>
    <col min="9735" max="9735" width="25.44140625" style="208" bestFit="1" customWidth="1"/>
    <col min="9736" max="9983" width="8.88671875" style="208"/>
    <col min="9984" max="9984" width="12.77734375" style="208" bestFit="1" customWidth="1"/>
    <col min="9985" max="9985" width="7.88671875" style="208" bestFit="1" customWidth="1"/>
    <col min="9986" max="9986" width="16.77734375" style="208" bestFit="1" customWidth="1"/>
    <col min="9987" max="9987" width="12.33203125" style="208" bestFit="1" customWidth="1"/>
    <col min="9988" max="9988" width="11.88671875" style="208" bestFit="1" customWidth="1"/>
    <col min="9989" max="9989" width="18.5546875" style="208" bestFit="1" customWidth="1"/>
    <col min="9990" max="9990" width="22.21875" style="208" bestFit="1" customWidth="1"/>
    <col min="9991" max="9991" width="25.44140625" style="208" bestFit="1" customWidth="1"/>
    <col min="9992" max="10239" width="8.88671875" style="208"/>
    <col min="10240" max="10240" width="12.77734375" style="208" bestFit="1" customWidth="1"/>
    <col min="10241" max="10241" width="7.88671875" style="208" bestFit="1" customWidth="1"/>
    <col min="10242" max="10242" width="16.77734375" style="208" bestFit="1" customWidth="1"/>
    <col min="10243" max="10243" width="12.33203125" style="208" bestFit="1" customWidth="1"/>
    <col min="10244" max="10244" width="11.88671875" style="208" bestFit="1" customWidth="1"/>
    <col min="10245" max="10245" width="18.5546875" style="208" bestFit="1" customWidth="1"/>
    <col min="10246" max="10246" width="22.21875" style="208" bestFit="1" customWidth="1"/>
    <col min="10247" max="10247" width="25.44140625" style="208" bestFit="1" customWidth="1"/>
    <col min="10248" max="10495" width="8.88671875" style="208"/>
    <col min="10496" max="10496" width="12.77734375" style="208" bestFit="1" customWidth="1"/>
    <col min="10497" max="10497" width="7.88671875" style="208" bestFit="1" customWidth="1"/>
    <col min="10498" max="10498" width="16.77734375" style="208" bestFit="1" customWidth="1"/>
    <col min="10499" max="10499" width="12.33203125" style="208" bestFit="1" customWidth="1"/>
    <col min="10500" max="10500" width="11.88671875" style="208" bestFit="1" customWidth="1"/>
    <col min="10501" max="10501" width="18.5546875" style="208" bestFit="1" customWidth="1"/>
    <col min="10502" max="10502" width="22.21875" style="208" bestFit="1" customWidth="1"/>
    <col min="10503" max="10503" width="25.44140625" style="208" bestFit="1" customWidth="1"/>
    <col min="10504" max="10751" width="8.88671875" style="208"/>
    <col min="10752" max="10752" width="12.77734375" style="208" bestFit="1" customWidth="1"/>
    <col min="10753" max="10753" width="7.88671875" style="208" bestFit="1" customWidth="1"/>
    <col min="10754" max="10754" width="16.77734375" style="208" bestFit="1" customWidth="1"/>
    <col min="10755" max="10755" width="12.33203125" style="208" bestFit="1" customWidth="1"/>
    <col min="10756" max="10756" width="11.88671875" style="208" bestFit="1" customWidth="1"/>
    <col min="10757" max="10757" width="18.5546875" style="208" bestFit="1" customWidth="1"/>
    <col min="10758" max="10758" width="22.21875" style="208" bestFit="1" customWidth="1"/>
    <col min="10759" max="10759" width="25.44140625" style="208" bestFit="1" customWidth="1"/>
    <col min="10760" max="11007" width="8.88671875" style="208"/>
    <col min="11008" max="11008" width="12.77734375" style="208" bestFit="1" customWidth="1"/>
    <col min="11009" max="11009" width="7.88671875" style="208" bestFit="1" customWidth="1"/>
    <col min="11010" max="11010" width="16.77734375" style="208" bestFit="1" customWidth="1"/>
    <col min="11011" max="11011" width="12.33203125" style="208" bestFit="1" customWidth="1"/>
    <col min="11012" max="11012" width="11.88671875" style="208" bestFit="1" customWidth="1"/>
    <col min="11013" max="11013" width="18.5546875" style="208" bestFit="1" customWidth="1"/>
    <col min="11014" max="11014" width="22.21875" style="208" bestFit="1" customWidth="1"/>
    <col min="11015" max="11015" width="25.44140625" style="208" bestFit="1" customWidth="1"/>
    <col min="11016" max="11263" width="8.88671875" style="208"/>
    <col min="11264" max="11264" width="12.77734375" style="208" bestFit="1" customWidth="1"/>
    <col min="11265" max="11265" width="7.88671875" style="208" bestFit="1" customWidth="1"/>
    <col min="11266" max="11266" width="16.77734375" style="208" bestFit="1" customWidth="1"/>
    <col min="11267" max="11267" width="12.33203125" style="208" bestFit="1" customWidth="1"/>
    <col min="11268" max="11268" width="11.88671875" style="208" bestFit="1" customWidth="1"/>
    <col min="11269" max="11269" width="18.5546875" style="208" bestFit="1" customWidth="1"/>
    <col min="11270" max="11270" width="22.21875" style="208" bestFit="1" customWidth="1"/>
    <col min="11271" max="11271" width="25.44140625" style="208" bestFit="1" customWidth="1"/>
    <col min="11272" max="11519" width="8.88671875" style="208"/>
    <col min="11520" max="11520" width="12.77734375" style="208" bestFit="1" customWidth="1"/>
    <col min="11521" max="11521" width="7.88671875" style="208" bestFit="1" customWidth="1"/>
    <col min="11522" max="11522" width="16.77734375" style="208" bestFit="1" customWidth="1"/>
    <col min="11523" max="11523" width="12.33203125" style="208" bestFit="1" customWidth="1"/>
    <col min="11524" max="11524" width="11.88671875" style="208" bestFit="1" customWidth="1"/>
    <col min="11525" max="11525" width="18.5546875" style="208" bestFit="1" customWidth="1"/>
    <col min="11526" max="11526" width="22.21875" style="208" bestFit="1" customWidth="1"/>
    <col min="11527" max="11527" width="25.44140625" style="208" bestFit="1" customWidth="1"/>
    <col min="11528" max="11775" width="8.88671875" style="208"/>
    <col min="11776" max="11776" width="12.77734375" style="208" bestFit="1" customWidth="1"/>
    <col min="11777" max="11777" width="7.88671875" style="208" bestFit="1" customWidth="1"/>
    <col min="11778" max="11778" width="16.77734375" style="208" bestFit="1" customWidth="1"/>
    <col min="11779" max="11779" width="12.33203125" style="208" bestFit="1" customWidth="1"/>
    <col min="11780" max="11780" width="11.88671875" style="208" bestFit="1" customWidth="1"/>
    <col min="11781" max="11781" width="18.5546875" style="208" bestFit="1" customWidth="1"/>
    <col min="11782" max="11782" width="22.21875" style="208" bestFit="1" customWidth="1"/>
    <col min="11783" max="11783" width="25.44140625" style="208" bestFit="1" customWidth="1"/>
    <col min="11784" max="12031" width="8.88671875" style="208"/>
    <col min="12032" max="12032" width="12.77734375" style="208" bestFit="1" customWidth="1"/>
    <col min="12033" max="12033" width="7.88671875" style="208" bestFit="1" customWidth="1"/>
    <col min="12034" max="12034" width="16.77734375" style="208" bestFit="1" customWidth="1"/>
    <col min="12035" max="12035" width="12.33203125" style="208" bestFit="1" customWidth="1"/>
    <col min="12036" max="12036" width="11.88671875" style="208" bestFit="1" customWidth="1"/>
    <col min="12037" max="12037" width="18.5546875" style="208" bestFit="1" customWidth="1"/>
    <col min="12038" max="12038" width="22.21875" style="208" bestFit="1" customWidth="1"/>
    <col min="12039" max="12039" width="25.44140625" style="208" bestFit="1" customWidth="1"/>
    <col min="12040" max="12287" width="8.88671875" style="208"/>
    <col min="12288" max="12288" width="12.77734375" style="208" bestFit="1" customWidth="1"/>
    <col min="12289" max="12289" width="7.88671875" style="208" bestFit="1" customWidth="1"/>
    <col min="12290" max="12290" width="16.77734375" style="208" bestFit="1" customWidth="1"/>
    <col min="12291" max="12291" width="12.33203125" style="208" bestFit="1" customWidth="1"/>
    <col min="12292" max="12292" width="11.88671875" style="208" bestFit="1" customWidth="1"/>
    <col min="12293" max="12293" width="18.5546875" style="208" bestFit="1" customWidth="1"/>
    <col min="12294" max="12294" width="22.21875" style="208" bestFit="1" customWidth="1"/>
    <col min="12295" max="12295" width="25.44140625" style="208" bestFit="1" customWidth="1"/>
    <col min="12296" max="12543" width="8.88671875" style="208"/>
    <col min="12544" max="12544" width="12.77734375" style="208" bestFit="1" customWidth="1"/>
    <col min="12545" max="12545" width="7.88671875" style="208" bestFit="1" customWidth="1"/>
    <col min="12546" max="12546" width="16.77734375" style="208" bestFit="1" customWidth="1"/>
    <col min="12547" max="12547" width="12.33203125" style="208" bestFit="1" customWidth="1"/>
    <col min="12548" max="12548" width="11.88671875" style="208" bestFit="1" customWidth="1"/>
    <col min="12549" max="12549" width="18.5546875" style="208" bestFit="1" customWidth="1"/>
    <col min="12550" max="12550" width="22.21875" style="208" bestFit="1" customWidth="1"/>
    <col min="12551" max="12551" width="25.44140625" style="208" bestFit="1" customWidth="1"/>
    <col min="12552" max="12799" width="8.88671875" style="208"/>
    <col min="12800" max="12800" width="12.77734375" style="208" bestFit="1" customWidth="1"/>
    <col min="12801" max="12801" width="7.88671875" style="208" bestFit="1" customWidth="1"/>
    <col min="12802" max="12802" width="16.77734375" style="208" bestFit="1" customWidth="1"/>
    <col min="12803" max="12803" width="12.33203125" style="208" bestFit="1" customWidth="1"/>
    <col min="12804" max="12804" width="11.88671875" style="208" bestFit="1" customWidth="1"/>
    <col min="12805" max="12805" width="18.5546875" style="208" bestFit="1" customWidth="1"/>
    <col min="12806" max="12806" width="22.21875" style="208" bestFit="1" customWidth="1"/>
    <col min="12807" max="12807" width="25.44140625" style="208" bestFit="1" customWidth="1"/>
    <col min="12808" max="13055" width="8.88671875" style="208"/>
    <col min="13056" max="13056" width="12.77734375" style="208" bestFit="1" customWidth="1"/>
    <col min="13057" max="13057" width="7.88671875" style="208" bestFit="1" customWidth="1"/>
    <col min="13058" max="13058" width="16.77734375" style="208" bestFit="1" customWidth="1"/>
    <col min="13059" max="13059" width="12.33203125" style="208" bestFit="1" customWidth="1"/>
    <col min="13060" max="13060" width="11.88671875" style="208" bestFit="1" customWidth="1"/>
    <col min="13061" max="13061" width="18.5546875" style="208" bestFit="1" customWidth="1"/>
    <col min="13062" max="13062" width="22.21875" style="208" bestFit="1" customWidth="1"/>
    <col min="13063" max="13063" width="25.44140625" style="208" bestFit="1" customWidth="1"/>
    <col min="13064" max="13311" width="8.88671875" style="208"/>
    <col min="13312" max="13312" width="12.77734375" style="208" bestFit="1" customWidth="1"/>
    <col min="13313" max="13313" width="7.88671875" style="208" bestFit="1" customWidth="1"/>
    <col min="13314" max="13314" width="16.77734375" style="208" bestFit="1" customWidth="1"/>
    <col min="13315" max="13315" width="12.33203125" style="208" bestFit="1" customWidth="1"/>
    <col min="13316" max="13316" width="11.88671875" style="208" bestFit="1" customWidth="1"/>
    <col min="13317" max="13317" width="18.5546875" style="208" bestFit="1" customWidth="1"/>
    <col min="13318" max="13318" width="22.21875" style="208" bestFit="1" customWidth="1"/>
    <col min="13319" max="13319" width="25.44140625" style="208" bestFit="1" customWidth="1"/>
    <col min="13320" max="13567" width="8.88671875" style="208"/>
    <col min="13568" max="13568" width="12.77734375" style="208" bestFit="1" customWidth="1"/>
    <col min="13569" max="13569" width="7.88671875" style="208" bestFit="1" customWidth="1"/>
    <col min="13570" max="13570" width="16.77734375" style="208" bestFit="1" customWidth="1"/>
    <col min="13571" max="13571" width="12.33203125" style="208" bestFit="1" customWidth="1"/>
    <col min="13572" max="13572" width="11.88671875" style="208" bestFit="1" customWidth="1"/>
    <col min="13573" max="13573" width="18.5546875" style="208" bestFit="1" customWidth="1"/>
    <col min="13574" max="13574" width="22.21875" style="208" bestFit="1" customWidth="1"/>
    <col min="13575" max="13575" width="25.44140625" style="208" bestFit="1" customWidth="1"/>
    <col min="13576" max="13823" width="8.88671875" style="208"/>
    <col min="13824" max="13824" width="12.77734375" style="208" bestFit="1" customWidth="1"/>
    <col min="13825" max="13825" width="7.88671875" style="208" bestFit="1" customWidth="1"/>
    <col min="13826" max="13826" width="16.77734375" style="208" bestFit="1" customWidth="1"/>
    <col min="13827" max="13827" width="12.33203125" style="208" bestFit="1" customWidth="1"/>
    <col min="13828" max="13828" width="11.88671875" style="208" bestFit="1" customWidth="1"/>
    <col min="13829" max="13829" width="18.5546875" style="208" bestFit="1" customWidth="1"/>
    <col min="13830" max="13830" width="22.21875" style="208" bestFit="1" customWidth="1"/>
    <col min="13831" max="13831" width="25.44140625" style="208" bestFit="1" customWidth="1"/>
    <col min="13832" max="14079" width="8.88671875" style="208"/>
    <col min="14080" max="14080" width="12.77734375" style="208" bestFit="1" customWidth="1"/>
    <col min="14081" max="14081" width="7.88671875" style="208" bestFit="1" customWidth="1"/>
    <col min="14082" max="14082" width="16.77734375" style="208" bestFit="1" customWidth="1"/>
    <col min="14083" max="14083" width="12.33203125" style="208" bestFit="1" customWidth="1"/>
    <col min="14084" max="14084" width="11.88671875" style="208" bestFit="1" customWidth="1"/>
    <col min="14085" max="14085" width="18.5546875" style="208" bestFit="1" customWidth="1"/>
    <col min="14086" max="14086" width="22.21875" style="208" bestFit="1" customWidth="1"/>
    <col min="14087" max="14087" width="25.44140625" style="208" bestFit="1" customWidth="1"/>
    <col min="14088" max="14335" width="8.88671875" style="208"/>
    <col min="14336" max="14336" width="12.77734375" style="208" bestFit="1" customWidth="1"/>
    <col min="14337" max="14337" width="7.88671875" style="208" bestFit="1" customWidth="1"/>
    <col min="14338" max="14338" width="16.77734375" style="208" bestFit="1" customWidth="1"/>
    <col min="14339" max="14339" width="12.33203125" style="208" bestFit="1" customWidth="1"/>
    <col min="14340" max="14340" width="11.88671875" style="208" bestFit="1" customWidth="1"/>
    <col min="14341" max="14341" width="18.5546875" style="208" bestFit="1" customWidth="1"/>
    <col min="14342" max="14342" width="22.21875" style="208" bestFit="1" customWidth="1"/>
    <col min="14343" max="14343" width="25.44140625" style="208" bestFit="1" customWidth="1"/>
    <col min="14344" max="14591" width="8.88671875" style="208"/>
    <col min="14592" max="14592" width="12.77734375" style="208" bestFit="1" customWidth="1"/>
    <col min="14593" max="14593" width="7.88671875" style="208" bestFit="1" customWidth="1"/>
    <col min="14594" max="14594" width="16.77734375" style="208" bestFit="1" customWidth="1"/>
    <col min="14595" max="14595" width="12.33203125" style="208" bestFit="1" customWidth="1"/>
    <col min="14596" max="14596" width="11.88671875" style="208" bestFit="1" customWidth="1"/>
    <col min="14597" max="14597" width="18.5546875" style="208" bestFit="1" customWidth="1"/>
    <col min="14598" max="14598" width="22.21875" style="208" bestFit="1" customWidth="1"/>
    <col min="14599" max="14599" width="25.44140625" style="208" bestFit="1" customWidth="1"/>
    <col min="14600" max="14847" width="8.88671875" style="208"/>
    <col min="14848" max="14848" width="12.77734375" style="208" bestFit="1" customWidth="1"/>
    <col min="14849" max="14849" width="7.88671875" style="208" bestFit="1" customWidth="1"/>
    <col min="14850" max="14850" width="16.77734375" style="208" bestFit="1" customWidth="1"/>
    <col min="14851" max="14851" width="12.33203125" style="208" bestFit="1" customWidth="1"/>
    <col min="14852" max="14852" width="11.88671875" style="208" bestFit="1" customWidth="1"/>
    <col min="14853" max="14853" width="18.5546875" style="208" bestFit="1" customWidth="1"/>
    <col min="14854" max="14854" width="22.21875" style="208" bestFit="1" customWidth="1"/>
    <col min="14855" max="14855" width="25.44140625" style="208" bestFit="1" customWidth="1"/>
    <col min="14856" max="15103" width="8.88671875" style="208"/>
    <col min="15104" max="15104" width="12.77734375" style="208" bestFit="1" customWidth="1"/>
    <col min="15105" max="15105" width="7.88671875" style="208" bestFit="1" customWidth="1"/>
    <col min="15106" max="15106" width="16.77734375" style="208" bestFit="1" customWidth="1"/>
    <col min="15107" max="15107" width="12.33203125" style="208" bestFit="1" customWidth="1"/>
    <col min="15108" max="15108" width="11.88671875" style="208" bestFit="1" customWidth="1"/>
    <col min="15109" max="15109" width="18.5546875" style="208" bestFit="1" customWidth="1"/>
    <col min="15110" max="15110" width="22.21875" style="208" bestFit="1" customWidth="1"/>
    <col min="15111" max="15111" width="25.44140625" style="208" bestFit="1" customWidth="1"/>
    <col min="15112" max="15359" width="8.88671875" style="208"/>
    <col min="15360" max="15360" width="12.77734375" style="208" bestFit="1" customWidth="1"/>
    <col min="15361" max="15361" width="7.88671875" style="208" bestFit="1" customWidth="1"/>
    <col min="15362" max="15362" width="16.77734375" style="208" bestFit="1" customWidth="1"/>
    <col min="15363" max="15363" width="12.33203125" style="208" bestFit="1" customWidth="1"/>
    <col min="15364" max="15364" width="11.88671875" style="208" bestFit="1" customWidth="1"/>
    <col min="15365" max="15365" width="18.5546875" style="208" bestFit="1" customWidth="1"/>
    <col min="15366" max="15366" width="22.21875" style="208" bestFit="1" customWidth="1"/>
    <col min="15367" max="15367" width="25.44140625" style="208" bestFit="1" customWidth="1"/>
    <col min="15368" max="15615" width="8.88671875" style="208"/>
    <col min="15616" max="15616" width="12.77734375" style="208" bestFit="1" customWidth="1"/>
    <col min="15617" max="15617" width="7.88671875" style="208" bestFit="1" customWidth="1"/>
    <col min="15618" max="15618" width="16.77734375" style="208" bestFit="1" customWidth="1"/>
    <col min="15619" max="15619" width="12.33203125" style="208" bestFit="1" customWidth="1"/>
    <col min="15620" max="15620" width="11.88671875" style="208" bestFit="1" customWidth="1"/>
    <col min="15621" max="15621" width="18.5546875" style="208" bestFit="1" customWidth="1"/>
    <col min="15622" max="15622" width="22.21875" style="208" bestFit="1" customWidth="1"/>
    <col min="15623" max="15623" width="25.44140625" style="208" bestFit="1" customWidth="1"/>
    <col min="15624" max="15871" width="8.88671875" style="208"/>
    <col min="15872" max="15872" width="12.77734375" style="208" bestFit="1" customWidth="1"/>
    <col min="15873" max="15873" width="7.88671875" style="208" bestFit="1" customWidth="1"/>
    <col min="15874" max="15874" width="16.77734375" style="208" bestFit="1" customWidth="1"/>
    <col min="15875" max="15875" width="12.33203125" style="208" bestFit="1" customWidth="1"/>
    <col min="15876" max="15876" width="11.88671875" style="208" bestFit="1" customWidth="1"/>
    <col min="15877" max="15877" width="18.5546875" style="208" bestFit="1" customWidth="1"/>
    <col min="15878" max="15878" width="22.21875" style="208" bestFit="1" customWidth="1"/>
    <col min="15879" max="15879" width="25.44140625" style="208" bestFit="1" customWidth="1"/>
    <col min="15880" max="16127" width="8.88671875" style="208"/>
    <col min="16128" max="16128" width="12.77734375" style="208" bestFit="1" customWidth="1"/>
    <col min="16129" max="16129" width="7.88671875" style="208" bestFit="1" customWidth="1"/>
    <col min="16130" max="16130" width="16.77734375" style="208" bestFit="1" customWidth="1"/>
    <col min="16131" max="16131" width="12.33203125" style="208" bestFit="1" customWidth="1"/>
    <col min="16132" max="16132" width="11.88671875" style="208" bestFit="1" customWidth="1"/>
    <col min="16133" max="16133" width="18.5546875" style="208" bestFit="1" customWidth="1"/>
    <col min="16134" max="16134" width="22.21875" style="208" bestFit="1" customWidth="1"/>
    <col min="16135" max="16135" width="25.44140625" style="208" bestFit="1" customWidth="1"/>
    <col min="16136" max="16384" width="8.88671875" style="208"/>
  </cols>
  <sheetData>
    <row r="1" spans="1:7" x14ac:dyDescent="0.25">
      <c r="A1" s="207" t="s">
        <v>4</v>
      </c>
      <c r="B1" s="207" t="s">
        <v>0</v>
      </c>
      <c r="C1" s="207" t="s">
        <v>3</v>
      </c>
      <c r="D1" s="207" t="s">
        <v>15</v>
      </c>
      <c r="E1" s="207" t="s">
        <v>1</v>
      </c>
      <c r="F1" s="207" t="s">
        <v>28</v>
      </c>
      <c r="G1" s="207" t="s">
        <v>2</v>
      </c>
    </row>
    <row r="2" spans="1:7" x14ac:dyDescent="0.25">
      <c r="A2" s="209">
        <v>761</v>
      </c>
      <c r="B2" s="209">
        <v>500</v>
      </c>
      <c r="C2" s="209">
        <v>2</v>
      </c>
      <c r="D2" s="210">
        <v>43466</v>
      </c>
      <c r="E2" s="210">
        <v>25646</v>
      </c>
      <c r="F2" s="210">
        <v>37974</v>
      </c>
      <c r="G2" s="210">
        <v>49400</v>
      </c>
    </row>
    <row r="3" spans="1:7" x14ac:dyDescent="0.25">
      <c r="A3" s="209">
        <v>735</v>
      </c>
      <c r="B3" s="209">
        <v>500</v>
      </c>
      <c r="C3" s="209">
        <v>2</v>
      </c>
      <c r="D3" s="210">
        <v>43466</v>
      </c>
      <c r="E3" s="210">
        <v>26826</v>
      </c>
      <c r="F3" s="210">
        <v>37004</v>
      </c>
      <c r="G3" s="210">
        <v>50587</v>
      </c>
    </row>
    <row r="4" spans="1:7" x14ac:dyDescent="0.25">
      <c r="A4" s="209">
        <v>769</v>
      </c>
      <c r="B4" s="209">
        <v>500</v>
      </c>
      <c r="C4" s="209">
        <v>2</v>
      </c>
      <c r="D4" s="210">
        <v>43466</v>
      </c>
      <c r="E4" s="210">
        <v>27690</v>
      </c>
      <c r="F4" s="210">
        <v>38148</v>
      </c>
      <c r="G4" s="210">
        <v>51441</v>
      </c>
    </row>
    <row r="5" spans="1:7" x14ac:dyDescent="0.25">
      <c r="A5" s="209">
        <v>786</v>
      </c>
      <c r="B5" s="209">
        <v>500</v>
      </c>
      <c r="C5" s="209">
        <v>2</v>
      </c>
      <c r="D5" s="210">
        <v>43466</v>
      </c>
      <c r="E5" s="210">
        <v>26259</v>
      </c>
      <c r="F5" s="210">
        <v>38621</v>
      </c>
      <c r="G5" s="210">
        <v>50010</v>
      </c>
    </row>
    <row r="6" spans="1:7" x14ac:dyDescent="0.25">
      <c r="A6" s="209">
        <v>785</v>
      </c>
      <c r="B6" s="209">
        <v>500</v>
      </c>
      <c r="C6" s="209">
        <v>2</v>
      </c>
      <c r="D6" s="210">
        <v>43466</v>
      </c>
      <c r="E6" s="210">
        <v>31516</v>
      </c>
      <c r="F6" s="210">
        <v>38621</v>
      </c>
      <c r="G6" s="210">
        <v>55274</v>
      </c>
    </row>
    <row r="7" spans="1:7" x14ac:dyDescent="0.25">
      <c r="A7" s="209">
        <v>784</v>
      </c>
      <c r="B7" s="209">
        <v>500</v>
      </c>
      <c r="C7" s="209">
        <v>2</v>
      </c>
      <c r="D7" s="210">
        <v>43466</v>
      </c>
      <c r="E7" s="210">
        <v>23602</v>
      </c>
      <c r="F7" s="210">
        <v>38544</v>
      </c>
      <c r="G7" s="210">
        <v>47362</v>
      </c>
    </row>
    <row r="8" spans="1:7" x14ac:dyDescent="0.25">
      <c r="A8" s="209">
        <v>783</v>
      </c>
      <c r="B8" s="209">
        <v>500</v>
      </c>
      <c r="C8" s="209">
        <v>1</v>
      </c>
      <c r="D8" s="210">
        <v>43466</v>
      </c>
      <c r="E8" s="210">
        <v>24066</v>
      </c>
      <c r="F8" s="210">
        <v>38537</v>
      </c>
      <c r="G8" s="210">
        <v>47818</v>
      </c>
    </row>
    <row r="9" spans="1:7" x14ac:dyDescent="0.25">
      <c r="A9" s="209">
        <v>782</v>
      </c>
      <c r="B9" s="209">
        <v>500</v>
      </c>
      <c r="C9" s="209">
        <v>2</v>
      </c>
      <c r="D9" s="210">
        <v>43466</v>
      </c>
      <c r="E9" s="210">
        <v>30713</v>
      </c>
      <c r="F9" s="210">
        <v>38502</v>
      </c>
      <c r="G9" s="210">
        <v>54483</v>
      </c>
    </row>
    <row r="10" spans="1:7" x14ac:dyDescent="0.25">
      <c r="A10" s="209">
        <v>781</v>
      </c>
      <c r="B10" s="209">
        <v>500</v>
      </c>
      <c r="C10" s="209">
        <v>2</v>
      </c>
      <c r="D10" s="210">
        <v>43466</v>
      </c>
      <c r="E10" s="210">
        <v>22883</v>
      </c>
      <c r="F10" s="210">
        <v>38383</v>
      </c>
      <c r="G10" s="210">
        <v>46631</v>
      </c>
    </row>
    <row r="11" spans="1:7" x14ac:dyDescent="0.25">
      <c r="A11" s="209">
        <v>780</v>
      </c>
      <c r="B11" s="209">
        <v>500</v>
      </c>
      <c r="C11" s="209">
        <v>1</v>
      </c>
      <c r="D11" s="210">
        <v>43466</v>
      </c>
      <c r="E11" s="210">
        <v>29187</v>
      </c>
      <c r="F11" s="210">
        <v>38446</v>
      </c>
      <c r="G11" s="210">
        <v>52932</v>
      </c>
    </row>
    <row r="12" spans="1:7" x14ac:dyDescent="0.25">
      <c r="A12" s="209">
        <v>779</v>
      </c>
      <c r="B12" s="209">
        <v>500</v>
      </c>
      <c r="C12" s="209">
        <v>2</v>
      </c>
      <c r="D12" s="210">
        <v>43466</v>
      </c>
      <c r="E12" s="210">
        <v>24749</v>
      </c>
      <c r="F12" s="210">
        <v>38397</v>
      </c>
      <c r="G12" s="210">
        <v>48519</v>
      </c>
    </row>
    <row r="13" spans="1:7" x14ac:dyDescent="0.25">
      <c r="A13" s="209">
        <v>778</v>
      </c>
      <c r="B13" s="209">
        <v>500</v>
      </c>
      <c r="C13" s="209">
        <v>1</v>
      </c>
      <c r="D13" s="210">
        <v>43466</v>
      </c>
      <c r="E13" s="210">
        <v>24292</v>
      </c>
      <c r="F13" s="210">
        <v>39142</v>
      </c>
      <c r="G13" s="210">
        <v>48061</v>
      </c>
    </row>
    <row r="14" spans="1:7" x14ac:dyDescent="0.25">
      <c r="A14" s="209">
        <v>777</v>
      </c>
      <c r="B14" s="209">
        <v>500</v>
      </c>
      <c r="C14" s="209">
        <v>1</v>
      </c>
      <c r="D14" s="210">
        <v>43466</v>
      </c>
      <c r="E14" s="210">
        <v>26580</v>
      </c>
      <c r="F14" s="210">
        <v>38411</v>
      </c>
      <c r="G14" s="210">
        <v>50345</v>
      </c>
    </row>
    <row r="15" spans="1:7" x14ac:dyDescent="0.25">
      <c r="A15" s="209">
        <v>776</v>
      </c>
      <c r="B15" s="209">
        <v>500</v>
      </c>
      <c r="C15" s="209">
        <v>2</v>
      </c>
      <c r="D15" s="210">
        <v>43466</v>
      </c>
      <c r="E15" s="210">
        <v>21316</v>
      </c>
      <c r="F15" s="210">
        <v>38376</v>
      </c>
      <c r="G15" s="210">
        <v>45078</v>
      </c>
    </row>
    <row r="16" spans="1:7" x14ac:dyDescent="0.25">
      <c r="A16" s="209">
        <v>775</v>
      </c>
      <c r="B16" s="209">
        <v>500</v>
      </c>
      <c r="C16" s="209">
        <v>2</v>
      </c>
      <c r="D16" s="210">
        <v>43466</v>
      </c>
      <c r="E16" s="210">
        <v>22027</v>
      </c>
      <c r="F16" s="210">
        <v>38350</v>
      </c>
      <c r="G16" s="210">
        <v>45778</v>
      </c>
    </row>
    <row r="17" spans="1:7" x14ac:dyDescent="0.25">
      <c r="A17" s="209">
        <v>774</v>
      </c>
      <c r="B17" s="209">
        <v>500</v>
      </c>
      <c r="C17" s="209">
        <v>2</v>
      </c>
      <c r="D17" s="210">
        <v>43466</v>
      </c>
      <c r="E17" s="210">
        <v>24517</v>
      </c>
      <c r="F17" s="210">
        <v>38272</v>
      </c>
      <c r="G17" s="210">
        <v>48274</v>
      </c>
    </row>
    <row r="18" spans="1:7" x14ac:dyDescent="0.25">
      <c r="A18" s="209">
        <v>772</v>
      </c>
      <c r="B18" s="209">
        <v>500</v>
      </c>
      <c r="C18" s="209">
        <v>1</v>
      </c>
      <c r="D18" s="210">
        <v>43466</v>
      </c>
      <c r="E18" s="210">
        <v>26436</v>
      </c>
      <c r="F18" s="210">
        <v>38187</v>
      </c>
      <c r="G18" s="210">
        <v>50192</v>
      </c>
    </row>
    <row r="19" spans="1:7" x14ac:dyDescent="0.25">
      <c r="A19" s="209">
        <v>771</v>
      </c>
      <c r="B19" s="209">
        <v>500</v>
      </c>
      <c r="C19" s="209">
        <v>1</v>
      </c>
      <c r="D19" s="210">
        <v>43466</v>
      </c>
      <c r="E19" s="210">
        <v>30195</v>
      </c>
      <c r="F19" s="210">
        <v>38169</v>
      </c>
      <c r="G19" s="210">
        <v>53966</v>
      </c>
    </row>
    <row r="20" spans="1:7" x14ac:dyDescent="0.25">
      <c r="A20" s="209">
        <v>768</v>
      </c>
      <c r="B20" s="209">
        <v>500</v>
      </c>
      <c r="C20" s="209">
        <v>2</v>
      </c>
      <c r="D20" s="210">
        <v>43466</v>
      </c>
      <c r="E20" s="210">
        <v>23337</v>
      </c>
      <c r="F20" s="210">
        <v>38110</v>
      </c>
      <c r="G20" s="210">
        <v>47088</v>
      </c>
    </row>
    <row r="21" spans="1:7" x14ac:dyDescent="0.25">
      <c r="A21" s="209">
        <v>767</v>
      </c>
      <c r="B21" s="209">
        <v>500</v>
      </c>
      <c r="C21" s="209">
        <v>1</v>
      </c>
      <c r="D21" s="210">
        <v>43466</v>
      </c>
      <c r="E21" s="210">
        <v>27883</v>
      </c>
      <c r="F21" s="210">
        <v>38061</v>
      </c>
      <c r="G21" s="210">
        <v>51653</v>
      </c>
    </row>
    <row r="22" spans="1:7" x14ac:dyDescent="0.25">
      <c r="A22" s="209">
        <v>766</v>
      </c>
      <c r="B22" s="209">
        <v>500</v>
      </c>
      <c r="C22" s="209">
        <v>1</v>
      </c>
      <c r="D22" s="210">
        <v>43466</v>
      </c>
      <c r="E22" s="210">
        <v>23516</v>
      </c>
      <c r="F22" s="210">
        <v>37991</v>
      </c>
      <c r="G22" s="210">
        <v>47270</v>
      </c>
    </row>
    <row r="23" spans="1:7" x14ac:dyDescent="0.25">
      <c r="A23" s="209">
        <v>765</v>
      </c>
      <c r="B23" s="209">
        <v>500</v>
      </c>
      <c r="C23" s="209">
        <v>1</v>
      </c>
      <c r="D23" s="210">
        <v>43466</v>
      </c>
      <c r="E23" s="210">
        <v>20178</v>
      </c>
      <c r="F23" s="210">
        <v>37742</v>
      </c>
      <c r="G23" s="210">
        <v>43922</v>
      </c>
    </row>
    <row r="24" spans="1:7" x14ac:dyDescent="0.25">
      <c r="A24" s="209">
        <v>762</v>
      </c>
      <c r="B24" s="209">
        <v>500</v>
      </c>
      <c r="C24" s="209">
        <v>1</v>
      </c>
      <c r="D24" s="210">
        <v>43466</v>
      </c>
      <c r="E24" s="210">
        <v>26286</v>
      </c>
      <c r="F24" s="210">
        <v>37742</v>
      </c>
      <c r="G24" s="210">
        <v>50041</v>
      </c>
    </row>
    <row r="25" spans="1:7" x14ac:dyDescent="0.25">
      <c r="A25" s="209">
        <v>758</v>
      </c>
      <c r="B25" s="209">
        <v>500</v>
      </c>
      <c r="C25" s="209">
        <v>2</v>
      </c>
      <c r="D25" s="210">
        <v>43466</v>
      </c>
      <c r="E25" s="210">
        <v>28424</v>
      </c>
      <c r="F25" s="210">
        <v>37872</v>
      </c>
      <c r="G25" s="210">
        <v>52171</v>
      </c>
    </row>
    <row r="26" spans="1:7" x14ac:dyDescent="0.25">
      <c r="A26" s="209">
        <v>757</v>
      </c>
      <c r="B26" s="209">
        <v>500</v>
      </c>
      <c r="C26" s="209">
        <v>1</v>
      </c>
      <c r="D26" s="210">
        <v>43466</v>
      </c>
      <c r="E26" s="210">
        <v>26031</v>
      </c>
      <c r="F26" s="210">
        <v>37834</v>
      </c>
      <c r="G26" s="210">
        <v>49796</v>
      </c>
    </row>
    <row r="27" spans="1:7" x14ac:dyDescent="0.25">
      <c r="A27" s="209">
        <v>756</v>
      </c>
      <c r="B27" s="209">
        <v>500</v>
      </c>
      <c r="C27" s="209">
        <v>2</v>
      </c>
      <c r="D27" s="210">
        <v>43466</v>
      </c>
      <c r="E27" s="210">
        <v>25270</v>
      </c>
      <c r="F27" s="210">
        <v>37838</v>
      </c>
      <c r="G27" s="210">
        <v>49035</v>
      </c>
    </row>
    <row r="28" spans="1:7" x14ac:dyDescent="0.25">
      <c r="A28" s="209">
        <v>755</v>
      </c>
      <c r="B28" s="209">
        <v>500</v>
      </c>
      <c r="C28" s="209">
        <v>2</v>
      </c>
      <c r="D28" s="210">
        <v>43466</v>
      </c>
      <c r="E28" s="210">
        <v>27589</v>
      </c>
      <c r="F28" s="210">
        <v>37725</v>
      </c>
      <c r="G28" s="210">
        <v>51349</v>
      </c>
    </row>
    <row r="29" spans="1:7" x14ac:dyDescent="0.25">
      <c r="A29" s="209">
        <v>754</v>
      </c>
      <c r="B29" s="209">
        <v>600</v>
      </c>
      <c r="C29" s="209">
        <v>2</v>
      </c>
      <c r="D29" s="210">
        <v>43466</v>
      </c>
      <c r="E29" s="210">
        <v>29228</v>
      </c>
      <c r="F29" s="210">
        <v>37389</v>
      </c>
      <c r="G29" s="210">
        <v>52994</v>
      </c>
    </row>
    <row r="30" spans="1:7" x14ac:dyDescent="0.25">
      <c r="A30" s="209">
        <v>753</v>
      </c>
      <c r="B30" s="209">
        <v>600</v>
      </c>
      <c r="C30" s="209">
        <v>2</v>
      </c>
      <c r="D30" s="210">
        <v>43466</v>
      </c>
      <c r="E30" s="210">
        <v>24637</v>
      </c>
      <c r="F30" s="210">
        <v>37662</v>
      </c>
      <c r="G30" s="210">
        <v>48396</v>
      </c>
    </row>
    <row r="31" spans="1:7" x14ac:dyDescent="0.25">
      <c r="A31" s="209">
        <v>752</v>
      </c>
      <c r="B31" s="209">
        <v>600</v>
      </c>
      <c r="C31" s="209">
        <v>2</v>
      </c>
      <c r="D31" s="210">
        <v>43466</v>
      </c>
      <c r="E31" s="210">
        <v>30177</v>
      </c>
      <c r="F31" s="210">
        <v>37650</v>
      </c>
      <c r="G31" s="210">
        <v>53936</v>
      </c>
    </row>
    <row r="32" spans="1:7" x14ac:dyDescent="0.25">
      <c r="A32" s="209">
        <v>747</v>
      </c>
      <c r="B32" s="209">
        <v>600</v>
      </c>
      <c r="C32" s="209">
        <v>1</v>
      </c>
      <c r="D32" s="210">
        <v>43466</v>
      </c>
      <c r="E32" s="210">
        <v>24370</v>
      </c>
      <c r="F32" s="210">
        <v>37313</v>
      </c>
      <c r="G32" s="210">
        <v>48122</v>
      </c>
    </row>
    <row r="33" spans="1:7" x14ac:dyDescent="0.25">
      <c r="A33" s="209">
        <v>746</v>
      </c>
      <c r="B33" s="209">
        <v>600</v>
      </c>
      <c r="C33" s="209">
        <v>2</v>
      </c>
      <c r="D33" s="210">
        <v>43466</v>
      </c>
      <c r="E33" s="210">
        <v>20453</v>
      </c>
      <c r="F33" s="210">
        <v>37305</v>
      </c>
      <c r="G33" s="210">
        <v>44197</v>
      </c>
    </row>
    <row r="34" spans="1:7" x14ac:dyDescent="0.25">
      <c r="A34" s="209">
        <v>743</v>
      </c>
      <c r="B34" s="209">
        <v>600</v>
      </c>
      <c r="C34" s="209">
        <v>2</v>
      </c>
      <c r="D34" s="210">
        <v>43466</v>
      </c>
      <c r="E34" s="210">
        <v>28474</v>
      </c>
      <c r="F34" s="210">
        <v>37208</v>
      </c>
      <c r="G34" s="210">
        <v>52232</v>
      </c>
    </row>
    <row r="35" spans="1:7" x14ac:dyDescent="0.25">
      <c r="A35" s="209">
        <v>742</v>
      </c>
      <c r="B35" s="209">
        <v>600</v>
      </c>
      <c r="C35" s="209">
        <v>1</v>
      </c>
      <c r="D35" s="210">
        <v>43466</v>
      </c>
      <c r="E35" s="210">
        <v>23997</v>
      </c>
      <c r="F35" s="210">
        <v>37165</v>
      </c>
      <c r="G35" s="210">
        <v>47757</v>
      </c>
    </row>
    <row r="36" spans="1:7" x14ac:dyDescent="0.25">
      <c r="A36" s="209">
        <v>740</v>
      </c>
      <c r="B36" s="209">
        <v>600</v>
      </c>
      <c r="C36" s="209">
        <v>2</v>
      </c>
      <c r="D36" s="210">
        <v>43466</v>
      </c>
      <c r="E36" s="210">
        <v>27401</v>
      </c>
      <c r="F36" s="210">
        <v>37144</v>
      </c>
      <c r="G36" s="210">
        <v>51167</v>
      </c>
    </row>
    <row r="37" spans="1:7" x14ac:dyDescent="0.25">
      <c r="A37" s="209">
        <v>734</v>
      </c>
      <c r="B37" s="209">
        <v>600</v>
      </c>
      <c r="C37" s="209">
        <v>2</v>
      </c>
      <c r="D37" s="210">
        <v>43466</v>
      </c>
      <c r="E37" s="210">
        <v>20788</v>
      </c>
      <c r="F37" s="210">
        <v>36937</v>
      </c>
      <c r="G37" s="210">
        <v>44531</v>
      </c>
    </row>
    <row r="38" spans="1:7" x14ac:dyDescent="0.25">
      <c r="A38" s="209">
        <v>732</v>
      </c>
      <c r="B38" s="209">
        <v>600</v>
      </c>
      <c r="C38" s="209">
        <v>1</v>
      </c>
      <c r="D38" s="210">
        <v>43466</v>
      </c>
      <c r="E38" s="210">
        <v>27872</v>
      </c>
      <c r="F38" s="210">
        <v>36794</v>
      </c>
      <c r="G38" s="210">
        <v>51622</v>
      </c>
    </row>
    <row r="39" spans="1:7" x14ac:dyDescent="0.25">
      <c r="A39" s="209">
        <v>730</v>
      </c>
      <c r="B39" s="209">
        <v>600</v>
      </c>
      <c r="C39" s="209">
        <v>1</v>
      </c>
      <c r="D39" s="210">
        <v>43466</v>
      </c>
      <c r="E39" s="210">
        <v>25355</v>
      </c>
      <c r="F39" s="210">
        <v>36712</v>
      </c>
      <c r="G39" s="210">
        <v>49126</v>
      </c>
    </row>
    <row r="40" spans="1:7" x14ac:dyDescent="0.25">
      <c r="A40" s="209">
        <v>729</v>
      </c>
      <c r="B40" s="209">
        <v>600</v>
      </c>
      <c r="C40" s="209">
        <v>1</v>
      </c>
      <c r="D40" s="210">
        <v>43466</v>
      </c>
      <c r="E40" s="210">
        <v>28442</v>
      </c>
      <c r="F40" s="210">
        <v>36675</v>
      </c>
      <c r="G40" s="210">
        <v>52201</v>
      </c>
    </row>
    <row r="41" spans="1:7" x14ac:dyDescent="0.25">
      <c r="A41" s="209">
        <v>726</v>
      </c>
      <c r="B41" s="209">
        <v>600</v>
      </c>
      <c r="C41" s="209">
        <v>2</v>
      </c>
      <c r="D41" s="210">
        <v>43466</v>
      </c>
      <c r="E41" s="210">
        <v>20193</v>
      </c>
      <c r="F41" s="210">
        <v>36612</v>
      </c>
      <c r="G41" s="210">
        <v>43952</v>
      </c>
    </row>
    <row r="42" spans="1:7" x14ac:dyDescent="0.25">
      <c r="A42" s="209">
        <v>721</v>
      </c>
      <c r="B42" s="209">
        <v>600</v>
      </c>
      <c r="C42" s="209">
        <v>2</v>
      </c>
      <c r="D42" s="210">
        <v>43466</v>
      </c>
      <c r="E42" s="210">
        <v>21923</v>
      </c>
      <c r="F42" s="210">
        <v>36262</v>
      </c>
      <c r="G42" s="210">
        <v>45689</v>
      </c>
    </row>
    <row r="43" spans="1:7" x14ac:dyDescent="0.25">
      <c r="A43" s="209">
        <v>718</v>
      </c>
      <c r="B43" s="209">
        <v>600</v>
      </c>
      <c r="C43" s="209">
        <v>2</v>
      </c>
      <c r="D43" s="210">
        <v>43466</v>
      </c>
      <c r="E43" s="210">
        <v>23160</v>
      </c>
      <c r="F43" s="210">
        <v>36787</v>
      </c>
      <c r="G43" s="210">
        <v>46905</v>
      </c>
    </row>
    <row r="44" spans="1:7" x14ac:dyDescent="0.25">
      <c r="A44" s="209">
        <v>714</v>
      </c>
      <c r="B44" s="209">
        <v>600</v>
      </c>
      <c r="C44" s="209">
        <v>2</v>
      </c>
      <c r="D44" s="210">
        <v>43466</v>
      </c>
      <c r="E44" s="210">
        <v>23746</v>
      </c>
      <c r="F44" s="210">
        <v>36556</v>
      </c>
      <c r="G44" s="210">
        <v>47515</v>
      </c>
    </row>
    <row r="45" spans="1:7" x14ac:dyDescent="0.25">
      <c r="A45" s="209">
        <v>709</v>
      </c>
      <c r="B45" s="209">
        <v>600</v>
      </c>
      <c r="C45" s="209">
        <v>1</v>
      </c>
      <c r="D45" s="210">
        <v>43466</v>
      </c>
      <c r="E45" s="210">
        <v>27512</v>
      </c>
      <c r="F45" s="210">
        <v>35570</v>
      </c>
      <c r="G45" s="210">
        <v>51257</v>
      </c>
    </row>
    <row r="46" spans="1:7" x14ac:dyDescent="0.25">
      <c r="A46" s="209">
        <v>703</v>
      </c>
      <c r="B46" s="209">
        <v>600</v>
      </c>
      <c r="C46" s="209">
        <v>2</v>
      </c>
      <c r="D46" s="210">
        <v>43466</v>
      </c>
      <c r="E46" s="210">
        <v>28096</v>
      </c>
      <c r="F46" s="210">
        <v>35278</v>
      </c>
      <c r="G46" s="210">
        <v>51867</v>
      </c>
    </row>
    <row r="47" spans="1:7" x14ac:dyDescent="0.25">
      <c r="A47" s="209">
        <v>698</v>
      </c>
      <c r="B47" s="209">
        <v>600</v>
      </c>
      <c r="C47" s="209">
        <v>2</v>
      </c>
      <c r="D47" s="210">
        <v>43466</v>
      </c>
      <c r="E47" s="210">
        <v>28003</v>
      </c>
      <c r="F47" s="210">
        <v>35087</v>
      </c>
      <c r="G47" s="210">
        <v>51745</v>
      </c>
    </row>
    <row r="48" spans="1:7" x14ac:dyDescent="0.25">
      <c r="A48" s="209">
        <v>697</v>
      </c>
      <c r="B48" s="209">
        <v>600</v>
      </c>
      <c r="C48" s="209">
        <v>1</v>
      </c>
      <c r="D48" s="210">
        <v>43466</v>
      </c>
      <c r="E48" s="210">
        <v>22299</v>
      </c>
      <c r="F48" s="210">
        <v>35735</v>
      </c>
      <c r="G48" s="210">
        <v>46054</v>
      </c>
    </row>
    <row r="49" spans="1:7" x14ac:dyDescent="0.25">
      <c r="A49" s="209">
        <v>696</v>
      </c>
      <c r="B49" s="209">
        <v>600</v>
      </c>
      <c r="C49" s="209">
        <v>1</v>
      </c>
      <c r="D49" s="210">
        <v>43466</v>
      </c>
      <c r="E49" s="210">
        <v>24522</v>
      </c>
      <c r="F49" s="210">
        <v>35317</v>
      </c>
      <c r="G49" s="210">
        <v>48274</v>
      </c>
    </row>
    <row r="50" spans="1:7" x14ac:dyDescent="0.25">
      <c r="A50" s="209">
        <v>694</v>
      </c>
      <c r="B50" s="209">
        <v>600</v>
      </c>
      <c r="C50" s="209">
        <v>2</v>
      </c>
      <c r="D50" s="210">
        <v>43466</v>
      </c>
      <c r="E50" s="210">
        <v>25906</v>
      </c>
      <c r="F50" s="210">
        <v>34877</v>
      </c>
      <c r="G50" s="210">
        <v>49675</v>
      </c>
    </row>
    <row r="51" spans="1:7" x14ac:dyDescent="0.25">
      <c r="A51" s="209">
        <v>687</v>
      </c>
      <c r="B51" s="209">
        <v>600</v>
      </c>
      <c r="C51" s="209">
        <v>1</v>
      </c>
      <c r="D51" s="210">
        <v>43466</v>
      </c>
      <c r="E51" s="210">
        <v>24824</v>
      </c>
      <c r="F51" s="210">
        <v>34680</v>
      </c>
      <c r="G51" s="210">
        <v>48580</v>
      </c>
    </row>
    <row r="52" spans="1:7" x14ac:dyDescent="0.25">
      <c r="A52" s="209">
        <v>685</v>
      </c>
      <c r="B52" s="209">
        <v>600</v>
      </c>
      <c r="C52" s="209">
        <v>2</v>
      </c>
      <c r="D52" s="210">
        <v>43466</v>
      </c>
      <c r="E52" s="210">
        <v>26760</v>
      </c>
      <c r="F52" s="210">
        <v>34579</v>
      </c>
      <c r="G52" s="210">
        <v>50526</v>
      </c>
    </row>
    <row r="53" spans="1:7" x14ac:dyDescent="0.25">
      <c r="A53" s="209">
        <v>684</v>
      </c>
      <c r="B53" s="209">
        <v>600</v>
      </c>
      <c r="C53" s="209">
        <v>2</v>
      </c>
      <c r="D53" s="210">
        <v>43466</v>
      </c>
      <c r="E53" s="210">
        <v>23963</v>
      </c>
      <c r="F53" s="210">
        <v>34575</v>
      </c>
      <c r="G53" s="210">
        <v>47727</v>
      </c>
    </row>
    <row r="54" spans="1:7" x14ac:dyDescent="0.25">
      <c r="A54" s="209">
        <v>681</v>
      </c>
      <c r="B54" s="209">
        <v>600</v>
      </c>
      <c r="C54" s="209">
        <v>1</v>
      </c>
      <c r="D54" s="210">
        <v>43466</v>
      </c>
      <c r="E54" s="210">
        <v>23714</v>
      </c>
      <c r="F54" s="210">
        <v>34421</v>
      </c>
      <c r="G54" s="210">
        <v>47484</v>
      </c>
    </row>
    <row r="55" spans="1:7" x14ac:dyDescent="0.25">
      <c r="A55" s="209">
        <v>655</v>
      </c>
      <c r="B55" s="209">
        <v>600</v>
      </c>
      <c r="C55" s="209">
        <v>2</v>
      </c>
      <c r="D55" s="210">
        <v>43466</v>
      </c>
      <c r="E55" s="210">
        <v>26729</v>
      </c>
      <c r="F55" s="210">
        <v>33686</v>
      </c>
      <c r="G55" s="210">
        <v>50496</v>
      </c>
    </row>
    <row r="56" spans="1:7" x14ac:dyDescent="0.25">
      <c r="A56" s="209">
        <v>644</v>
      </c>
      <c r="B56" s="209">
        <v>600</v>
      </c>
      <c r="C56" s="209">
        <v>1</v>
      </c>
      <c r="D56" s="210">
        <v>43466</v>
      </c>
      <c r="E56" s="210">
        <v>23427</v>
      </c>
      <c r="F56" s="210">
        <v>33448</v>
      </c>
      <c r="G56" s="210">
        <v>47178</v>
      </c>
    </row>
    <row r="57" spans="1:7" x14ac:dyDescent="0.25">
      <c r="A57" s="209">
        <v>634</v>
      </c>
      <c r="B57" s="209">
        <v>600</v>
      </c>
      <c r="C57" s="209">
        <v>1</v>
      </c>
      <c r="D57" s="210">
        <v>43466</v>
      </c>
      <c r="E57" s="210">
        <v>23298</v>
      </c>
      <c r="F57" s="210">
        <v>33073</v>
      </c>
      <c r="G57" s="210">
        <v>47058</v>
      </c>
    </row>
    <row r="58" spans="1:7" x14ac:dyDescent="0.25">
      <c r="A58" s="209">
        <v>625</v>
      </c>
      <c r="B58" s="209">
        <v>600</v>
      </c>
      <c r="C58" s="209">
        <v>1</v>
      </c>
      <c r="D58" s="210">
        <v>43466</v>
      </c>
      <c r="E58" s="210">
        <v>24234</v>
      </c>
      <c r="F58" s="210">
        <v>32923</v>
      </c>
      <c r="G58" s="210">
        <v>48000</v>
      </c>
    </row>
    <row r="59" spans="1:7" x14ac:dyDescent="0.25">
      <c r="A59" s="209">
        <v>624</v>
      </c>
      <c r="B59" s="209">
        <v>600</v>
      </c>
      <c r="C59" s="209">
        <v>1</v>
      </c>
      <c r="D59" s="210">
        <v>43466</v>
      </c>
      <c r="E59" s="210">
        <v>20923</v>
      </c>
      <c r="F59" s="210">
        <v>32905</v>
      </c>
      <c r="G59" s="210">
        <v>44682</v>
      </c>
    </row>
    <row r="60" spans="1:7" x14ac:dyDescent="0.25">
      <c r="A60" s="209">
        <v>620</v>
      </c>
      <c r="B60" s="209">
        <v>600</v>
      </c>
      <c r="C60" s="209">
        <v>2</v>
      </c>
      <c r="D60" s="210">
        <v>43466</v>
      </c>
      <c r="E60" s="210">
        <v>26022</v>
      </c>
      <c r="F60" s="210">
        <v>32818</v>
      </c>
      <c r="G60" s="210">
        <v>49766</v>
      </c>
    </row>
    <row r="61" spans="1:7" x14ac:dyDescent="0.25">
      <c r="A61" s="209">
        <v>588</v>
      </c>
      <c r="B61" s="209">
        <v>600</v>
      </c>
      <c r="C61" s="209">
        <v>2</v>
      </c>
      <c r="D61" s="210">
        <v>43466</v>
      </c>
      <c r="E61" s="210">
        <v>21913</v>
      </c>
      <c r="F61" s="210">
        <v>32370</v>
      </c>
      <c r="G61" s="210">
        <v>45658</v>
      </c>
    </row>
    <row r="62" spans="1:7" x14ac:dyDescent="0.25">
      <c r="A62" s="209">
        <v>584</v>
      </c>
      <c r="B62" s="209">
        <v>600</v>
      </c>
      <c r="C62" s="209">
        <v>2</v>
      </c>
      <c r="D62" s="210">
        <v>43466</v>
      </c>
      <c r="E62" s="210">
        <v>21791</v>
      </c>
      <c r="F62" s="210">
        <v>32335</v>
      </c>
      <c r="G62" s="210">
        <v>45536</v>
      </c>
    </row>
    <row r="63" spans="1:7" x14ac:dyDescent="0.25">
      <c r="A63" s="209">
        <v>580</v>
      </c>
      <c r="B63" s="209">
        <v>600</v>
      </c>
      <c r="C63" s="209">
        <v>1</v>
      </c>
      <c r="D63" s="210">
        <v>43466</v>
      </c>
      <c r="E63" s="210">
        <v>22394</v>
      </c>
      <c r="F63" s="210">
        <v>32295</v>
      </c>
      <c r="G63" s="210">
        <v>46143</v>
      </c>
    </row>
    <row r="64" spans="1:7" x14ac:dyDescent="0.25">
      <c r="A64" s="209">
        <v>579</v>
      </c>
      <c r="B64" s="209">
        <v>600</v>
      </c>
      <c r="C64" s="209">
        <v>2</v>
      </c>
      <c r="D64" s="210">
        <v>43466</v>
      </c>
      <c r="E64" s="210">
        <v>24442</v>
      </c>
      <c r="F64" s="210">
        <v>32295</v>
      </c>
      <c r="G64" s="210">
        <v>48214</v>
      </c>
    </row>
    <row r="65" spans="1:7" x14ac:dyDescent="0.25">
      <c r="A65" s="209">
        <v>576</v>
      </c>
      <c r="B65" s="209">
        <v>600</v>
      </c>
      <c r="C65" s="209">
        <v>1</v>
      </c>
      <c r="D65" s="210">
        <v>43466</v>
      </c>
      <c r="E65" s="210">
        <v>23245</v>
      </c>
      <c r="F65" s="210">
        <v>32287</v>
      </c>
      <c r="G65" s="210">
        <v>46997</v>
      </c>
    </row>
    <row r="66" spans="1:7" x14ac:dyDescent="0.25">
      <c r="A66" s="209">
        <v>564</v>
      </c>
      <c r="B66" s="209">
        <v>600</v>
      </c>
      <c r="C66" s="209">
        <v>1</v>
      </c>
      <c r="D66" s="210">
        <v>43466</v>
      </c>
      <c r="E66" s="210">
        <v>23600</v>
      </c>
      <c r="F66" s="210">
        <v>32155</v>
      </c>
      <c r="G66" s="210">
        <v>47362</v>
      </c>
    </row>
    <row r="67" spans="1:7" x14ac:dyDescent="0.25">
      <c r="A67" s="209">
        <v>561</v>
      </c>
      <c r="B67" s="209">
        <v>600</v>
      </c>
      <c r="C67" s="209">
        <v>1</v>
      </c>
      <c r="D67" s="210">
        <v>43466</v>
      </c>
      <c r="E67" s="210">
        <v>22020</v>
      </c>
      <c r="F67" s="210">
        <v>32082</v>
      </c>
      <c r="G67" s="210">
        <v>45778</v>
      </c>
    </row>
    <row r="68" spans="1:7" x14ac:dyDescent="0.25">
      <c r="A68" s="209">
        <v>553</v>
      </c>
      <c r="B68" s="209">
        <v>600</v>
      </c>
      <c r="C68" s="209">
        <v>1</v>
      </c>
      <c r="D68" s="210">
        <v>43466</v>
      </c>
      <c r="E68" s="210">
        <v>24643</v>
      </c>
      <c r="F68" s="210">
        <v>31982</v>
      </c>
      <c r="G68" s="210">
        <v>48396</v>
      </c>
    </row>
    <row r="69" spans="1:7" x14ac:dyDescent="0.25">
      <c r="A69" s="209">
        <v>547</v>
      </c>
      <c r="B69" s="209">
        <v>600</v>
      </c>
      <c r="C69" s="209">
        <v>1</v>
      </c>
      <c r="D69" s="210">
        <v>43466</v>
      </c>
      <c r="E69" s="210">
        <v>24633</v>
      </c>
      <c r="F69" s="210">
        <v>31750</v>
      </c>
      <c r="G69" s="210">
        <v>48396</v>
      </c>
    </row>
    <row r="70" spans="1:7" x14ac:dyDescent="0.25">
      <c r="A70" s="209">
        <v>524</v>
      </c>
      <c r="B70" s="209">
        <v>600</v>
      </c>
      <c r="C70" s="209">
        <v>1</v>
      </c>
      <c r="D70" s="210">
        <v>43466</v>
      </c>
      <c r="E70" s="210">
        <v>20588</v>
      </c>
      <c r="F70" s="210">
        <v>31491</v>
      </c>
      <c r="G70" s="210">
        <v>44348</v>
      </c>
    </row>
    <row r="71" spans="1:7" x14ac:dyDescent="0.25">
      <c r="A71" s="209">
        <v>514</v>
      </c>
      <c r="B71" s="209">
        <v>600</v>
      </c>
      <c r="C71" s="209">
        <v>1</v>
      </c>
      <c r="D71" s="210">
        <v>43466</v>
      </c>
      <c r="E71" s="210">
        <v>23002</v>
      </c>
      <c r="F71" s="210">
        <v>31188</v>
      </c>
      <c r="G71" s="210">
        <v>46753</v>
      </c>
    </row>
    <row r="72" spans="1:7" x14ac:dyDescent="0.25">
      <c r="A72" s="209">
        <v>498</v>
      </c>
      <c r="B72" s="209">
        <v>600</v>
      </c>
      <c r="C72" s="209">
        <v>1</v>
      </c>
      <c r="D72" s="210">
        <v>43466</v>
      </c>
      <c r="E72" s="210">
        <v>22716</v>
      </c>
      <c r="F72" s="210">
        <v>30984</v>
      </c>
      <c r="G72" s="210">
        <v>46478</v>
      </c>
    </row>
    <row r="73" spans="1:7" x14ac:dyDescent="0.25">
      <c r="A73" s="209">
        <v>482</v>
      </c>
      <c r="B73" s="209">
        <v>600</v>
      </c>
      <c r="C73" s="209">
        <v>2</v>
      </c>
      <c r="D73" s="210">
        <v>43466</v>
      </c>
      <c r="E73" s="210">
        <v>21953</v>
      </c>
      <c r="F73" s="210">
        <v>30819</v>
      </c>
      <c r="G73" s="210">
        <v>45717</v>
      </c>
    </row>
    <row r="74" spans="1:7" x14ac:dyDescent="0.25">
      <c r="A74" s="209">
        <v>481</v>
      </c>
      <c r="B74" s="209">
        <v>600</v>
      </c>
      <c r="C74" s="209">
        <v>2</v>
      </c>
      <c r="D74" s="210">
        <v>43466</v>
      </c>
      <c r="E74" s="210">
        <v>20679</v>
      </c>
      <c r="F74" s="210">
        <v>30816</v>
      </c>
      <c r="G74" s="210">
        <v>44440</v>
      </c>
    </row>
    <row r="75" spans="1:7" x14ac:dyDescent="0.25">
      <c r="A75" s="209">
        <v>474</v>
      </c>
      <c r="B75" s="209">
        <v>600</v>
      </c>
      <c r="C75" s="209">
        <v>1</v>
      </c>
      <c r="D75" s="210">
        <v>43466</v>
      </c>
      <c r="E75" s="210">
        <v>22781</v>
      </c>
      <c r="F75" s="210">
        <v>30684</v>
      </c>
      <c r="G75" s="210">
        <v>46539</v>
      </c>
    </row>
    <row r="76" spans="1:7" x14ac:dyDescent="0.25">
      <c r="A76" s="209">
        <v>452</v>
      </c>
      <c r="B76" s="209">
        <v>600</v>
      </c>
      <c r="C76" s="209">
        <v>1</v>
      </c>
      <c r="D76" s="210">
        <v>43466</v>
      </c>
      <c r="E76" s="210">
        <v>20988</v>
      </c>
      <c r="F76" s="210">
        <v>30187</v>
      </c>
      <c r="G76" s="210">
        <v>44743</v>
      </c>
    </row>
    <row r="77" spans="1:7" x14ac:dyDescent="0.25">
      <c r="A77" s="209">
        <v>391</v>
      </c>
      <c r="B77" s="209">
        <v>600</v>
      </c>
      <c r="C77" s="209">
        <v>2</v>
      </c>
      <c r="D77" s="210">
        <v>43466</v>
      </c>
      <c r="E77" s="210">
        <v>22007</v>
      </c>
      <c r="F77" s="210">
        <v>29619</v>
      </c>
      <c r="G77" s="210">
        <v>45778</v>
      </c>
    </row>
    <row r="78" spans="1:7" x14ac:dyDescent="0.25">
      <c r="A78" s="209">
        <v>386</v>
      </c>
      <c r="B78" s="209">
        <v>600</v>
      </c>
      <c r="C78" s="209">
        <v>1</v>
      </c>
      <c r="D78" s="210">
        <v>43466</v>
      </c>
      <c r="E78" s="210">
        <v>21024</v>
      </c>
      <c r="F78" s="210">
        <v>29557</v>
      </c>
      <c r="G78" s="210">
        <v>44774</v>
      </c>
    </row>
    <row r="79" spans="1:7" x14ac:dyDescent="0.25">
      <c r="A79" s="209">
        <v>360</v>
      </c>
      <c r="B79" s="209">
        <v>600</v>
      </c>
      <c r="C79" s="209">
        <v>1</v>
      </c>
      <c r="D79" s="210">
        <v>43466</v>
      </c>
      <c r="E79" s="210">
        <v>20657</v>
      </c>
      <c r="F79" s="210">
        <v>29373</v>
      </c>
      <c r="G79" s="210">
        <v>44409</v>
      </c>
    </row>
    <row r="80" spans="1:7" x14ac:dyDescent="0.25">
      <c r="A80" s="209">
        <v>316</v>
      </c>
      <c r="B80" s="209">
        <v>600</v>
      </c>
      <c r="C80" s="209">
        <v>2</v>
      </c>
      <c r="D80" s="210">
        <v>43466</v>
      </c>
      <c r="E80" s="210">
        <v>21316</v>
      </c>
      <c r="F80" s="210">
        <v>28185</v>
      </c>
      <c r="G80" s="210">
        <v>45078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5"/>
  <sheetViews>
    <sheetView showGridLines="0" workbookViewId="0">
      <pane ySplit="9" topLeftCell="A10" activePane="bottomLeft" state="frozen"/>
      <selection pane="bottomLeft" activeCell="F15" sqref="F15"/>
    </sheetView>
  </sheetViews>
  <sheetFormatPr defaultColWidth="11.5546875" defaultRowHeight="13.2" x14ac:dyDescent="0.25"/>
  <cols>
    <col min="1" max="1" width="15.77734375" customWidth="1"/>
    <col min="2" max="2" width="3.5546875" customWidth="1"/>
    <col min="3" max="4" width="23.33203125" bestFit="1" customWidth="1"/>
    <col min="5" max="5" width="12.109375" bestFit="1" customWidth="1"/>
    <col min="6" max="6" width="12.109375" customWidth="1"/>
    <col min="7" max="8" width="23.33203125" bestFit="1" customWidth="1"/>
    <col min="9" max="9" width="12.109375" bestFit="1" customWidth="1"/>
    <col min="10" max="11" width="8.77734375" customWidth="1"/>
    <col min="12" max="12" width="2.77734375" customWidth="1"/>
    <col min="13" max="14" width="23.33203125" bestFit="1" customWidth="1"/>
    <col min="15" max="15" width="12.109375" bestFit="1" customWidth="1"/>
    <col min="16" max="16" width="8.77734375" customWidth="1"/>
    <col min="17" max="18" width="23.33203125" bestFit="1" customWidth="1"/>
    <col min="19" max="19" width="12.109375" style="1" bestFit="1" customWidth="1"/>
    <col min="20" max="258" width="8.77734375" customWidth="1"/>
  </cols>
  <sheetData>
    <row r="1" spans="1:19" x14ac:dyDescent="0.25">
      <c r="A1" s="87" t="s">
        <v>14</v>
      </c>
      <c r="B1" s="88"/>
      <c r="C1" s="82"/>
      <c r="K1" s="12"/>
      <c r="L1" s="12"/>
    </row>
    <row r="2" spans="1:19" ht="13.8" thickBot="1" x14ac:dyDescent="0.3">
      <c r="A2" s="91" t="s">
        <v>13</v>
      </c>
      <c r="B2" s="89"/>
      <c r="C2" s="90" t="s">
        <v>12</v>
      </c>
      <c r="K2" s="12"/>
      <c r="L2" s="12"/>
    </row>
    <row r="3" spans="1:19" ht="13.8" thickBot="1" x14ac:dyDescent="0.3">
      <c r="A3" s="1"/>
      <c r="B3" s="1"/>
      <c r="C3" s="1"/>
      <c r="K3" s="13"/>
      <c r="L3" s="13"/>
      <c r="M3" s="1"/>
      <c r="N3" s="1"/>
      <c r="O3" s="1"/>
    </row>
    <row r="4" spans="1:19" ht="13.8" thickBot="1" x14ac:dyDescent="0.3">
      <c r="A4" s="111" t="s">
        <v>29</v>
      </c>
      <c r="B4" s="112"/>
      <c r="C4" s="112"/>
      <c r="D4" s="112"/>
      <c r="E4" s="112"/>
      <c r="F4" s="112"/>
      <c r="G4" s="112"/>
      <c r="H4" s="112"/>
      <c r="I4" s="113"/>
      <c r="J4" s="8"/>
      <c r="K4" s="111" t="s">
        <v>30</v>
      </c>
      <c r="L4" s="112"/>
      <c r="M4" s="112"/>
      <c r="N4" s="112"/>
      <c r="O4" s="112"/>
      <c r="P4" s="112"/>
      <c r="Q4" s="112"/>
      <c r="R4" s="112"/>
      <c r="S4" s="113"/>
    </row>
    <row r="5" spans="1:19" ht="13.8" thickBot="1" x14ac:dyDescent="0.3">
      <c r="A5" s="21"/>
      <c r="B5" s="21"/>
      <c r="C5" s="21"/>
      <c r="D5" s="21"/>
      <c r="E5" s="21"/>
      <c r="F5" s="21"/>
      <c r="G5" s="21"/>
      <c r="H5" s="21"/>
      <c r="I5" s="21"/>
      <c r="J5" s="8"/>
      <c r="K5" s="83"/>
      <c r="L5" s="83"/>
      <c r="M5" s="83"/>
      <c r="N5" s="83"/>
      <c r="O5" s="83"/>
      <c r="P5" s="86"/>
      <c r="Q5" s="40"/>
      <c r="R5" s="40"/>
      <c r="S5" s="83"/>
    </row>
    <row r="6" spans="1:19" ht="13.8" thickBot="1" x14ac:dyDescent="0.3">
      <c r="A6" s="84"/>
      <c r="B6" s="84"/>
      <c r="C6" s="111" t="s">
        <v>11</v>
      </c>
      <c r="D6" s="112"/>
      <c r="E6" s="113"/>
      <c r="F6" s="21"/>
      <c r="G6" s="124" t="s">
        <v>10</v>
      </c>
      <c r="H6" s="125"/>
      <c r="I6" s="126"/>
      <c r="J6" s="4"/>
      <c r="K6" s="13"/>
      <c r="L6" s="13"/>
      <c r="M6" s="124" t="s">
        <v>11</v>
      </c>
      <c r="N6" s="125"/>
      <c r="O6" s="126"/>
      <c r="Q6" s="124" t="s">
        <v>10</v>
      </c>
      <c r="R6" s="125"/>
      <c r="S6" s="126"/>
    </row>
    <row r="7" spans="1:19" ht="13.8" thickBot="1" x14ac:dyDescent="0.3">
      <c r="A7" s="83"/>
      <c r="B7" s="83"/>
      <c r="C7" s="40"/>
      <c r="D7" s="40"/>
      <c r="E7" s="40"/>
      <c r="F7" s="8"/>
      <c r="K7" s="13"/>
      <c r="L7" s="13"/>
      <c r="M7" s="1"/>
      <c r="N7" s="1"/>
      <c r="O7" s="1"/>
    </row>
    <row r="8" spans="1:19" x14ac:dyDescent="0.25">
      <c r="A8" s="122" t="s">
        <v>7</v>
      </c>
      <c r="B8" s="1"/>
      <c r="C8" s="78" t="s">
        <v>9</v>
      </c>
      <c r="D8" s="79" t="s">
        <v>8</v>
      </c>
      <c r="E8" s="120" t="s">
        <v>31</v>
      </c>
      <c r="F8" s="10"/>
      <c r="G8" s="78" t="s">
        <v>9</v>
      </c>
      <c r="H8" s="79" t="s">
        <v>8</v>
      </c>
      <c r="I8" s="120" t="s">
        <v>31</v>
      </c>
      <c r="J8" s="2"/>
      <c r="K8" s="122" t="s">
        <v>7</v>
      </c>
      <c r="L8" s="13"/>
      <c r="M8" s="78" t="s">
        <v>9</v>
      </c>
      <c r="N8" s="79" t="s">
        <v>8</v>
      </c>
      <c r="O8" s="120" t="s">
        <v>31</v>
      </c>
      <c r="Q8" s="78" t="s">
        <v>9</v>
      </c>
      <c r="R8" s="79" t="s">
        <v>8</v>
      </c>
      <c r="S8" s="120" t="s">
        <v>31</v>
      </c>
    </row>
    <row r="9" spans="1:19" ht="13.8" thickBot="1" x14ac:dyDescent="0.3">
      <c r="A9" s="123"/>
      <c r="B9" s="20"/>
      <c r="C9" s="80" t="s">
        <v>6</v>
      </c>
      <c r="D9" s="81" t="s">
        <v>6</v>
      </c>
      <c r="E9" s="121"/>
      <c r="F9" s="10"/>
      <c r="G9" s="80" t="s">
        <v>6</v>
      </c>
      <c r="H9" s="81" t="s">
        <v>6</v>
      </c>
      <c r="I9" s="121"/>
      <c r="J9" s="2"/>
      <c r="K9" s="123"/>
      <c r="L9" s="14"/>
      <c r="M9" s="80" t="s">
        <v>6</v>
      </c>
      <c r="N9" s="81" t="s">
        <v>6</v>
      </c>
      <c r="O9" s="121"/>
      <c r="Q9" s="80" t="s">
        <v>6</v>
      </c>
      <c r="R9" s="81" t="s">
        <v>6</v>
      </c>
      <c r="S9" s="121"/>
    </row>
    <row r="10" spans="1:19" x14ac:dyDescent="0.25">
      <c r="A10" s="9">
        <v>18</v>
      </c>
      <c r="B10" s="9"/>
      <c r="C10" s="9">
        <v>0.59030000000000005</v>
      </c>
      <c r="D10" s="9">
        <v>0.61870000000000003</v>
      </c>
      <c r="E10" s="85">
        <f>(1-(Assumptions!$B$20))*C10 + (Assumptions!$B$20)*D10</f>
        <v>0.61018000000000006</v>
      </c>
      <c r="F10" s="10"/>
      <c r="G10" s="9">
        <v>0.61980000000000002</v>
      </c>
      <c r="H10" s="9">
        <v>0.64970000000000006</v>
      </c>
      <c r="I10" s="85">
        <f>(1-(Assumptions!$B$20))*G10+(Assumptions!$B$20)*H10</f>
        <v>0.64073000000000002</v>
      </c>
      <c r="J10" s="9"/>
      <c r="K10" s="15">
        <v>18</v>
      </c>
      <c r="L10" s="15"/>
      <c r="M10" s="9">
        <v>0.57220000000000004</v>
      </c>
      <c r="N10" s="9">
        <v>0.60060000000000002</v>
      </c>
      <c r="O10" s="85">
        <f>(1-(Assumptions!$B$20))*M10+(Assumptions!$B$20)*N10</f>
        <v>0.59208000000000005</v>
      </c>
      <c r="Q10" s="9">
        <v>0.60070000000000001</v>
      </c>
      <c r="R10" s="9">
        <v>0.63060000000000005</v>
      </c>
      <c r="S10" s="85">
        <f>(1-(Assumptions!$B$20))*Q10+(Assumptions!$B$20)*R10</f>
        <v>0.62163000000000002</v>
      </c>
    </row>
    <row r="11" spans="1:19" x14ac:dyDescent="0.25">
      <c r="A11" s="9">
        <v>19</v>
      </c>
      <c r="B11" s="9"/>
      <c r="C11" s="9">
        <v>0.62990000000000002</v>
      </c>
      <c r="D11" s="9">
        <v>0.66020000000000001</v>
      </c>
      <c r="E11" s="85">
        <f>(1-(Assumptions!$B$20))*C11 + (Assumptions!$B$20)*D11</f>
        <v>0.65111000000000008</v>
      </c>
      <c r="F11" s="10"/>
      <c r="G11" s="9">
        <v>0.66139999999999999</v>
      </c>
      <c r="H11" s="9">
        <v>0.69320000000000004</v>
      </c>
      <c r="I11" s="85">
        <f>(1-(Assumptions!$B$20))*G11+(Assumptions!$B$20)*H11</f>
        <v>0.68366000000000005</v>
      </c>
      <c r="J11" s="9"/>
      <c r="K11" s="15">
        <v>19</v>
      </c>
      <c r="L11" s="15"/>
      <c r="M11" s="9">
        <v>0.61050000000000004</v>
      </c>
      <c r="N11" s="9">
        <v>0.64080000000000004</v>
      </c>
      <c r="O11" s="85">
        <f>(1-(Assumptions!$B$20))*M11+(Assumptions!$B$20)*N11</f>
        <v>0.63170999999999999</v>
      </c>
      <c r="Q11" s="9">
        <v>0.64100000000000001</v>
      </c>
      <c r="R11" s="9">
        <v>0.67290000000000005</v>
      </c>
      <c r="S11" s="85">
        <f>(1-(Assumptions!$B$20))*Q11+(Assumptions!$B$20)*R11</f>
        <v>0.66332999999999998</v>
      </c>
    </row>
    <row r="12" spans="1:19" x14ac:dyDescent="0.25">
      <c r="A12" s="9">
        <v>20</v>
      </c>
      <c r="B12" s="9"/>
      <c r="C12" s="9">
        <v>0.67210000000000003</v>
      </c>
      <c r="D12" s="9">
        <v>0.70440000000000003</v>
      </c>
      <c r="E12" s="85">
        <f>(1-(Assumptions!$B$20))*C12 + (Assumptions!$B$20)*D12</f>
        <v>0.69470999999999994</v>
      </c>
      <c r="F12" s="10"/>
      <c r="G12" s="9">
        <v>0.70569999999999999</v>
      </c>
      <c r="H12" s="9">
        <v>0.73960000000000004</v>
      </c>
      <c r="I12" s="85">
        <f>(1-(Assumptions!$B$20))*G12+(Assumptions!$B$20)*H12</f>
        <v>0.72943000000000002</v>
      </c>
      <c r="J12" s="9"/>
      <c r="K12" s="15">
        <v>20</v>
      </c>
      <c r="L12" s="15"/>
      <c r="M12" s="9">
        <v>0.65139999999999998</v>
      </c>
      <c r="N12" s="9">
        <v>0.68369999999999997</v>
      </c>
      <c r="O12" s="85">
        <f>(1-(Assumptions!$B$20))*M12+(Assumptions!$B$20)*N12</f>
        <v>0.67401</v>
      </c>
      <c r="Q12" s="9">
        <v>0.68389999999999995</v>
      </c>
      <c r="R12" s="9">
        <v>0.71799999999999997</v>
      </c>
      <c r="S12" s="85">
        <f>(1-(Assumptions!$B$20))*Q12+(Assumptions!$B$20)*R12</f>
        <v>0.70777000000000001</v>
      </c>
    </row>
    <row r="13" spans="1:19" x14ac:dyDescent="0.25">
      <c r="A13" s="9">
        <v>21</v>
      </c>
      <c r="B13" s="9"/>
      <c r="C13" s="9">
        <v>0.71709999999999996</v>
      </c>
      <c r="D13" s="9">
        <v>0.75160000000000005</v>
      </c>
      <c r="E13" s="85">
        <f>(1-(Assumptions!$B$20))*C13 + (Assumptions!$B$20)*D13</f>
        <v>0.74125000000000008</v>
      </c>
      <c r="F13" s="10"/>
      <c r="G13" s="9">
        <v>0.753</v>
      </c>
      <c r="H13" s="9">
        <v>0.78920000000000001</v>
      </c>
      <c r="I13" s="85">
        <f>(1-(Assumptions!$B$20))*G13+(Assumptions!$B$20)*H13</f>
        <v>0.77834000000000003</v>
      </c>
      <c r="J13" s="9"/>
      <c r="K13" s="15">
        <v>21</v>
      </c>
      <c r="L13" s="15"/>
      <c r="M13" s="9">
        <v>0.69499999999999995</v>
      </c>
      <c r="N13" s="9">
        <v>0.72950000000000004</v>
      </c>
      <c r="O13" s="85">
        <f>(1-(Assumptions!$B$20))*M13+(Assumptions!$B$20)*N13</f>
        <v>0.71915000000000007</v>
      </c>
      <c r="Q13" s="9">
        <v>0.72970000000000002</v>
      </c>
      <c r="R13" s="9">
        <v>0.7661</v>
      </c>
      <c r="S13" s="85">
        <f>(1-(Assumptions!$B$20))*Q13+(Assumptions!$B$20)*R13</f>
        <v>0.75517999999999996</v>
      </c>
    </row>
    <row r="14" spans="1:19" x14ac:dyDescent="0.25">
      <c r="A14" s="9">
        <v>22</v>
      </c>
      <c r="B14" s="9"/>
      <c r="C14" s="9">
        <v>0.76519999999999999</v>
      </c>
      <c r="D14" s="9">
        <v>0.80200000000000005</v>
      </c>
      <c r="E14" s="85">
        <f>(1-(Assumptions!$B$20))*C14 + (Assumptions!$B$20)*D14</f>
        <v>0.79096000000000011</v>
      </c>
      <c r="F14" s="10"/>
      <c r="G14" s="9">
        <v>0.8034</v>
      </c>
      <c r="H14" s="9">
        <v>0.84209999999999996</v>
      </c>
      <c r="I14" s="85">
        <f>(1-(Assumptions!$B$20))*G14+(Assumptions!$B$20)*H14</f>
        <v>0.83048999999999995</v>
      </c>
      <c r="J14" s="9"/>
      <c r="K14" s="15">
        <v>22</v>
      </c>
      <c r="L14" s="15"/>
      <c r="M14" s="9">
        <v>0.74160000000000004</v>
      </c>
      <c r="N14" s="9">
        <v>0.77839999999999998</v>
      </c>
      <c r="O14" s="85">
        <f>(1-(Assumptions!$B$20))*M14+(Assumptions!$B$20)*N14</f>
        <v>0.76735999999999993</v>
      </c>
      <c r="Q14" s="9">
        <v>0.77859999999999996</v>
      </c>
      <c r="R14" s="9">
        <v>0.81740000000000002</v>
      </c>
      <c r="S14" s="85">
        <f>(1-(Assumptions!$B$20))*Q14+(Assumptions!$B$20)*R14</f>
        <v>0.80576000000000003</v>
      </c>
    </row>
    <row r="15" spans="1:19" x14ac:dyDescent="0.25">
      <c r="A15" s="9">
        <v>23</v>
      </c>
      <c r="B15" s="9"/>
      <c r="C15" s="9">
        <v>0.81640000000000001</v>
      </c>
      <c r="D15" s="9">
        <v>0.85570000000000002</v>
      </c>
      <c r="E15" s="85">
        <f>(1-(Assumptions!$B$20))*C15 + (Assumptions!$B$20)*D15</f>
        <v>0.84391000000000005</v>
      </c>
      <c r="F15" s="10"/>
      <c r="G15" s="9">
        <v>0.85719999999999996</v>
      </c>
      <c r="H15" s="9">
        <v>0.89849999999999997</v>
      </c>
      <c r="I15" s="85">
        <f>(1-(Assumptions!$B$20))*G15+(Assumptions!$B$20)*H15</f>
        <v>0.88610999999999995</v>
      </c>
      <c r="J15" s="9"/>
      <c r="K15" s="15">
        <v>23</v>
      </c>
      <c r="L15" s="15"/>
      <c r="M15" s="9">
        <v>0.7913</v>
      </c>
      <c r="N15" s="9">
        <v>0.83050000000000002</v>
      </c>
      <c r="O15" s="85">
        <f>(1-(Assumptions!$B$20))*M15+(Assumptions!$B$20)*N15</f>
        <v>0.81874000000000002</v>
      </c>
      <c r="Q15" s="9">
        <v>0.83079999999999998</v>
      </c>
      <c r="R15" s="9">
        <v>0.87219999999999998</v>
      </c>
      <c r="S15" s="85">
        <f>(1-(Assumptions!$B$20))*Q15+(Assumptions!$B$20)*R15</f>
        <v>0.85977999999999999</v>
      </c>
    </row>
    <row r="16" spans="1:19" x14ac:dyDescent="0.25">
      <c r="A16" s="9">
        <v>24</v>
      </c>
      <c r="B16" s="9"/>
      <c r="C16" s="9">
        <v>0.87109999999999999</v>
      </c>
      <c r="D16" s="9">
        <v>0.91300000000000003</v>
      </c>
      <c r="E16" s="85">
        <f>(1-(Assumptions!$B$20))*C16 + (Assumptions!$B$20)*D16</f>
        <v>0.90043000000000006</v>
      </c>
      <c r="F16" s="10"/>
      <c r="G16" s="9">
        <v>0.91469999999999996</v>
      </c>
      <c r="H16" s="9">
        <v>0.9587</v>
      </c>
      <c r="I16" s="85">
        <f>(1-(Assumptions!$B$20))*G16+(Assumptions!$B$20)*H16</f>
        <v>0.94550000000000001</v>
      </c>
      <c r="J16" s="9"/>
      <c r="K16" s="15">
        <v>24</v>
      </c>
      <c r="L16" s="15"/>
      <c r="M16" s="9">
        <v>0.84430000000000005</v>
      </c>
      <c r="N16" s="9">
        <v>0.8861</v>
      </c>
      <c r="O16" s="85">
        <f>(1-(Assumptions!$B$20))*M16+(Assumptions!$B$20)*N16</f>
        <v>0.87356000000000011</v>
      </c>
      <c r="Q16" s="9">
        <v>0.88649999999999995</v>
      </c>
      <c r="R16" s="9">
        <v>0.93059999999999998</v>
      </c>
      <c r="S16" s="85">
        <f>(1-(Assumptions!$B$20))*Q16+(Assumptions!$B$20)*R16</f>
        <v>0.91737000000000002</v>
      </c>
    </row>
    <row r="17" spans="1:19" x14ac:dyDescent="0.25">
      <c r="A17" s="9">
        <v>25</v>
      </c>
      <c r="B17" s="9"/>
      <c r="C17" s="9">
        <v>0.92949999999999999</v>
      </c>
      <c r="D17" s="9">
        <v>0.97419999999999995</v>
      </c>
      <c r="E17" s="85">
        <f>(1-(Assumptions!$B$20))*C17 + (Assumptions!$B$20)*D17</f>
        <v>0.96078999999999992</v>
      </c>
      <c r="F17" s="10"/>
      <c r="G17" s="9">
        <v>0.97599999999999998</v>
      </c>
      <c r="H17" s="9">
        <v>1.0228999999999999</v>
      </c>
      <c r="I17" s="85">
        <f>(1-(Assumptions!$B$20))*G17+(Assumptions!$B$20)*H17</f>
        <v>1.0088300000000001</v>
      </c>
      <c r="J17" s="9"/>
      <c r="K17" s="15">
        <v>25</v>
      </c>
      <c r="L17" s="15"/>
      <c r="M17" s="9">
        <v>0.90090000000000003</v>
      </c>
      <c r="N17" s="9">
        <v>0.94550000000000001</v>
      </c>
      <c r="O17" s="85">
        <f>(1-(Assumptions!$B$20))*M17+(Assumptions!$B$20)*N17</f>
        <v>0.93212000000000006</v>
      </c>
      <c r="Q17" s="9">
        <v>0.94589999999999996</v>
      </c>
      <c r="R17" s="9">
        <v>0.9929</v>
      </c>
      <c r="S17" s="85">
        <f>(1-(Assumptions!$B$20))*Q17+(Assumptions!$B$20)*R17</f>
        <v>0.97879999999999989</v>
      </c>
    </row>
    <row r="18" spans="1:19" x14ac:dyDescent="0.25">
      <c r="A18" s="9">
        <v>26</v>
      </c>
      <c r="B18" s="9"/>
      <c r="C18" s="9">
        <v>0.99180000000000001</v>
      </c>
      <c r="D18" s="9">
        <v>1.0395000000000001</v>
      </c>
      <c r="E18" s="85">
        <f>(1-(Assumptions!$B$20))*C18 + (Assumptions!$B$20)*D18</f>
        <v>1.02519</v>
      </c>
      <c r="F18" s="10"/>
      <c r="G18" s="9">
        <v>1.0412999999999999</v>
      </c>
      <c r="H18" s="9">
        <v>1.0914999999999999</v>
      </c>
      <c r="I18" s="85">
        <f>(1-(Assumptions!$B$20))*G18+(Assumptions!$B$20)*H18</f>
        <v>1.0764399999999998</v>
      </c>
      <c r="J18" s="9"/>
      <c r="K18" s="15">
        <v>26</v>
      </c>
      <c r="L18" s="15"/>
      <c r="M18" s="9">
        <v>0.96130000000000004</v>
      </c>
      <c r="N18" s="9">
        <v>1.0088999999999999</v>
      </c>
      <c r="O18" s="85">
        <f>(1-(Assumptions!$B$20))*M18+(Assumptions!$B$20)*N18</f>
        <v>0.99461999999999995</v>
      </c>
      <c r="Q18" s="9">
        <v>1.0093000000000001</v>
      </c>
      <c r="R18" s="9">
        <v>1.0593999999999999</v>
      </c>
      <c r="S18" s="85">
        <f>(1-(Assumptions!$B$20))*Q18+(Assumptions!$B$20)*R18</f>
        <v>1.04437</v>
      </c>
    </row>
    <row r="19" spans="1:19" x14ac:dyDescent="0.25">
      <c r="A19" s="9">
        <v>27</v>
      </c>
      <c r="B19" s="9"/>
      <c r="C19" s="9">
        <v>1.0582</v>
      </c>
      <c r="D19" s="9">
        <v>1.1091</v>
      </c>
      <c r="E19" s="85">
        <f>(1-(Assumptions!$B$20))*C19 + (Assumptions!$B$20)*D19</f>
        <v>1.0938300000000001</v>
      </c>
      <c r="F19" s="10"/>
      <c r="G19" s="9">
        <v>1.1111</v>
      </c>
      <c r="H19" s="9">
        <v>1.1646000000000001</v>
      </c>
      <c r="I19" s="85">
        <f>(1-(Assumptions!$B$20))*G19+(Assumptions!$B$20)*H19</f>
        <v>1.1485500000000002</v>
      </c>
      <c r="J19" s="9"/>
      <c r="K19" s="15">
        <v>27</v>
      </c>
      <c r="L19" s="15"/>
      <c r="M19" s="9">
        <v>1.0257000000000001</v>
      </c>
      <c r="N19" s="9">
        <v>1.0765</v>
      </c>
      <c r="O19" s="85">
        <f>(1-(Assumptions!$B$20))*M19+(Assumptions!$B$20)*N19</f>
        <v>1.0612599999999999</v>
      </c>
      <c r="Q19" s="9">
        <v>1.0769</v>
      </c>
      <c r="R19" s="9">
        <v>1.1304000000000001</v>
      </c>
      <c r="S19" s="85">
        <f>(1-(Assumptions!$B$20))*Q19+(Assumptions!$B$20)*R19</f>
        <v>1.11435</v>
      </c>
    </row>
    <row r="20" spans="1:19" x14ac:dyDescent="0.25">
      <c r="A20" s="9">
        <v>28</v>
      </c>
      <c r="B20" s="9"/>
      <c r="C20" s="9">
        <v>1.1291</v>
      </c>
      <c r="D20" s="9">
        <v>1.1834</v>
      </c>
      <c r="E20" s="85">
        <f>(1-(Assumptions!$B$20))*C20 + (Assumptions!$B$20)*D20</f>
        <v>1.1671100000000001</v>
      </c>
      <c r="F20" s="10"/>
      <c r="G20" s="9">
        <v>1.1856</v>
      </c>
      <c r="H20" s="9">
        <v>1.2425999999999999</v>
      </c>
      <c r="I20" s="85">
        <f>(1-(Assumptions!$B$20))*G20+(Assumptions!$B$20)*H20</f>
        <v>1.2255</v>
      </c>
      <c r="J20" s="9"/>
      <c r="K20" s="15">
        <v>28</v>
      </c>
      <c r="L20" s="15"/>
      <c r="M20" s="9">
        <v>1.0944</v>
      </c>
      <c r="N20" s="9">
        <v>1.1486000000000001</v>
      </c>
      <c r="O20" s="85">
        <f>(1-(Assumptions!$B$20))*M20+(Assumptions!$B$20)*N20</f>
        <v>1.1323400000000001</v>
      </c>
      <c r="Q20" s="9">
        <v>1.1491</v>
      </c>
      <c r="R20" s="9">
        <v>1.2060999999999999</v>
      </c>
      <c r="S20" s="85">
        <f>(1-(Assumptions!$B$20))*Q20+(Assumptions!$B$20)*R20</f>
        <v>1.1890000000000001</v>
      </c>
    </row>
    <row r="21" spans="1:19" x14ac:dyDescent="0.25">
      <c r="A21" s="9">
        <v>29</v>
      </c>
      <c r="B21" s="9"/>
      <c r="C21" s="9">
        <v>1.2048000000000001</v>
      </c>
      <c r="D21" s="9">
        <v>1.2626999999999999</v>
      </c>
      <c r="E21" s="85">
        <f>(1-(Assumptions!$B$20))*C21 + (Assumptions!$B$20)*D21</f>
        <v>1.24533</v>
      </c>
      <c r="F21" s="10"/>
      <c r="G21" s="9">
        <v>1.2649999999999999</v>
      </c>
      <c r="H21" s="9">
        <v>1.3259000000000001</v>
      </c>
      <c r="I21" s="85">
        <f>(1-(Assumptions!$B$20))*G21+(Assumptions!$B$20)*H21</f>
        <v>1.3076300000000001</v>
      </c>
      <c r="J21" s="9"/>
      <c r="K21" s="15">
        <v>29</v>
      </c>
      <c r="L21" s="15"/>
      <c r="M21" s="9">
        <v>1.1677</v>
      </c>
      <c r="N21" s="9">
        <v>1.2256</v>
      </c>
      <c r="O21" s="85">
        <f>(1-(Assumptions!$B$20))*M21+(Assumptions!$B$20)*N21</f>
        <v>1.2082300000000001</v>
      </c>
      <c r="Q21" s="9">
        <v>1.2261</v>
      </c>
      <c r="R21" s="9">
        <v>1.2868999999999999</v>
      </c>
      <c r="S21" s="85">
        <f>(1-(Assumptions!$B$20))*Q21+(Assumptions!$B$20)*R21</f>
        <v>1.2686599999999999</v>
      </c>
    </row>
    <row r="22" spans="1:19" x14ac:dyDescent="0.25">
      <c r="A22" s="9">
        <v>30</v>
      </c>
      <c r="B22" s="9"/>
      <c r="C22" s="9">
        <v>1.2855000000000001</v>
      </c>
      <c r="D22" s="9">
        <v>1.3472999999999999</v>
      </c>
      <c r="E22" s="85">
        <f>(1-(Assumptions!$B$20))*C22 + (Assumptions!$B$20)*D22</f>
        <v>1.3287599999999999</v>
      </c>
      <c r="F22" s="10"/>
      <c r="G22" s="9">
        <v>1.3496999999999999</v>
      </c>
      <c r="H22" s="9">
        <v>1.4147000000000001</v>
      </c>
      <c r="I22" s="85">
        <f>(1-(Assumptions!$B$20))*G22+(Assumptions!$B$20)*H22</f>
        <v>1.3952</v>
      </c>
      <c r="J22" s="9"/>
      <c r="K22" s="15">
        <v>30</v>
      </c>
      <c r="L22" s="15"/>
      <c r="M22" s="9">
        <v>1.2459</v>
      </c>
      <c r="N22" s="9">
        <v>1.3077000000000001</v>
      </c>
      <c r="O22" s="85">
        <f>(1-(Assumptions!$B$20))*M22+(Assumptions!$B$20)*N22</f>
        <v>1.2891600000000001</v>
      </c>
      <c r="Q22" s="9">
        <v>1.3082</v>
      </c>
      <c r="R22" s="9">
        <v>1.3731</v>
      </c>
      <c r="S22" s="85">
        <f>(1-(Assumptions!$B$20))*Q22+(Assumptions!$B$20)*R22</f>
        <v>1.3536300000000001</v>
      </c>
    </row>
    <row r="23" spans="1:19" x14ac:dyDescent="0.25">
      <c r="A23" s="9">
        <v>31</v>
      </c>
      <c r="B23" s="9"/>
      <c r="C23" s="9">
        <v>1.3715999999999999</v>
      </c>
      <c r="D23" s="9">
        <v>1.4376</v>
      </c>
      <c r="E23" s="85">
        <f>(1-(Assumptions!$B$20))*C23 + (Assumptions!$B$20)*D23</f>
        <v>1.4177999999999999</v>
      </c>
      <c r="F23" s="10"/>
      <c r="G23" s="9">
        <v>1.4401999999999999</v>
      </c>
      <c r="H23" s="9">
        <v>1.5095000000000001</v>
      </c>
      <c r="I23" s="85">
        <f>(1-(Assumptions!$B$20))*G23+(Assumptions!$B$20)*H23</f>
        <v>1.48871</v>
      </c>
      <c r="J23" s="9"/>
      <c r="K23" s="15">
        <v>31</v>
      </c>
      <c r="L23" s="15"/>
      <c r="M23" s="9">
        <v>1.3293999999999999</v>
      </c>
      <c r="N23" s="9">
        <v>1.3953</v>
      </c>
      <c r="O23" s="85">
        <f>(1-(Assumptions!$B$20))*M23+(Assumptions!$B$20)*N23</f>
        <v>1.3755299999999999</v>
      </c>
      <c r="Q23" s="9">
        <v>1.3958999999999999</v>
      </c>
      <c r="R23" s="9">
        <v>1.4651000000000001</v>
      </c>
      <c r="S23" s="85">
        <f>(1-(Assumptions!$B$20))*Q23+(Assumptions!$B$20)*R23</f>
        <v>1.4443400000000002</v>
      </c>
    </row>
    <row r="24" spans="1:19" x14ac:dyDescent="0.25">
      <c r="A24" s="9">
        <v>32</v>
      </c>
      <c r="B24" s="9"/>
      <c r="C24" s="9">
        <v>1.4635</v>
      </c>
      <c r="D24" s="9">
        <v>1.5339</v>
      </c>
      <c r="E24" s="85">
        <f>(1-(Assumptions!$B$20))*C24 + (Assumptions!$B$20)*D24</f>
        <v>1.5127799999999998</v>
      </c>
      <c r="F24" s="10"/>
      <c r="G24" s="9">
        <v>1.5367</v>
      </c>
      <c r="H24" s="9">
        <v>1.6106</v>
      </c>
      <c r="I24" s="85">
        <f>(1-(Assumptions!$B$20))*G24+(Assumptions!$B$20)*H24</f>
        <v>1.5884299999999998</v>
      </c>
      <c r="J24" s="9"/>
      <c r="K24" s="15">
        <v>32</v>
      </c>
      <c r="L24" s="15"/>
      <c r="M24" s="9">
        <v>1.4185000000000001</v>
      </c>
      <c r="N24" s="9">
        <v>1.4887999999999999</v>
      </c>
      <c r="O24" s="85">
        <f>(1-(Assumptions!$B$20))*M24+(Assumptions!$B$20)*N24</f>
        <v>1.4677100000000001</v>
      </c>
      <c r="Q24" s="9">
        <v>1.4894000000000001</v>
      </c>
      <c r="R24" s="9">
        <v>1.5632999999999999</v>
      </c>
      <c r="S24" s="85">
        <f>(1-(Assumptions!$B$20))*Q24+(Assumptions!$B$20)*R24</f>
        <v>1.5411299999999999</v>
      </c>
    </row>
    <row r="25" spans="1:19" x14ac:dyDescent="0.25">
      <c r="A25" s="9">
        <v>33</v>
      </c>
      <c r="B25" s="9"/>
      <c r="C25" s="9">
        <v>1.5616000000000001</v>
      </c>
      <c r="D25" s="9">
        <v>1.6367</v>
      </c>
      <c r="E25" s="85">
        <f>(1-(Assumptions!$B$20))*C25 + (Assumptions!$B$20)*D25</f>
        <v>1.6141700000000001</v>
      </c>
      <c r="F25" s="10"/>
      <c r="G25" s="9">
        <v>1.6395999999999999</v>
      </c>
      <c r="H25" s="9">
        <v>1.7184999999999999</v>
      </c>
      <c r="I25" s="85">
        <f>(1-(Assumptions!$B$20))*G25+(Assumptions!$B$20)*H25</f>
        <v>1.6948300000000001</v>
      </c>
      <c r="J25" s="9"/>
      <c r="K25" s="15">
        <v>33</v>
      </c>
      <c r="L25" s="15"/>
      <c r="M25" s="9">
        <v>1.5135000000000001</v>
      </c>
      <c r="N25" s="9">
        <v>1.5886</v>
      </c>
      <c r="O25" s="85">
        <f>(1-(Assumptions!$B$20))*M25+(Assumptions!$B$20)*N25</f>
        <v>1.5660700000000001</v>
      </c>
      <c r="Q25" s="9">
        <v>1.5891999999999999</v>
      </c>
      <c r="R25" s="9">
        <v>1.6679999999999999</v>
      </c>
      <c r="S25" s="85">
        <f>(1-(Assumptions!$B$20))*Q25+(Assumptions!$B$20)*R25</f>
        <v>1.64436</v>
      </c>
    </row>
    <row r="26" spans="1:19" x14ac:dyDescent="0.25">
      <c r="A26" s="9">
        <v>34</v>
      </c>
      <c r="B26" s="9"/>
      <c r="C26" s="9">
        <v>1.6661999999999999</v>
      </c>
      <c r="D26" s="9">
        <v>1.7464</v>
      </c>
      <c r="E26" s="85">
        <f>(1-(Assumptions!$B$20))*C26 + (Assumptions!$B$20)*D26</f>
        <v>1.7223399999999998</v>
      </c>
      <c r="F26" s="10"/>
      <c r="G26" s="9">
        <v>1.7495000000000001</v>
      </c>
      <c r="H26" s="9">
        <v>1.8337000000000001</v>
      </c>
      <c r="I26" s="85">
        <f>(1-(Assumptions!$B$20))*G26+(Assumptions!$B$20)*H26</f>
        <v>1.80844</v>
      </c>
      <c r="J26" s="9"/>
      <c r="K26" s="15">
        <v>34</v>
      </c>
      <c r="L26" s="15"/>
      <c r="M26" s="9">
        <v>1.6149</v>
      </c>
      <c r="N26" s="9">
        <v>1.6950000000000001</v>
      </c>
      <c r="O26" s="85">
        <f>(1-(Assumptions!$B$20))*M26+(Assumptions!$B$20)*N26</f>
        <v>1.6709700000000001</v>
      </c>
      <c r="Q26" s="9">
        <v>1.6957</v>
      </c>
      <c r="R26" s="9">
        <v>1.7798</v>
      </c>
      <c r="S26" s="85">
        <f>(1-(Assumptions!$B$20))*Q26+(Assumptions!$B$20)*R26</f>
        <v>1.7545700000000002</v>
      </c>
    </row>
    <row r="27" spans="1:19" x14ac:dyDescent="0.25">
      <c r="A27" s="9">
        <v>35</v>
      </c>
      <c r="B27" s="9"/>
      <c r="C27" s="9">
        <v>1.7778</v>
      </c>
      <c r="D27" s="9">
        <v>1.8633999999999999</v>
      </c>
      <c r="E27" s="85">
        <f>(1-(Assumptions!$B$20))*C27 + (Assumptions!$B$20)*D27</f>
        <v>1.83772</v>
      </c>
      <c r="F27" s="10"/>
      <c r="G27" s="9">
        <v>1.8667</v>
      </c>
      <c r="H27" s="9">
        <v>1.9564999999999999</v>
      </c>
      <c r="I27" s="85">
        <f>(1-(Assumptions!$B$20))*G27+(Assumptions!$B$20)*H27</f>
        <v>1.9295599999999999</v>
      </c>
      <c r="J27" s="9"/>
      <c r="K27" s="15">
        <v>35</v>
      </c>
      <c r="L27" s="15"/>
      <c r="M27" s="9">
        <v>1.7231000000000001</v>
      </c>
      <c r="N27" s="9">
        <v>1.8086</v>
      </c>
      <c r="O27" s="85">
        <f>(1-(Assumptions!$B$20))*M27+(Assumptions!$B$20)*N27</f>
        <v>1.78295</v>
      </c>
      <c r="Q27" s="9">
        <v>1.8092999999999999</v>
      </c>
      <c r="R27" s="9">
        <v>1.899</v>
      </c>
      <c r="S27" s="85">
        <f>(1-(Assumptions!$B$20))*Q27+(Assumptions!$B$20)*R27</f>
        <v>1.87209</v>
      </c>
    </row>
    <row r="28" spans="1:19" x14ac:dyDescent="0.25">
      <c r="A28" s="9">
        <v>36</v>
      </c>
      <c r="B28" s="9"/>
      <c r="C28" s="9">
        <v>1.8969</v>
      </c>
      <c r="D28" s="9">
        <v>1.9882</v>
      </c>
      <c r="E28" s="85">
        <f>(1-(Assumptions!$B$20))*C28 + (Assumptions!$B$20)*D28</f>
        <v>1.9608099999999999</v>
      </c>
      <c r="F28" s="10"/>
      <c r="G28" s="9">
        <v>1.9918</v>
      </c>
      <c r="H28" s="9">
        <v>2.0876000000000001</v>
      </c>
      <c r="I28" s="85">
        <f>(1-(Assumptions!$B$20))*G28+(Assumptions!$B$20)*H28</f>
        <v>2.0588600000000001</v>
      </c>
      <c r="J28" s="9"/>
      <c r="K28" s="15">
        <v>36</v>
      </c>
      <c r="L28" s="15"/>
      <c r="M28" s="9">
        <v>1.8386</v>
      </c>
      <c r="N28" s="9">
        <v>1.9298</v>
      </c>
      <c r="O28" s="85">
        <f>(1-(Assumptions!$B$20))*M28+(Assumptions!$B$20)*N28</f>
        <v>1.9024399999999999</v>
      </c>
      <c r="Q28" s="9">
        <v>1.9305000000000001</v>
      </c>
      <c r="R28" s="9">
        <v>2.0261999999999998</v>
      </c>
      <c r="S28" s="85">
        <f>(1-(Assumptions!$B$20))*Q28+(Assumptions!$B$20)*R28</f>
        <v>1.99749</v>
      </c>
    </row>
    <row r="29" spans="1:19" x14ac:dyDescent="0.25">
      <c r="A29" s="9">
        <v>37</v>
      </c>
      <c r="B29" s="9"/>
      <c r="C29" s="9">
        <v>2.024</v>
      </c>
      <c r="D29" s="9">
        <v>2.1214</v>
      </c>
      <c r="E29" s="85">
        <f>(1-(Assumptions!$B$20))*C29 + (Assumptions!$B$20)*D29</f>
        <v>2.0921799999999999</v>
      </c>
      <c r="F29" s="10"/>
      <c r="G29" s="9">
        <v>2.1252</v>
      </c>
      <c r="H29" s="9">
        <v>2.2275</v>
      </c>
      <c r="I29" s="85">
        <f>(1-(Assumptions!$B$20))*G29+(Assumptions!$B$20)*H29</f>
        <v>2.1968100000000002</v>
      </c>
      <c r="J29" s="9"/>
      <c r="K29" s="15">
        <v>37</v>
      </c>
      <c r="L29" s="15"/>
      <c r="M29" s="9">
        <v>1.9618</v>
      </c>
      <c r="N29" s="9">
        <v>2.0590999999999999</v>
      </c>
      <c r="O29" s="85">
        <f>(1-(Assumptions!$B$20))*M29+(Assumptions!$B$20)*N29</f>
        <v>2.0299100000000001</v>
      </c>
      <c r="Q29" s="9">
        <v>2.0598000000000001</v>
      </c>
      <c r="R29" s="9">
        <v>2.1619999999999999</v>
      </c>
      <c r="S29" s="85">
        <f>(1-(Assumptions!$B$20))*Q29+(Assumptions!$B$20)*R29</f>
        <v>2.1313399999999998</v>
      </c>
    </row>
    <row r="30" spans="1:19" x14ac:dyDescent="0.25">
      <c r="A30" s="9">
        <v>38</v>
      </c>
      <c r="B30" s="9"/>
      <c r="C30" s="9">
        <v>2.1596000000000002</v>
      </c>
      <c r="D30" s="9">
        <v>2.2635999999999998</v>
      </c>
      <c r="E30" s="85">
        <f>(1-(Assumptions!$B$20))*C30 + (Assumptions!$B$20)*D30</f>
        <v>2.2323999999999997</v>
      </c>
      <c r="F30" s="10"/>
      <c r="G30" s="9">
        <v>2.2675999999999998</v>
      </c>
      <c r="H30" s="9">
        <v>2.3767</v>
      </c>
      <c r="I30" s="85">
        <f>(1-(Assumptions!$B$20))*G30+(Assumptions!$B$20)*H30</f>
        <v>2.3439700000000001</v>
      </c>
      <c r="J30" s="9"/>
      <c r="K30" s="15">
        <v>38</v>
      </c>
      <c r="L30" s="15"/>
      <c r="M30" s="9">
        <v>2.0931999999999999</v>
      </c>
      <c r="N30" s="9">
        <v>2.1970999999999998</v>
      </c>
      <c r="O30" s="85">
        <f>(1-(Assumptions!$B$20))*M30+(Assumptions!$B$20)*N30</f>
        <v>2.1659299999999999</v>
      </c>
      <c r="Q30" s="9">
        <v>2.1978</v>
      </c>
      <c r="R30" s="9">
        <v>2.3069000000000002</v>
      </c>
      <c r="S30" s="85">
        <f>(1-(Assumptions!$B$20))*Q30+(Assumptions!$B$20)*R30</f>
        <v>2.2741699999999998</v>
      </c>
    </row>
    <row r="31" spans="1:19" x14ac:dyDescent="0.25">
      <c r="A31" s="9">
        <v>39</v>
      </c>
      <c r="B31" s="9"/>
      <c r="C31" s="9">
        <v>2.3043</v>
      </c>
      <c r="D31" s="9">
        <v>2.4152</v>
      </c>
      <c r="E31" s="85">
        <f>(1-(Assumptions!$B$20))*C31 + (Assumptions!$B$20)*D31</f>
        <v>2.3819300000000001</v>
      </c>
      <c r="F31" s="10"/>
      <c r="G31" s="9">
        <v>2.4195000000000002</v>
      </c>
      <c r="H31" s="9">
        <v>2.536</v>
      </c>
      <c r="I31" s="85">
        <f>(1-(Assumptions!$B$20))*G31+(Assumptions!$B$20)*H31</f>
        <v>2.5010500000000002</v>
      </c>
      <c r="J31" s="9"/>
      <c r="K31" s="15">
        <v>39</v>
      </c>
      <c r="L31" s="15"/>
      <c r="M31" s="9">
        <v>2.2334000000000001</v>
      </c>
      <c r="N31" s="9">
        <v>2.3443000000000001</v>
      </c>
      <c r="O31" s="85">
        <f>(1-(Assumptions!$B$20))*M31+(Assumptions!$B$20)*N31</f>
        <v>2.3110299999999997</v>
      </c>
      <c r="Q31" s="9">
        <v>2.3451</v>
      </c>
      <c r="R31" s="9">
        <v>2.4615</v>
      </c>
      <c r="S31" s="85">
        <f>(1-(Assumptions!$B$20))*Q31+(Assumptions!$B$20)*R31</f>
        <v>2.42658</v>
      </c>
    </row>
    <row r="32" spans="1:19" x14ac:dyDescent="0.25">
      <c r="A32" s="9">
        <v>40</v>
      </c>
      <c r="B32" s="9"/>
      <c r="C32" s="9">
        <v>2.4586999999999999</v>
      </c>
      <c r="D32" s="9">
        <v>2.577</v>
      </c>
      <c r="E32" s="85">
        <f>(1-(Assumptions!$B$20))*C32 + (Assumptions!$B$20)*D32</f>
        <v>2.5415099999999997</v>
      </c>
      <c r="F32" s="10"/>
      <c r="G32" s="9">
        <v>2.5815999999999999</v>
      </c>
      <c r="H32" s="9">
        <v>2.7059000000000002</v>
      </c>
      <c r="I32" s="85">
        <f>(1-(Assumptions!$B$20))*G32+(Assumptions!$B$20)*H32</f>
        <v>2.6686100000000001</v>
      </c>
      <c r="J32" s="9"/>
      <c r="K32" s="15">
        <v>40</v>
      </c>
      <c r="L32" s="15"/>
      <c r="M32" s="9">
        <v>2.383</v>
      </c>
      <c r="N32" s="9">
        <v>2.5013999999999998</v>
      </c>
      <c r="O32" s="85">
        <f>(1-(Assumptions!$B$20))*M32+(Assumptions!$B$20)*N32</f>
        <v>2.4658799999999998</v>
      </c>
      <c r="Q32" s="9">
        <v>2.5022000000000002</v>
      </c>
      <c r="R32" s="9">
        <v>2.6263999999999998</v>
      </c>
      <c r="S32" s="85">
        <f>(1-(Assumptions!$B$20))*Q32+(Assumptions!$B$20)*R32</f>
        <v>2.58914</v>
      </c>
    </row>
    <row r="33" spans="1:19" x14ac:dyDescent="0.25">
      <c r="A33" s="9">
        <v>41</v>
      </c>
      <c r="B33" s="9"/>
      <c r="C33" s="9">
        <v>2.6234000000000002</v>
      </c>
      <c r="D33" s="9">
        <v>2.7496999999999998</v>
      </c>
      <c r="E33" s="85">
        <f>(1-(Assumptions!$B$20))*C33 + (Assumptions!$B$20)*D33</f>
        <v>2.7118099999999998</v>
      </c>
      <c r="F33" s="10"/>
      <c r="G33" s="9">
        <v>2.7545999999999999</v>
      </c>
      <c r="H33" s="9">
        <v>2.8872</v>
      </c>
      <c r="I33" s="85">
        <f>(1-(Assumptions!$B$20))*G33+(Assumptions!$B$20)*H33</f>
        <v>2.8474199999999996</v>
      </c>
      <c r="J33" s="9"/>
      <c r="K33" s="15">
        <v>41</v>
      </c>
      <c r="L33" s="15"/>
      <c r="M33" s="9">
        <v>2.5427</v>
      </c>
      <c r="N33" s="9">
        <v>2.669</v>
      </c>
      <c r="O33" s="85">
        <f>(1-(Assumptions!$B$20))*M33+(Assumptions!$B$20)*N33</f>
        <v>2.6311100000000001</v>
      </c>
      <c r="Q33" s="9">
        <v>2.6698</v>
      </c>
      <c r="R33" s="9">
        <v>2.8024</v>
      </c>
      <c r="S33" s="85">
        <f>(1-(Assumptions!$B$20))*Q33+(Assumptions!$B$20)*R33</f>
        <v>2.7626200000000001</v>
      </c>
    </row>
    <row r="34" spans="1:19" x14ac:dyDescent="0.25">
      <c r="A34" s="9">
        <v>42</v>
      </c>
      <c r="B34" s="9"/>
      <c r="C34" s="9">
        <v>2.7991999999999999</v>
      </c>
      <c r="D34" s="9">
        <v>2.9339</v>
      </c>
      <c r="E34" s="85">
        <f>(1-(Assumptions!$B$20))*C34 + (Assumptions!$B$20)*D34</f>
        <v>2.8934899999999999</v>
      </c>
      <c r="F34" s="10"/>
      <c r="G34" s="9">
        <v>2.9392</v>
      </c>
      <c r="H34" s="9">
        <v>3.0806</v>
      </c>
      <c r="I34" s="85">
        <f>(1-(Assumptions!$B$20))*G34+(Assumptions!$B$20)*H34</f>
        <v>3.0381799999999997</v>
      </c>
      <c r="J34" s="9"/>
      <c r="K34" s="15">
        <v>42</v>
      </c>
      <c r="L34" s="15"/>
      <c r="M34" s="9">
        <v>2.7130999999999998</v>
      </c>
      <c r="N34" s="9">
        <v>2.8477999999999999</v>
      </c>
      <c r="O34" s="85">
        <f>(1-(Assumptions!$B$20))*M34+(Assumptions!$B$20)*N34</f>
        <v>2.8073899999999998</v>
      </c>
      <c r="Q34" s="9">
        <v>2.8487</v>
      </c>
      <c r="R34" s="9">
        <v>2.9902000000000002</v>
      </c>
      <c r="S34" s="85">
        <f>(1-(Assumptions!$B$20))*Q34+(Assumptions!$B$20)*R34</f>
        <v>2.9477500000000001</v>
      </c>
    </row>
    <row r="35" spans="1:19" x14ac:dyDescent="0.25">
      <c r="A35" s="9">
        <v>43</v>
      </c>
      <c r="B35" s="9"/>
      <c r="C35" s="9">
        <v>2.9868000000000001</v>
      </c>
      <c r="D35" s="9">
        <v>3.1305000000000001</v>
      </c>
      <c r="E35" s="85">
        <f>(1-(Assumptions!$B$20))*C35 + (Assumptions!$B$20)*D35</f>
        <v>3.0873900000000001</v>
      </c>
      <c r="F35" s="10"/>
      <c r="G35" s="9">
        <v>3.1360999999999999</v>
      </c>
      <c r="H35" s="9">
        <v>3.2869999999999999</v>
      </c>
      <c r="I35" s="85">
        <f>(1-(Assumptions!$B$20))*G35+(Assumptions!$B$20)*H35</f>
        <v>3.24173</v>
      </c>
      <c r="J35" s="9"/>
      <c r="K35" s="15">
        <v>43</v>
      </c>
      <c r="L35" s="15"/>
      <c r="M35" s="9">
        <v>2.8948999999999998</v>
      </c>
      <c r="N35" s="9">
        <v>3.0386000000000002</v>
      </c>
      <c r="O35" s="85">
        <f>(1-(Assumptions!$B$20))*M35+(Assumptions!$B$20)*N35</f>
        <v>2.9954900000000002</v>
      </c>
      <c r="Q35" s="9">
        <v>3.0396000000000001</v>
      </c>
      <c r="R35" s="9">
        <v>3.1905000000000001</v>
      </c>
      <c r="S35" s="85">
        <f>(1-(Assumptions!$B$20))*Q35+(Assumptions!$B$20)*R35</f>
        <v>3.1452299999999997</v>
      </c>
    </row>
    <row r="36" spans="1:19" x14ac:dyDescent="0.25">
      <c r="A36" s="9">
        <v>44</v>
      </c>
      <c r="B36" s="9"/>
      <c r="C36" s="9">
        <v>3.1869000000000001</v>
      </c>
      <c r="D36" s="9">
        <v>3.3401999999999998</v>
      </c>
      <c r="E36" s="85">
        <f>(1-(Assumptions!$B$20))*C36 + (Assumptions!$B$20)*D36</f>
        <v>3.2942099999999996</v>
      </c>
      <c r="F36" s="10"/>
      <c r="G36" s="9">
        <v>3.3462000000000001</v>
      </c>
      <c r="H36" s="9">
        <v>3.5072000000000001</v>
      </c>
      <c r="I36" s="85">
        <f>(1-(Assumptions!$B$20))*G36+(Assumptions!$B$20)*H36</f>
        <v>3.4588999999999999</v>
      </c>
      <c r="J36" s="9"/>
      <c r="K36" s="15">
        <v>44</v>
      </c>
      <c r="L36" s="15"/>
      <c r="M36" s="9">
        <v>3.0889000000000002</v>
      </c>
      <c r="N36" s="9">
        <v>3.2422</v>
      </c>
      <c r="O36" s="85">
        <f>(1-(Assumptions!$B$20))*M36+(Assumptions!$B$20)*N36</f>
        <v>3.1962099999999998</v>
      </c>
      <c r="Q36" s="9">
        <v>3.2431999999999999</v>
      </c>
      <c r="R36" s="9">
        <v>3.4043000000000001</v>
      </c>
      <c r="S36" s="85">
        <f>(1-(Assumptions!$B$20))*Q36+(Assumptions!$B$20)*R36</f>
        <v>3.3559700000000001</v>
      </c>
    </row>
    <row r="37" spans="1:19" x14ac:dyDescent="0.25">
      <c r="A37" s="9">
        <v>45</v>
      </c>
      <c r="B37" s="9"/>
      <c r="C37" s="9">
        <v>3.4003999999999999</v>
      </c>
      <c r="D37" s="9">
        <v>3.5640000000000001</v>
      </c>
      <c r="E37" s="85">
        <f>(1-(Assumptions!$B$20))*C37 + (Assumptions!$B$20)*D37</f>
        <v>3.51492</v>
      </c>
      <c r="F37" s="10"/>
      <c r="G37" s="9">
        <v>3.5703999999999998</v>
      </c>
      <c r="H37" s="9">
        <v>3.7422</v>
      </c>
      <c r="I37" s="85">
        <f>(1-(Assumptions!$B$20))*G37+(Assumptions!$B$20)*H37</f>
        <v>3.6906599999999998</v>
      </c>
      <c r="J37" s="9"/>
      <c r="K37" s="15">
        <v>45</v>
      </c>
      <c r="L37" s="15"/>
      <c r="M37" s="9">
        <v>3.2959000000000001</v>
      </c>
      <c r="N37" s="9">
        <v>3.4594</v>
      </c>
      <c r="O37" s="85">
        <f>(1-(Assumptions!$B$20))*M37+(Assumptions!$B$20)*N37</f>
        <v>3.4103500000000002</v>
      </c>
      <c r="Q37" s="9">
        <v>3.4605000000000001</v>
      </c>
      <c r="R37" s="9">
        <v>3.6324000000000001</v>
      </c>
      <c r="S37" s="85">
        <f>(1-(Assumptions!$B$20))*Q37+(Assumptions!$B$20)*R37</f>
        <v>3.5808299999999997</v>
      </c>
    </row>
    <row r="38" spans="1:19" x14ac:dyDescent="0.25">
      <c r="A38" s="9">
        <v>46</v>
      </c>
      <c r="B38" s="9"/>
      <c r="C38" s="9">
        <v>3.6282000000000001</v>
      </c>
      <c r="D38" s="9">
        <v>3.8028</v>
      </c>
      <c r="E38" s="85">
        <f>(1-(Assumptions!$B$20))*C38 + (Assumptions!$B$20)*D38</f>
        <v>3.7504200000000001</v>
      </c>
      <c r="F38" s="10"/>
      <c r="G38" s="9">
        <v>3.8096000000000001</v>
      </c>
      <c r="H38" s="9">
        <v>3.9929000000000001</v>
      </c>
      <c r="I38" s="85">
        <f>(1-(Assumptions!$B$20))*G38+(Assumptions!$B$20)*H38</f>
        <v>3.9379100000000005</v>
      </c>
      <c r="J38" s="9"/>
      <c r="K38" s="15">
        <v>46</v>
      </c>
      <c r="L38" s="15"/>
      <c r="M38" s="9">
        <v>3.5167000000000002</v>
      </c>
      <c r="N38" s="9">
        <v>3.6911999999999998</v>
      </c>
      <c r="O38" s="85">
        <f>(1-(Assumptions!$B$20))*M38+(Assumptions!$B$20)*N38</f>
        <v>3.6388500000000001</v>
      </c>
      <c r="Q38" s="9">
        <v>3.6924000000000001</v>
      </c>
      <c r="R38" s="9">
        <v>3.8757999999999999</v>
      </c>
      <c r="S38" s="85">
        <f>(1-(Assumptions!$B$20))*Q38+(Assumptions!$B$20)*R38</f>
        <v>3.8207800000000001</v>
      </c>
    </row>
    <row r="39" spans="1:19" x14ac:dyDescent="0.25">
      <c r="A39" s="9">
        <v>47</v>
      </c>
      <c r="B39" s="9"/>
      <c r="C39" s="9">
        <v>3.8713000000000002</v>
      </c>
      <c r="D39" s="9">
        <v>4.0575999999999999</v>
      </c>
      <c r="E39" s="85">
        <f>(1-(Assumptions!$B$20))*C39 + (Assumptions!$B$20)*D39</f>
        <v>4.0017100000000001</v>
      </c>
      <c r="F39" s="10"/>
      <c r="G39" s="9">
        <v>4.0648999999999997</v>
      </c>
      <c r="H39" s="9">
        <v>4.2605000000000004</v>
      </c>
      <c r="I39" s="85">
        <f>(1-(Assumptions!$B$20))*G39+(Assumptions!$B$20)*H39</f>
        <v>4.2018200000000006</v>
      </c>
      <c r="J39" s="9"/>
      <c r="K39" s="15">
        <v>47</v>
      </c>
      <c r="L39" s="15"/>
      <c r="M39" s="9">
        <v>3.7523</v>
      </c>
      <c r="N39" s="9">
        <v>3.9384999999999999</v>
      </c>
      <c r="O39" s="85">
        <f>(1-(Assumptions!$B$20))*M39+(Assumptions!$B$20)*N39</f>
        <v>3.8826399999999999</v>
      </c>
      <c r="Q39" s="9">
        <v>3.9398</v>
      </c>
      <c r="R39" s="9">
        <v>4.1355000000000004</v>
      </c>
      <c r="S39" s="85">
        <f>(1-(Assumptions!$B$20))*Q39+(Assumptions!$B$20)*R39</f>
        <v>4.0767899999999999</v>
      </c>
    </row>
    <row r="40" spans="1:19" x14ac:dyDescent="0.25">
      <c r="A40" s="9">
        <v>48</v>
      </c>
      <c r="B40" s="9"/>
      <c r="C40" s="9">
        <v>4.1307</v>
      </c>
      <c r="D40" s="9">
        <v>4.3295000000000003</v>
      </c>
      <c r="E40" s="85">
        <f>(1-(Assumptions!$B$20))*C40 + (Assumptions!$B$20)*D40</f>
        <v>4.2698600000000004</v>
      </c>
      <c r="F40" s="10"/>
      <c r="G40" s="9">
        <v>4.3372000000000002</v>
      </c>
      <c r="H40" s="9">
        <v>4.5458999999999996</v>
      </c>
      <c r="I40" s="85">
        <f>(1-(Assumptions!$B$20))*G40+(Assumptions!$B$20)*H40</f>
        <v>4.4832900000000002</v>
      </c>
      <c r="J40" s="9"/>
      <c r="K40" s="15">
        <v>48</v>
      </c>
      <c r="L40" s="15"/>
      <c r="M40" s="9">
        <v>4.0037000000000003</v>
      </c>
      <c r="N40" s="9">
        <v>4.2023999999999999</v>
      </c>
      <c r="O40" s="85">
        <f>(1-(Assumptions!$B$20))*M40+(Assumptions!$B$20)*N40</f>
        <v>4.1427899999999998</v>
      </c>
      <c r="Q40" s="9">
        <v>4.2038000000000002</v>
      </c>
      <c r="R40" s="9">
        <v>4.4126000000000003</v>
      </c>
      <c r="S40" s="85">
        <f>(1-(Assumptions!$B$20))*Q40+(Assumptions!$B$20)*R40</f>
        <v>4.3499600000000003</v>
      </c>
    </row>
    <row r="41" spans="1:19" x14ac:dyDescent="0.25">
      <c r="A41" s="9">
        <v>49</v>
      </c>
      <c r="B41" s="9"/>
      <c r="C41" s="9">
        <v>4.4074</v>
      </c>
      <c r="D41" s="9">
        <v>4.6196000000000002</v>
      </c>
      <c r="E41" s="85">
        <f>(1-(Assumptions!$B$20))*C41 + (Assumptions!$B$20)*D41</f>
        <v>4.5559399999999997</v>
      </c>
      <c r="F41" s="10"/>
      <c r="G41" s="9">
        <v>4.6277999999999997</v>
      </c>
      <c r="H41" s="9">
        <v>4.8505000000000003</v>
      </c>
      <c r="I41" s="85">
        <f>(1-(Assumptions!$B$20))*G41+(Assumptions!$B$20)*H41</f>
        <v>4.78369</v>
      </c>
      <c r="J41" s="9"/>
      <c r="K41" s="15">
        <v>49</v>
      </c>
      <c r="L41" s="15"/>
      <c r="M41" s="9">
        <v>4.2718999999999996</v>
      </c>
      <c r="N41" s="9">
        <v>4.484</v>
      </c>
      <c r="O41" s="85">
        <f>(1-(Assumptions!$B$20))*M41+(Assumptions!$B$20)*N41</f>
        <v>4.4203700000000001</v>
      </c>
      <c r="Q41" s="9">
        <v>4.4855</v>
      </c>
      <c r="R41" s="9">
        <v>4.7081999999999997</v>
      </c>
      <c r="S41" s="85">
        <f>(1-(Assumptions!$B$20))*Q41+(Assumptions!$B$20)*R41</f>
        <v>4.6413899999999995</v>
      </c>
    </row>
    <row r="42" spans="1:19" x14ac:dyDescent="0.25">
      <c r="A42" s="9">
        <v>50</v>
      </c>
      <c r="B42" s="9"/>
      <c r="C42" s="9">
        <v>4.7027000000000001</v>
      </c>
      <c r="D42" s="9">
        <v>4.9291</v>
      </c>
      <c r="E42" s="85">
        <f>(1-(Assumptions!$B$20))*C42 + (Assumptions!$B$20)*D42</f>
        <v>4.8611800000000001</v>
      </c>
      <c r="F42" s="10"/>
      <c r="G42" s="9">
        <v>4.9379</v>
      </c>
      <c r="H42" s="9">
        <v>5.1755000000000004</v>
      </c>
      <c r="I42" s="85">
        <f>(1-(Assumptions!$B$20))*G42+(Assumptions!$B$20)*H42</f>
        <v>5.1042200000000006</v>
      </c>
      <c r="J42" s="9"/>
      <c r="K42" s="15">
        <v>50</v>
      </c>
      <c r="L42" s="15"/>
      <c r="M42" s="9">
        <v>4.5580999999999996</v>
      </c>
      <c r="N42" s="9">
        <v>4.7843999999999998</v>
      </c>
      <c r="O42" s="85">
        <f>(1-(Assumptions!$B$20))*M42+(Assumptions!$B$20)*N42</f>
        <v>4.7165099999999995</v>
      </c>
      <c r="Q42" s="9">
        <v>4.7859999999999996</v>
      </c>
      <c r="R42" s="9">
        <v>5.0236000000000001</v>
      </c>
      <c r="S42" s="85">
        <f>(1-(Assumptions!$B$20))*Q42+(Assumptions!$B$20)*R42</f>
        <v>4.9523200000000003</v>
      </c>
    </row>
    <row r="43" spans="1:19" x14ac:dyDescent="0.25">
      <c r="A43" s="9">
        <v>51</v>
      </c>
      <c r="B43" s="9"/>
      <c r="C43" s="9">
        <v>5.0178000000000003</v>
      </c>
      <c r="D43" s="9">
        <v>5.2592999999999996</v>
      </c>
      <c r="E43" s="85">
        <f>(1-(Assumptions!$B$20))*C43 + (Assumptions!$B$20)*D43</f>
        <v>5.1868499999999997</v>
      </c>
      <c r="F43" s="10"/>
      <c r="G43" s="9">
        <v>5.2686999999999999</v>
      </c>
      <c r="H43" s="9">
        <v>5.5221999999999998</v>
      </c>
      <c r="I43" s="85">
        <f>(1-(Assumptions!$B$20))*G43+(Assumptions!$B$20)*H43</f>
        <v>5.4461500000000003</v>
      </c>
      <c r="J43" s="9"/>
      <c r="K43" s="15">
        <v>51</v>
      </c>
      <c r="L43" s="15"/>
      <c r="M43" s="9">
        <v>4.8635000000000002</v>
      </c>
      <c r="N43" s="9">
        <v>5.1050000000000004</v>
      </c>
      <c r="O43" s="85">
        <f>(1-(Assumptions!$B$20))*M43+(Assumptions!$B$20)*N43</f>
        <v>5.0325500000000005</v>
      </c>
      <c r="Q43" s="9">
        <v>5.1067</v>
      </c>
      <c r="R43" s="9">
        <v>5.3601999999999999</v>
      </c>
      <c r="S43" s="85">
        <f>(1-(Assumptions!$B$20))*Q43+(Assumptions!$B$20)*R43</f>
        <v>5.2841500000000003</v>
      </c>
    </row>
    <row r="44" spans="1:19" x14ac:dyDescent="0.25">
      <c r="A44" s="9">
        <v>52</v>
      </c>
      <c r="B44" s="9"/>
      <c r="C44" s="9">
        <v>5.3540000000000001</v>
      </c>
      <c r="D44" s="9">
        <v>5.6116999999999999</v>
      </c>
      <c r="E44" s="85">
        <f>(1-(Assumptions!$B$20))*C44 + (Assumptions!$B$20)*D44</f>
        <v>5.5343900000000001</v>
      </c>
      <c r="F44" s="10"/>
      <c r="G44" s="9">
        <v>5.6216999999999997</v>
      </c>
      <c r="H44" s="9">
        <v>5.8921999999999999</v>
      </c>
      <c r="I44" s="85">
        <f>(1-(Assumptions!$B$20))*G44+(Assumptions!$B$20)*H44</f>
        <v>5.8110499999999998</v>
      </c>
      <c r="J44" s="9"/>
      <c r="K44" s="15">
        <v>52</v>
      </c>
      <c r="L44" s="15"/>
      <c r="M44" s="9">
        <v>5.1894</v>
      </c>
      <c r="N44" s="9">
        <v>5.4470000000000001</v>
      </c>
      <c r="O44" s="85">
        <f>(1-(Assumptions!$B$20))*M44+(Assumptions!$B$20)*N44</f>
        <v>5.36972</v>
      </c>
      <c r="Q44" s="9">
        <v>5.4489000000000001</v>
      </c>
      <c r="R44" s="9">
        <v>5.7192999999999996</v>
      </c>
      <c r="S44" s="85">
        <f>(1-(Assumptions!$B$20))*Q44+(Assumptions!$B$20)*R44</f>
        <v>5.6381800000000002</v>
      </c>
    </row>
    <row r="45" spans="1:19" x14ac:dyDescent="0.25">
      <c r="A45" s="9">
        <v>53</v>
      </c>
      <c r="B45" s="9"/>
      <c r="C45" s="9">
        <v>5.7126999999999999</v>
      </c>
      <c r="D45" s="9">
        <v>5.9877000000000002</v>
      </c>
      <c r="E45" s="85">
        <f>(1-(Assumptions!$B$20))*C45 + (Assumptions!$B$20)*D45</f>
        <v>5.9052000000000007</v>
      </c>
      <c r="F45" s="10"/>
      <c r="G45" s="9">
        <v>5.9984000000000002</v>
      </c>
      <c r="H45" s="9">
        <v>6.2869999999999999</v>
      </c>
      <c r="I45" s="85">
        <f>(1-(Assumptions!$B$20))*G45+(Assumptions!$B$20)*H45</f>
        <v>6.2004200000000003</v>
      </c>
      <c r="J45" s="9"/>
      <c r="K45" s="15">
        <v>53</v>
      </c>
      <c r="L45" s="15"/>
      <c r="M45" s="9">
        <v>5.5370999999999997</v>
      </c>
      <c r="N45" s="9">
        <v>5.8120000000000003</v>
      </c>
      <c r="O45" s="85">
        <f>(1-(Assumptions!$B$20))*M45+(Assumptions!$B$20)*N45</f>
        <v>5.7295299999999996</v>
      </c>
      <c r="Q45" s="9">
        <v>5.8140000000000001</v>
      </c>
      <c r="R45" s="9">
        <v>6.1025</v>
      </c>
      <c r="S45" s="85">
        <f>(1-(Assumptions!$B$20))*Q45+(Assumptions!$B$20)*R45</f>
        <v>6.0159500000000001</v>
      </c>
    </row>
    <row r="46" spans="1:19" x14ac:dyDescent="0.25">
      <c r="A46" s="9">
        <v>54</v>
      </c>
      <c r="B46" s="9"/>
      <c r="C46" s="9">
        <v>6.0955000000000004</v>
      </c>
      <c r="D46" s="9">
        <v>6.3887999999999998</v>
      </c>
      <c r="E46" s="85">
        <f>(1-(Assumptions!$B$20))*C46 + (Assumptions!$B$20)*D46</f>
        <v>6.3008100000000002</v>
      </c>
      <c r="F46" s="10"/>
      <c r="G46" s="9">
        <v>6.4002999999999997</v>
      </c>
      <c r="H46" s="9">
        <v>6.7081999999999997</v>
      </c>
      <c r="I46" s="85">
        <f>(1-(Assumptions!$B$20))*G46+(Assumptions!$B$20)*H46</f>
        <v>6.6158299999999999</v>
      </c>
      <c r="J46" s="9"/>
      <c r="K46" s="15">
        <v>54</v>
      </c>
      <c r="L46" s="15"/>
      <c r="M46" s="9">
        <v>5.9081000000000001</v>
      </c>
      <c r="N46" s="9">
        <v>6.2013999999999996</v>
      </c>
      <c r="O46" s="85">
        <f>(1-(Assumptions!$B$20))*M46+(Assumptions!$B$20)*N46</f>
        <v>6.11341</v>
      </c>
      <c r="Q46" s="9">
        <v>6.2035</v>
      </c>
      <c r="R46" s="9">
        <v>6.5114000000000001</v>
      </c>
      <c r="S46" s="85">
        <f>(1-(Assumptions!$B$20))*Q46+(Assumptions!$B$20)*R46</f>
        <v>6.4190300000000002</v>
      </c>
    </row>
    <row r="47" spans="1:19" x14ac:dyDescent="0.25">
      <c r="A47" s="1">
        <v>55</v>
      </c>
      <c r="B47" s="1"/>
      <c r="C47" s="9">
        <v>6.5038999999999998</v>
      </c>
      <c r="D47" s="9">
        <v>6.8169000000000004</v>
      </c>
      <c r="E47" s="85">
        <f>(1-(Assumptions!$B$20))*C47 + (Assumptions!$B$20)*D47</f>
        <v>6.7229999999999999</v>
      </c>
      <c r="F47" s="10"/>
      <c r="G47" s="1">
        <v>6.8291000000000004</v>
      </c>
      <c r="H47" s="9">
        <v>7.1577000000000002</v>
      </c>
      <c r="I47" s="85">
        <f>(1-(Assumptions!$B$20))*G47+(Assumptions!$B$20)*H47</f>
        <v>7.0591200000000001</v>
      </c>
      <c r="J47" s="9"/>
      <c r="K47" s="13">
        <v>55</v>
      </c>
      <c r="L47" s="13"/>
      <c r="M47" s="1">
        <v>6.3038999999999996</v>
      </c>
      <c r="N47" s="1">
        <v>6.6169000000000002</v>
      </c>
      <c r="O47" s="85">
        <f>(1-(Assumptions!$B$20))*M47+(Assumptions!$B$20)*N47</f>
        <v>6.5229999999999997</v>
      </c>
      <c r="Q47" s="1">
        <v>6.6191000000000004</v>
      </c>
      <c r="R47" s="1">
        <v>6.9477000000000002</v>
      </c>
      <c r="S47" s="85">
        <f>(1-(Assumptions!$B$20))*Q47+(Assumptions!$B$20)*R47</f>
        <v>6.8491200000000001</v>
      </c>
    </row>
    <row r="48" spans="1:19" x14ac:dyDescent="0.25">
      <c r="A48" s="1">
        <f t="shared" ref="A48:A92" si="0">A47+1</f>
        <v>56</v>
      </c>
      <c r="B48" s="1"/>
      <c r="C48" s="9">
        <v>6.9267000000000003</v>
      </c>
      <c r="D48" s="9">
        <v>7.26</v>
      </c>
      <c r="E48" s="85">
        <f>(1-(Assumptions!$B$20))*C48 + (Assumptions!$B$20)*D48</f>
        <v>7.1600099999999998</v>
      </c>
      <c r="F48" s="10"/>
      <c r="G48" s="1">
        <v>7.2729999999999997</v>
      </c>
      <c r="H48" s="9">
        <v>7.6230000000000002</v>
      </c>
      <c r="I48" s="85">
        <f>(1-(Assumptions!$B$20))*G48+(Assumptions!$B$20)*H48</f>
        <v>7.5180000000000007</v>
      </c>
      <c r="J48" s="9"/>
      <c r="K48" s="13">
        <f>K47+1</f>
        <v>56</v>
      </c>
      <c r="L48" s="13"/>
      <c r="M48" s="1">
        <v>6.7267000000000001</v>
      </c>
      <c r="N48" s="1">
        <v>7.06</v>
      </c>
      <c r="O48" s="85">
        <f>(1-(Assumptions!$B$20))*M48+(Assumptions!$B$20)*N48</f>
        <v>6.9600099999999996</v>
      </c>
      <c r="Q48" s="1">
        <v>7.0629999999999997</v>
      </c>
      <c r="R48" s="1">
        <v>7.4130000000000003</v>
      </c>
      <c r="S48" s="85">
        <f>(1-(Assumptions!$B$20))*Q48+(Assumptions!$B$20)*R48</f>
        <v>7.3079999999999998</v>
      </c>
    </row>
    <row r="49" spans="1:19" x14ac:dyDescent="0.25">
      <c r="A49" s="1">
        <f t="shared" si="0"/>
        <v>57</v>
      </c>
      <c r="B49" s="1"/>
      <c r="C49" s="9">
        <v>7.3769</v>
      </c>
      <c r="D49" s="9">
        <v>7.7320000000000002</v>
      </c>
      <c r="E49" s="85">
        <f>(1-(Assumptions!$B$20))*C49 + (Assumptions!$B$20)*D49</f>
        <v>7.62547</v>
      </c>
      <c r="F49" s="10"/>
      <c r="G49" s="1">
        <v>7.7457000000000003</v>
      </c>
      <c r="H49" s="9">
        <v>8.1186000000000007</v>
      </c>
      <c r="I49" s="85">
        <f>(1-(Assumptions!$B$20))*G49+(Assumptions!$B$20)*H49</f>
        <v>8.006730000000001</v>
      </c>
      <c r="J49" s="9"/>
      <c r="K49" s="13">
        <f>K48+1</f>
        <v>57</v>
      </c>
      <c r="L49" s="13"/>
      <c r="M49" s="1">
        <v>7.1768999999999998</v>
      </c>
      <c r="N49" s="1">
        <v>7.532</v>
      </c>
      <c r="O49" s="85">
        <f>(1-(Assumptions!$B$20))*M49+(Assumptions!$B$20)*N49</f>
        <v>7.4254699999999998</v>
      </c>
      <c r="Q49" s="1">
        <v>7.5357000000000003</v>
      </c>
      <c r="R49" s="1">
        <v>7.9085999999999999</v>
      </c>
      <c r="S49" s="85">
        <f>(1-(Assumptions!$B$20))*Q49+(Assumptions!$B$20)*R49</f>
        <v>7.7967300000000002</v>
      </c>
    </row>
    <row r="50" spans="1:19" x14ac:dyDescent="0.25">
      <c r="A50" s="1">
        <f t="shared" si="0"/>
        <v>58</v>
      </c>
      <c r="B50" s="1"/>
      <c r="C50" s="9">
        <v>7.8563999999999998</v>
      </c>
      <c r="D50" s="9">
        <v>8.2345000000000006</v>
      </c>
      <c r="E50" s="85">
        <f>(1-(Assumptions!$B$20))*C50 + (Assumptions!$B$20)*D50</f>
        <v>8.1210699999999996</v>
      </c>
      <c r="F50" s="10"/>
      <c r="G50" s="1">
        <v>8.2492000000000001</v>
      </c>
      <c r="H50" s="9">
        <v>8.6462000000000003</v>
      </c>
      <c r="I50" s="85">
        <f>(1-(Assumptions!$B$20))*G50+(Assumptions!$B$20)*H50</f>
        <v>8.5271000000000008</v>
      </c>
      <c r="J50" s="9"/>
      <c r="K50" s="13">
        <f>K49+1</f>
        <v>58</v>
      </c>
      <c r="L50" s="13"/>
      <c r="M50" s="1">
        <v>7.6563999999999997</v>
      </c>
      <c r="N50" s="1">
        <v>8.0345000000000013</v>
      </c>
      <c r="O50" s="85">
        <f>(1-(Assumptions!$B$20))*M50+(Assumptions!$B$20)*N50</f>
        <v>7.9210700000000003</v>
      </c>
      <c r="Q50" s="1">
        <v>8.0391999999999992</v>
      </c>
      <c r="R50" s="1">
        <v>8.4361999999999995</v>
      </c>
      <c r="S50" s="85">
        <f>(1-(Assumptions!$B$20))*Q50+(Assumptions!$B$20)*R50</f>
        <v>8.3170999999999999</v>
      </c>
    </row>
    <row r="51" spans="1:19" x14ac:dyDescent="0.25">
      <c r="A51" s="1">
        <f t="shared" si="0"/>
        <v>59</v>
      </c>
      <c r="B51" s="1"/>
      <c r="C51" s="9">
        <v>8.3670000000000009</v>
      </c>
      <c r="D51" s="9">
        <v>8.7697000000000003</v>
      </c>
      <c r="E51" s="85">
        <f>(1-(Assumptions!$B$20))*C51 + (Assumptions!$B$20)*D51</f>
        <v>8.6488900000000015</v>
      </c>
      <c r="F51" s="10"/>
      <c r="G51" s="1">
        <v>8.7853999999999992</v>
      </c>
      <c r="H51" s="9">
        <v>9.2081999999999997</v>
      </c>
      <c r="I51" s="85">
        <f>(1-(Assumptions!$B$20))*G51+(Assumptions!$B$20)*H51</f>
        <v>9.0813600000000001</v>
      </c>
      <c r="J51" s="9"/>
      <c r="K51" s="13">
        <f>K50+1</f>
        <v>59</v>
      </c>
      <c r="L51" s="13"/>
      <c r="M51" s="1">
        <v>8.1670000000000016</v>
      </c>
      <c r="N51" s="1">
        <v>8.569700000000001</v>
      </c>
      <c r="O51" s="85">
        <f>(1-(Assumptions!$B$20))*M51+(Assumptions!$B$20)*N51</f>
        <v>8.4488900000000022</v>
      </c>
      <c r="Q51" s="1">
        <v>8.5754000000000001</v>
      </c>
      <c r="R51" s="1">
        <v>8.9982000000000006</v>
      </c>
      <c r="S51" s="85">
        <f>(1-(Assumptions!$B$20))*Q51+(Assumptions!$B$20)*R51</f>
        <v>8.871360000000001</v>
      </c>
    </row>
    <row r="52" spans="1:19" x14ac:dyDescent="0.25">
      <c r="A52" s="1">
        <f t="shared" si="0"/>
        <v>60</v>
      </c>
      <c r="B52" s="1"/>
      <c r="C52" s="9">
        <v>8.9108999999999998</v>
      </c>
      <c r="D52" s="9">
        <v>9.3398000000000003</v>
      </c>
      <c r="E52" s="85">
        <f>(1-(Assumptions!$B$20))*C52 + (Assumptions!$B$20)*D52</f>
        <v>9.2111300000000007</v>
      </c>
      <c r="F52" s="10"/>
      <c r="G52" s="1">
        <v>9.3564000000000007</v>
      </c>
      <c r="H52" s="9">
        <v>9.8068000000000008</v>
      </c>
      <c r="I52" s="85">
        <f>(1-(Assumptions!$B$20))*G52+(Assumptions!$B$20)*H52</f>
        <v>9.6716800000000021</v>
      </c>
      <c r="J52" s="9"/>
      <c r="K52" s="13">
        <f t="shared" ref="K52:K92" si="1">K51+1</f>
        <v>60</v>
      </c>
      <c r="L52" s="13"/>
      <c r="M52" s="1">
        <v>8.7109000000000005</v>
      </c>
      <c r="N52" s="1">
        <v>9.139800000000001</v>
      </c>
      <c r="O52" s="85">
        <f>(1-(Assumptions!$B$20))*M52+(Assumptions!$B$20)*N52</f>
        <v>9.0111300000000014</v>
      </c>
      <c r="Q52" s="1">
        <v>9.1463999999999999</v>
      </c>
      <c r="R52" s="1">
        <v>9.5968</v>
      </c>
      <c r="S52" s="85">
        <f>(1-(Assumptions!$B$20))*Q52+(Assumptions!$B$20)*R52</f>
        <v>9.4616799999999994</v>
      </c>
    </row>
    <row r="53" spans="1:19" x14ac:dyDescent="0.25">
      <c r="A53" s="1">
        <f t="shared" si="0"/>
        <v>61</v>
      </c>
      <c r="B53" s="1"/>
      <c r="C53" s="9">
        <v>9.4901</v>
      </c>
      <c r="D53" s="9">
        <v>9.9468999999999994</v>
      </c>
      <c r="E53" s="85">
        <f>(1-(Assumptions!$B$20))*C53 + (Assumptions!$B$20)*D53</f>
        <v>9.8098600000000005</v>
      </c>
      <c r="F53" s="10"/>
      <c r="G53" s="1">
        <v>9.9646000000000008</v>
      </c>
      <c r="H53" s="9">
        <v>10.4442</v>
      </c>
      <c r="I53" s="85">
        <f>(1-(Assumptions!$B$20))*G53+(Assumptions!$B$20)*H53</f>
        <v>10.300319999999999</v>
      </c>
      <c r="J53" s="9"/>
      <c r="K53" s="13">
        <f t="shared" si="1"/>
        <v>61</v>
      </c>
      <c r="L53" s="13"/>
      <c r="M53" s="1">
        <v>9.2901000000000007</v>
      </c>
      <c r="N53" s="1">
        <v>9.7469000000000001</v>
      </c>
      <c r="O53" s="85">
        <f>(1-(Assumptions!$B$20))*M53+(Assumptions!$B$20)*N53</f>
        <v>9.6098600000000012</v>
      </c>
      <c r="Q53" s="1">
        <v>9.7545999999999999</v>
      </c>
      <c r="R53" s="1">
        <v>10.2342</v>
      </c>
      <c r="S53" s="85">
        <f>(1-(Assumptions!$B$20))*Q53+(Assumptions!$B$20)*R53</f>
        <v>10.09032</v>
      </c>
    </row>
    <row r="54" spans="1:19" x14ac:dyDescent="0.25">
      <c r="A54" s="1">
        <f t="shared" si="0"/>
        <v>62</v>
      </c>
      <c r="B54" s="1"/>
      <c r="C54" s="9">
        <v>10.106999999999999</v>
      </c>
      <c r="D54" s="9">
        <v>10.593500000000001</v>
      </c>
      <c r="E54" s="85">
        <f>(1-(Assumptions!$B$20))*C54 + (Assumptions!$B$20)*D54</f>
        <v>10.44755</v>
      </c>
      <c r="F54" s="10"/>
      <c r="G54" s="1">
        <v>10.612399999999999</v>
      </c>
      <c r="H54" s="9">
        <v>11.123200000000001</v>
      </c>
      <c r="I54" s="85">
        <f>(1-(Assumptions!$B$20))*G54+(Assumptions!$B$20)*H54</f>
        <v>10.96996</v>
      </c>
      <c r="J54" s="9"/>
      <c r="K54" s="13">
        <f t="shared" si="1"/>
        <v>62</v>
      </c>
      <c r="L54" s="13"/>
      <c r="M54" s="1">
        <v>9.907</v>
      </c>
      <c r="N54" s="1">
        <v>10.393500000000001</v>
      </c>
      <c r="O54" s="85">
        <f>(1-(Assumptions!$B$20))*M54+(Assumptions!$B$20)*N54</f>
        <v>10.24755</v>
      </c>
      <c r="Q54" s="1">
        <v>10.4024</v>
      </c>
      <c r="R54" s="1">
        <v>10.9132</v>
      </c>
      <c r="S54" s="85">
        <f>(1-(Assumptions!$B$20))*Q54+(Assumptions!$B$20)*R54</f>
        <v>10.75996</v>
      </c>
    </row>
    <row r="55" spans="1:19" x14ac:dyDescent="0.25">
      <c r="A55" s="1">
        <f t="shared" si="0"/>
        <v>63</v>
      </c>
      <c r="B55" s="1"/>
      <c r="C55" s="9">
        <v>10.7639</v>
      </c>
      <c r="D55" s="9">
        <v>11.282</v>
      </c>
      <c r="E55" s="85">
        <f>(1-(Assumptions!$B$20))*C55 + (Assumptions!$B$20)*D55</f>
        <v>11.126569999999999</v>
      </c>
      <c r="F55" s="10"/>
      <c r="G55" s="1">
        <v>11.302099999999999</v>
      </c>
      <c r="H55" s="9">
        <v>11.8461</v>
      </c>
      <c r="I55" s="85">
        <f>(1-(Assumptions!$B$20))*G55+(Assumptions!$B$20)*H55</f>
        <v>11.6829</v>
      </c>
      <c r="J55" s="9"/>
      <c r="K55" s="13">
        <f t="shared" si="1"/>
        <v>63</v>
      </c>
      <c r="L55" s="13"/>
      <c r="M55" s="1">
        <v>10.5639</v>
      </c>
      <c r="N55" s="1">
        <v>11.082000000000001</v>
      </c>
      <c r="O55" s="85">
        <f>(1-(Assumptions!$B$20))*M55+(Assumptions!$B$20)*N55</f>
        <v>10.92657</v>
      </c>
      <c r="Q55" s="1">
        <v>11.0921</v>
      </c>
      <c r="R55" s="1">
        <v>11.636100000000001</v>
      </c>
      <c r="S55" s="85">
        <f>(1-(Assumptions!$B$20))*Q55+(Assumptions!$B$20)*R55</f>
        <v>11.472900000000001</v>
      </c>
    </row>
    <row r="56" spans="1:19" x14ac:dyDescent="0.25">
      <c r="A56" s="1">
        <f t="shared" si="0"/>
        <v>64</v>
      </c>
      <c r="B56" s="1"/>
      <c r="C56" s="9">
        <v>11.4636</v>
      </c>
      <c r="D56" s="9">
        <v>12.0154</v>
      </c>
      <c r="E56" s="85">
        <f>(1-(Assumptions!$B$20))*C56 + (Assumptions!$B$20)*D56</f>
        <v>11.84986</v>
      </c>
      <c r="F56" s="10"/>
      <c r="G56" s="1">
        <v>12.036799999999999</v>
      </c>
      <c r="H56" s="9">
        <v>12.616199999999999</v>
      </c>
      <c r="I56" s="85">
        <f>(1-(Assumptions!$B$20))*G56+(Assumptions!$B$20)*H56</f>
        <v>12.44238</v>
      </c>
      <c r="J56" s="9"/>
      <c r="K56" s="13">
        <f t="shared" si="1"/>
        <v>64</v>
      </c>
      <c r="L56" s="13"/>
      <c r="M56" s="1">
        <v>11.2636</v>
      </c>
      <c r="N56" s="1">
        <v>11.8154</v>
      </c>
      <c r="O56" s="85">
        <f>(1-(Assumptions!$B$20))*M56+(Assumptions!$B$20)*N56</f>
        <v>11.64986</v>
      </c>
      <c r="Q56" s="1">
        <v>11.8268</v>
      </c>
      <c r="R56" s="1">
        <v>12.4062</v>
      </c>
      <c r="S56" s="85">
        <f>(1-(Assumptions!$B$20))*Q56+(Assumptions!$B$20)*R56</f>
        <v>12.232379999999999</v>
      </c>
    </row>
    <row r="57" spans="1:19" x14ac:dyDescent="0.25">
      <c r="A57" s="1">
        <f t="shared" si="0"/>
        <v>65</v>
      </c>
      <c r="B57" s="1"/>
      <c r="C57" s="9">
        <v>11.278499999999999</v>
      </c>
      <c r="D57" s="9">
        <v>11.821400000000001</v>
      </c>
      <c r="E57" s="85">
        <f>(1-(Assumptions!$B$20))*C57 + (Assumptions!$B$20)*D57</f>
        <v>11.658529999999999</v>
      </c>
      <c r="F57" s="10"/>
      <c r="G57" s="1">
        <v>11.8424</v>
      </c>
      <c r="H57" s="9">
        <v>12.4125</v>
      </c>
      <c r="I57" s="85">
        <f>(1-(Assumptions!$B$20))*G57+(Assumptions!$B$20)*H57</f>
        <v>12.24147</v>
      </c>
      <c r="J57" s="9"/>
      <c r="K57" s="13">
        <f t="shared" si="1"/>
        <v>65</v>
      </c>
      <c r="L57" s="13"/>
      <c r="M57" s="1">
        <v>11.0785</v>
      </c>
      <c r="N57" s="1">
        <v>11.621400000000001</v>
      </c>
      <c r="O57" s="85">
        <f>(1-(Assumptions!$B$20))*M57+(Assumptions!$B$20)*N57</f>
        <v>11.458530000000001</v>
      </c>
      <c r="Q57" s="1">
        <v>11.632400000000001</v>
      </c>
      <c r="R57" s="1">
        <v>12.202500000000001</v>
      </c>
      <c r="S57" s="85">
        <f>(1-(Assumptions!$B$20))*Q57+(Assumptions!$B$20)*R57</f>
        <v>12.031470000000001</v>
      </c>
    </row>
    <row r="58" spans="1:19" x14ac:dyDescent="0.25">
      <c r="A58" s="1">
        <f t="shared" si="0"/>
        <v>66</v>
      </c>
      <c r="B58" s="1"/>
      <c r="C58" s="9">
        <v>11.09</v>
      </c>
      <c r="D58" s="9">
        <v>11.6214</v>
      </c>
      <c r="E58" s="85">
        <f>(1-(Assumptions!$B$20))*C58 + (Assumptions!$B$20)*D58</f>
        <v>11.461979999999999</v>
      </c>
      <c r="F58" s="10"/>
      <c r="G58" s="1">
        <v>11.644500000000001</v>
      </c>
      <c r="H58" s="9">
        <v>12.202500000000001</v>
      </c>
      <c r="I58" s="85">
        <f>(1-(Assumptions!$B$20))*G58+(Assumptions!$B$20)*H58</f>
        <v>12.035100000000002</v>
      </c>
      <c r="J58" s="9"/>
      <c r="K58" s="13">
        <f t="shared" si="1"/>
        <v>66</v>
      </c>
      <c r="L58" s="13"/>
      <c r="M58" s="1">
        <v>10.89</v>
      </c>
      <c r="N58" s="1">
        <v>11.4214</v>
      </c>
      <c r="O58" s="85">
        <f>(1-(Assumptions!$B$20))*M58+(Assumptions!$B$20)*N58</f>
        <v>11.261980000000001</v>
      </c>
      <c r="Q58" s="1">
        <v>11.4345</v>
      </c>
      <c r="R58" s="1">
        <v>11.9925</v>
      </c>
      <c r="S58" s="85">
        <f>(1-(Assumptions!$B$20))*Q58+(Assumptions!$B$20)*R58</f>
        <v>11.825099999999999</v>
      </c>
    </row>
    <row r="59" spans="1:19" x14ac:dyDescent="0.25">
      <c r="A59" s="1">
        <f t="shared" si="0"/>
        <v>67</v>
      </c>
      <c r="B59" s="1"/>
      <c r="C59" s="9">
        <v>10.898199999999999</v>
      </c>
      <c r="D59" s="9">
        <v>11.4154</v>
      </c>
      <c r="E59" s="85">
        <f>(1-(Assumptions!$B$20))*C59 + (Assumptions!$B$20)*D59</f>
        <v>11.26024</v>
      </c>
      <c r="F59" s="10"/>
      <c r="G59" s="1">
        <v>11.443099999999999</v>
      </c>
      <c r="H59" s="9">
        <v>11.9862</v>
      </c>
      <c r="I59" s="85">
        <f>(1-(Assumptions!$B$20))*G59+(Assumptions!$B$20)*H59</f>
        <v>11.823270000000001</v>
      </c>
      <c r="J59" s="9"/>
      <c r="K59" s="13">
        <f t="shared" si="1"/>
        <v>67</v>
      </c>
      <c r="L59" s="13"/>
      <c r="M59" s="1">
        <v>10.6982</v>
      </c>
      <c r="N59" s="1">
        <v>11.215400000000001</v>
      </c>
      <c r="O59" s="85">
        <f>(1-(Assumptions!$B$20))*M59+(Assumptions!$B$20)*N59</f>
        <v>11.06024</v>
      </c>
      <c r="Q59" s="1">
        <v>11.2331</v>
      </c>
      <c r="R59" s="1">
        <v>11.776199999999999</v>
      </c>
      <c r="S59" s="85">
        <f>(1-(Assumptions!$B$20))*Q59+(Assumptions!$B$20)*R59</f>
        <v>11.61327</v>
      </c>
    </row>
    <row r="60" spans="1:19" x14ac:dyDescent="0.25">
      <c r="A60" s="1">
        <f t="shared" si="0"/>
        <v>68</v>
      </c>
      <c r="B60" s="1"/>
      <c r="C60" s="9">
        <v>10.703200000000001</v>
      </c>
      <c r="D60" s="9">
        <v>11.203900000000001</v>
      </c>
      <c r="E60" s="85">
        <f>(1-(Assumptions!$B$20))*C60 + (Assumptions!$B$20)*D60</f>
        <v>11.053690000000001</v>
      </c>
      <c r="F60" s="10"/>
      <c r="G60" s="1">
        <v>11.2384</v>
      </c>
      <c r="H60" s="9">
        <v>11.764099999999999</v>
      </c>
      <c r="I60" s="85">
        <f>(1-(Assumptions!$B$20))*G60+(Assumptions!$B$20)*H60</f>
        <v>11.606389999999999</v>
      </c>
      <c r="J60" s="9"/>
      <c r="K60" s="13">
        <f t="shared" si="1"/>
        <v>68</v>
      </c>
      <c r="L60" s="13"/>
      <c r="M60" s="1">
        <v>10.503200000000001</v>
      </c>
      <c r="N60" s="1">
        <v>11.003900000000002</v>
      </c>
      <c r="O60" s="85">
        <f>(1-(Assumptions!$B$20))*M60+(Assumptions!$B$20)*N60</f>
        <v>10.853690000000002</v>
      </c>
      <c r="Q60" s="1">
        <v>11.0284</v>
      </c>
      <c r="R60" s="1">
        <v>11.5541</v>
      </c>
      <c r="S60" s="85">
        <f>(1-(Assumptions!$B$20))*Q60+(Assumptions!$B$20)*R60</f>
        <v>11.39639</v>
      </c>
    </row>
    <row r="61" spans="1:19" x14ac:dyDescent="0.25">
      <c r="A61" s="1">
        <f t="shared" si="0"/>
        <v>69</v>
      </c>
      <c r="B61" s="1"/>
      <c r="C61" s="9">
        <v>10.5052</v>
      </c>
      <c r="D61" s="9">
        <v>10.9872</v>
      </c>
      <c r="E61" s="85">
        <f>(1-(Assumptions!$B$20))*C61 + (Assumptions!$B$20)*D61</f>
        <v>10.842599999999999</v>
      </c>
      <c r="F61" s="10"/>
      <c r="G61" s="1">
        <v>11.0305</v>
      </c>
      <c r="H61" s="9">
        <v>11.5366</v>
      </c>
      <c r="I61" s="85">
        <f>(1-(Assumptions!$B$20))*G61+(Assumptions!$B$20)*H61</f>
        <v>11.38477</v>
      </c>
      <c r="J61" s="9"/>
      <c r="K61" s="13">
        <f t="shared" si="1"/>
        <v>69</v>
      </c>
      <c r="L61" s="13"/>
      <c r="M61" s="1">
        <v>10.305200000000001</v>
      </c>
      <c r="N61" s="1">
        <v>10.7872</v>
      </c>
      <c r="O61" s="85">
        <f>(1-(Assumptions!$B$20))*M61+(Assumptions!$B$20)*N61</f>
        <v>10.6426</v>
      </c>
      <c r="Q61" s="1">
        <v>10.820499999999999</v>
      </c>
      <c r="R61" s="1">
        <v>11.326599999999999</v>
      </c>
      <c r="S61" s="85">
        <f>(1-(Assumptions!$B$20))*Q61+(Assumptions!$B$20)*R61</f>
        <v>11.174769999999999</v>
      </c>
    </row>
    <row r="62" spans="1:19" x14ac:dyDescent="0.25">
      <c r="A62" s="1">
        <f t="shared" si="0"/>
        <v>70</v>
      </c>
      <c r="B62" s="1"/>
      <c r="C62" s="9">
        <v>10.304600000000001</v>
      </c>
      <c r="D62" s="9">
        <v>10.765599999999999</v>
      </c>
      <c r="E62" s="85">
        <f>(1-(Assumptions!$B$20))*C62 + (Assumptions!$B$20)*D62</f>
        <v>10.6273</v>
      </c>
      <c r="F62" s="10"/>
      <c r="G62" s="1">
        <v>10.819800000000001</v>
      </c>
      <c r="H62" s="9">
        <v>11.303900000000001</v>
      </c>
      <c r="I62" s="85">
        <f>(1-(Assumptions!$B$20))*G62+(Assumptions!$B$20)*H62</f>
        <v>11.158670000000001</v>
      </c>
      <c r="J62" s="9"/>
      <c r="K62" s="13">
        <f t="shared" si="1"/>
        <v>70</v>
      </c>
      <c r="L62" s="13"/>
      <c r="M62" s="1">
        <v>10.104600000000001</v>
      </c>
      <c r="N62" s="1">
        <v>10.5656</v>
      </c>
      <c r="O62" s="85">
        <f>(1-(Assumptions!$B$20))*M62+(Assumptions!$B$20)*N62</f>
        <v>10.427300000000001</v>
      </c>
      <c r="Q62" s="1">
        <v>10.6098</v>
      </c>
      <c r="R62" s="1">
        <v>11.0939</v>
      </c>
      <c r="S62" s="85">
        <f>(1-(Assumptions!$B$20))*Q62+(Assumptions!$B$20)*R62</f>
        <v>10.94867</v>
      </c>
    </row>
    <row r="63" spans="1:19" x14ac:dyDescent="0.25">
      <c r="A63" s="1">
        <f t="shared" si="0"/>
        <v>71</v>
      </c>
      <c r="B63" s="1"/>
      <c r="C63" s="9">
        <v>10.101900000000001</v>
      </c>
      <c r="D63" s="9">
        <v>10.539899999999999</v>
      </c>
      <c r="E63" s="85">
        <f>(1-(Assumptions!$B$20))*C63 + (Assumptions!$B$20)*D63</f>
        <v>10.4085</v>
      </c>
      <c r="F63" s="10"/>
      <c r="G63" s="1">
        <v>10.606999999999999</v>
      </c>
      <c r="H63" s="9">
        <v>11.0669</v>
      </c>
      <c r="I63" s="85">
        <f>(1-(Assumptions!$B$20))*G63+(Assumptions!$B$20)*H63</f>
        <v>10.928930000000001</v>
      </c>
      <c r="J63" s="9"/>
      <c r="K63" s="13">
        <f t="shared" si="1"/>
        <v>71</v>
      </c>
      <c r="L63" s="13"/>
      <c r="M63" s="1">
        <v>9.9019000000000013</v>
      </c>
      <c r="N63" s="1">
        <v>10.3399</v>
      </c>
      <c r="O63" s="85">
        <f>(1-(Assumptions!$B$20))*M63+(Assumptions!$B$20)*N63</f>
        <v>10.208500000000001</v>
      </c>
      <c r="Q63" s="1">
        <v>10.397</v>
      </c>
      <c r="R63" s="1">
        <v>10.8569</v>
      </c>
      <c r="S63" s="85">
        <f>(1-(Assumptions!$B$20))*Q63+(Assumptions!$B$20)*R63</f>
        <v>10.71893</v>
      </c>
    </row>
    <row r="64" spans="1:19" x14ac:dyDescent="0.25">
      <c r="A64" s="1">
        <f t="shared" si="0"/>
        <v>72</v>
      </c>
      <c r="B64" s="1"/>
      <c r="C64" s="9">
        <v>9.8992000000000004</v>
      </c>
      <c r="D64" s="9">
        <v>10.312099999999999</v>
      </c>
      <c r="E64" s="85">
        <f>(1-(Assumptions!$B$20))*C64 + (Assumptions!$B$20)*D64</f>
        <v>10.188229999999999</v>
      </c>
      <c r="F64" s="10"/>
      <c r="G64" s="1">
        <v>10.3942</v>
      </c>
      <c r="H64" s="9">
        <v>10.8277</v>
      </c>
      <c r="I64" s="85">
        <f>(1-(Assumptions!$B$20))*G64+(Assumptions!$B$20)*H64</f>
        <v>10.697649999999999</v>
      </c>
      <c r="J64" s="9"/>
      <c r="K64" s="13">
        <f t="shared" si="1"/>
        <v>72</v>
      </c>
      <c r="L64" s="13"/>
      <c r="M64" s="1">
        <v>9.6992000000000012</v>
      </c>
      <c r="N64" s="1">
        <v>10.1121</v>
      </c>
      <c r="O64" s="85">
        <f>(1-(Assumptions!$B$20))*M64+(Assumptions!$B$20)*N64</f>
        <v>9.9882299999999997</v>
      </c>
      <c r="Q64" s="1">
        <v>10.184200000000001</v>
      </c>
      <c r="R64" s="1">
        <v>10.617699999999999</v>
      </c>
      <c r="S64" s="85">
        <f>(1-(Assumptions!$B$20))*Q64+(Assumptions!$B$20)*R64</f>
        <v>10.487649999999999</v>
      </c>
    </row>
    <row r="65" spans="1:19" x14ac:dyDescent="0.25">
      <c r="A65" s="1">
        <f t="shared" si="0"/>
        <v>73</v>
      </c>
      <c r="B65" s="1"/>
      <c r="C65" s="9">
        <v>9.6967999999999996</v>
      </c>
      <c r="D65" s="9">
        <v>10.0825</v>
      </c>
      <c r="E65" s="85">
        <f>(1-(Assumptions!$B$20))*C65 + (Assumptions!$B$20)*D65</f>
        <v>9.9667899999999996</v>
      </c>
      <c r="F65" s="10"/>
      <c r="G65" s="1">
        <v>10.1816</v>
      </c>
      <c r="H65" s="9">
        <v>10.586600000000001</v>
      </c>
      <c r="I65" s="85">
        <f>(1-(Assumptions!$B$20))*G65+(Assumptions!$B$20)*H65</f>
        <v>10.4651</v>
      </c>
      <c r="J65" s="9"/>
      <c r="K65" s="13">
        <f t="shared" si="1"/>
        <v>73</v>
      </c>
      <c r="L65" s="13"/>
      <c r="M65" s="1">
        <v>9.4968000000000004</v>
      </c>
      <c r="N65" s="1">
        <v>9.8825000000000003</v>
      </c>
      <c r="O65" s="85">
        <f>(1-(Assumptions!$B$20))*M65+(Assumptions!$B$20)*N65</f>
        <v>9.7667900000000003</v>
      </c>
      <c r="Q65" s="1">
        <v>9.9716000000000005</v>
      </c>
      <c r="R65" s="1">
        <v>10.3766</v>
      </c>
      <c r="S65" s="85">
        <f>(1-(Assumptions!$B$20))*Q65+(Assumptions!$B$20)*R65</f>
        <v>10.255100000000001</v>
      </c>
    </row>
    <row r="66" spans="1:19" x14ac:dyDescent="0.25">
      <c r="A66" s="1">
        <f t="shared" si="0"/>
        <v>74</v>
      </c>
      <c r="B66" s="1"/>
      <c r="C66" s="9">
        <v>9.4966000000000008</v>
      </c>
      <c r="D66" s="9">
        <v>9.8536000000000001</v>
      </c>
      <c r="E66" s="85">
        <f>(1-(Assumptions!$B$20))*C66 + (Assumptions!$B$20)*D66</f>
        <v>9.7465000000000011</v>
      </c>
      <c r="F66" s="10"/>
      <c r="G66" s="1">
        <v>9.9713999999999992</v>
      </c>
      <c r="H66" s="9">
        <v>10.346299999999999</v>
      </c>
      <c r="I66" s="85">
        <f>(1-(Assumptions!$B$20))*G66+(Assumptions!$B$20)*H66</f>
        <v>10.233829999999999</v>
      </c>
      <c r="J66" s="9"/>
      <c r="K66" s="13">
        <f t="shared" si="1"/>
        <v>74</v>
      </c>
      <c r="L66" s="13"/>
      <c r="M66" s="1">
        <v>9.2966000000000015</v>
      </c>
      <c r="N66" s="1">
        <v>9.6536000000000008</v>
      </c>
      <c r="O66" s="85">
        <f>(1-(Assumptions!$B$20))*M66+(Assumptions!$B$20)*N66</f>
        <v>9.5465000000000018</v>
      </c>
      <c r="Q66" s="1">
        <v>9.7614000000000001</v>
      </c>
      <c r="R66" s="1">
        <v>10.1363</v>
      </c>
      <c r="S66" s="85">
        <f>(1-(Assumptions!$B$20))*Q66+(Assumptions!$B$20)*R66</f>
        <v>10.02383</v>
      </c>
    </row>
    <row r="67" spans="1:19" x14ac:dyDescent="0.25">
      <c r="A67" s="1">
        <f t="shared" si="0"/>
        <v>75</v>
      </c>
      <c r="B67" s="1"/>
      <c r="C67" s="9">
        <v>9.2988999999999997</v>
      </c>
      <c r="D67" s="9">
        <v>9.6262000000000008</v>
      </c>
      <c r="E67" s="85">
        <f>(1-(Assumptions!$B$20))*C67 + (Assumptions!$B$20)*D67</f>
        <v>9.5280100000000001</v>
      </c>
      <c r="F67" s="10"/>
      <c r="G67" s="1">
        <v>9.7637999999999998</v>
      </c>
      <c r="H67" s="9">
        <v>10.1075</v>
      </c>
      <c r="I67" s="85">
        <f>(1-(Assumptions!$B$20))*G67+(Assumptions!$B$20)*H67</f>
        <v>10.004390000000001</v>
      </c>
      <c r="J67" s="9"/>
      <c r="K67" s="13">
        <f t="shared" si="1"/>
        <v>75</v>
      </c>
      <c r="L67" s="13"/>
      <c r="M67" s="1">
        <v>9.0989000000000004</v>
      </c>
      <c r="N67" s="1">
        <v>9.4262000000000015</v>
      </c>
      <c r="O67" s="85">
        <f>(1-(Assumptions!$B$20))*M67+(Assumptions!$B$20)*N67</f>
        <v>9.3280100000000008</v>
      </c>
      <c r="Q67" s="1">
        <v>9.5538000000000007</v>
      </c>
      <c r="R67" s="1">
        <v>9.8975000000000009</v>
      </c>
      <c r="S67" s="85">
        <f>(1-(Assumptions!$B$20))*Q67+(Assumptions!$B$20)*R67</f>
        <v>9.7943899999999999</v>
      </c>
    </row>
    <row r="68" spans="1:19" x14ac:dyDescent="0.25">
      <c r="A68" s="1">
        <f t="shared" si="0"/>
        <v>76</v>
      </c>
      <c r="B68" s="1"/>
      <c r="C68" s="9">
        <v>9.1061999999999994</v>
      </c>
      <c r="D68" s="9">
        <v>9.4031000000000002</v>
      </c>
      <c r="E68" s="85">
        <f>(1-(Assumptions!$B$20))*C68 + (Assumptions!$B$20)*D68</f>
        <v>9.3140299999999989</v>
      </c>
      <c r="F68" s="10"/>
      <c r="G68" s="1">
        <v>9.5615000000000006</v>
      </c>
      <c r="H68" s="9">
        <v>9.8733000000000004</v>
      </c>
      <c r="I68" s="85">
        <f>(1-(Assumptions!$B$20))*G68+(Assumptions!$B$20)*H68</f>
        <v>9.7797600000000013</v>
      </c>
      <c r="J68" s="9"/>
      <c r="K68" s="13">
        <f t="shared" si="1"/>
        <v>76</v>
      </c>
      <c r="L68" s="13"/>
      <c r="M68" s="1">
        <v>8.9062000000000001</v>
      </c>
      <c r="N68" s="1">
        <v>9.2031000000000009</v>
      </c>
      <c r="O68" s="85">
        <f>(1-(Assumptions!$B$20))*M68+(Assumptions!$B$20)*N68</f>
        <v>9.1140299999999996</v>
      </c>
      <c r="Q68" s="1">
        <v>9.3514999999999997</v>
      </c>
      <c r="R68" s="1">
        <v>9.6632999999999996</v>
      </c>
      <c r="S68" s="85">
        <f>(1-(Assumptions!$B$20))*Q68+(Assumptions!$B$20)*R68</f>
        <v>9.5697599999999987</v>
      </c>
    </row>
    <row r="69" spans="1:19" x14ac:dyDescent="0.25">
      <c r="A69" s="1">
        <f t="shared" si="0"/>
        <v>77</v>
      </c>
      <c r="B69" s="1"/>
      <c r="C69" s="9">
        <v>8.9213000000000005</v>
      </c>
      <c r="D69" s="9">
        <v>9.1870999999999992</v>
      </c>
      <c r="E69" s="85">
        <f>(1-(Assumptions!$B$20))*C69 + (Assumptions!$B$20)*D69</f>
        <v>9.1073599999999999</v>
      </c>
      <c r="F69" s="10"/>
      <c r="G69" s="1">
        <v>9.3673999999999999</v>
      </c>
      <c r="H69" s="9">
        <v>9.6464999999999996</v>
      </c>
      <c r="I69" s="85">
        <f>(1-(Assumptions!$B$20))*G69+(Assumptions!$B$20)*H69</f>
        <v>9.5627700000000004</v>
      </c>
      <c r="J69" s="9"/>
      <c r="K69" s="13">
        <f t="shared" si="1"/>
        <v>77</v>
      </c>
      <c r="L69" s="13"/>
      <c r="M69" s="1">
        <v>8.7213000000000012</v>
      </c>
      <c r="N69" s="1">
        <v>8.9870999999999999</v>
      </c>
      <c r="O69" s="85">
        <f>(1-(Assumptions!$B$20))*M69+(Assumptions!$B$20)*N69</f>
        <v>8.9073600000000006</v>
      </c>
      <c r="Q69" s="1">
        <v>9.1574000000000009</v>
      </c>
      <c r="R69" s="1">
        <v>9.4365000000000006</v>
      </c>
      <c r="S69" s="85">
        <f>(1-(Assumptions!$B$20))*Q69+(Assumptions!$B$20)*R69</f>
        <v>9.3527700000000014</v>
      </c>
    </row>
    <row r="70" spans="1:19" x14ac:dyDescent="0.25">
      <c r="A70" s="1">
        <f t="shared" si="0"/>
        <v>78</v>
      </c>
      <c r="B70" s="1"/>
      <c r="C70" s="9">
        <v>8.7446000000000002</v>
      </c>
      <c r="D70" s="9">
        <v>8.9797999999999991</v>
      </c>
      <c r="E70" s="85">
        <f>(1-(Assumptions!$B$20))*C70 + (Assumptions!$B$20)*D70</f>
        <v>8.9092399999999987</v>
      </c>
      <c r="F70" s="10"/>
      <c r="G70" s="1">
        <v>9.1818000000000008</v>
      </c>
      <c r="H70" s="9">
        <v>9.4288000000000007</v>
      </c>
      <c r="I70" s="85">
        <f>(1-(Assumptions!$B$20))*G70+(Assumptions!$B$20)*H70</f>
        <v>9.3547000000000011</v>
      </c>
      <c r="J70" s="9"/>
      <c r="K70" s="13">
        <f t="shared" si="1"/>
        <v>78</v>
      </c>
      <c r="L70" s="13"/>
      <c r="M70" s="1">
        <v>8.5446000000000009</v>
      </c>
      <c r="N70" s="1">
        <v>8.7797999999999998</v>
      </c>
      <c r="O70" s="85">
        <f>(1-(Assumptions!$B$20))*M70+(Assumptions!$B$20)*N70</f>
        <v>8.7092400000000012</v>
      </c>
      <c r="Q70" s="1">
        <v>8.9718</v>
      </c>
      <c r="R70" s="1">
        <v>9.2187999999999999</v>
      </c>
      <c r="S70" s="85">
        <f>(1-(Assumptions!$B$20))*Q70+(Assumptions!$B$20)*R70</f>
        <v>9.1447000000000003</v>
      </c>
    </row>
    <row r="71" spans="1:19" x14ac:dyDescent="0.25">
      <c r="A71" s="1">
        <f t="shared" si="0"/>
        <v>79</v>
      </c>
      <c r="B71" s="1"/>
      <c r="C71" s="9">
        <v>8.5772999999999993</v>
      </c>
      <c r="D71" s="9">
        <v>8.7824000000000009</v>
      </c>
      <c r="E71" s="85">
        <f>(1-(Assumptions!$B$20))*C71 + (Assumptions!$B$20)*D71</f>
        <v>8.7208700000000015</v>
      </c>
      <c r="F71" s="10"/>
      <c r="G71" s="1">
        <v>9.0061999999999998</v>
      </c>
      <c r="H71" s="9">
        <v>9.2215000000000007</v>
      </c>
      <c r="I71" s="85">
        <f>(1-(Assumptions!$B$20))*G71+(Assumptions!$B$20)*H71</f>
        <v>9.1569099999999999</v>
      </c>
      <c r="J71" s="9"/>
      <c r="K71" s="13">
        <f t="shared" si="1"/>
        <v>79</v>
      </c>
      <c r="L71" s="13"/>
      <c r="M71" s="1">
        <v>8.3773</v>
      </c>
      <c r="N71" s="1">
        <v>8.5824000000000016</v>
      </c>
      <c r="O71" s="85">
        <f>(1-(Assumptions!$B$20))*M71+(Assumptions!$B$20)*N71</f>
        <v>8.5208700000000004</v>
      </c>
      <c r="Q71" s="1">
        <v>8.7962000000000007</v>
      </c>
      <c r="R71" s="1">
        <v>9.0114999999999998</v>
      </c>
      <c r="S71" s="85">
        <f>(1-(Assumptions!$B$20))*Q71+(Assumptions!$B$20)*R71</f>
        <v>8.9469100000000008</v>
      </c>
    </row>
    <row r="72" spans="1:19" x14ac:dyDescent="0.25">
      <c r="A72" s="1">
        <f t="shared" si="0"/>
        <v>80</v>
      </c>
      <c r="B72" s="1"/>
      <c r="C72" s="9">
        <v>8.4209999999999994</v>
      </c>
      <c r="D72" s="9">
        <v>8.5968</v>
      </c>
      <c r="E72" s="85">
        <f>(1-(Assumptions!$B$20))*C72 + (Assumptions!$B$20)*D72</f>
        <v>8.54406</v>
      </c>
      <c r="F72" s="10"/>
      <c r="G72" s="1">
        <v>8.8421000000000003</v>
      </c>
      <c r="H72" s="9">
        <v>9.0266000000000002</v>
      </c>
      <c r="I72" s="85">
        <f>(1-(Assumptions!$B$20))*G72+(Assumptions!$B$20)*H72</f>
        <v>8.9712500000000013</v>
      </c>
      <c r="J72" s="9"/>
      <c r="K72" s="13">
        <f t="shared" si="1"/>
        <v>80</v>
      </c>
      <c r="L72" s="13"/>
      <c r="M72" s="1">
        <v>8.2210000000000001</v>
      </c>
      <c r="N72" s="1">
        <v>8.3968000000000007</v>
      </c>
      <c r="O72" s="85">
        <f>(1-(Assumptions!$B$20))*M72+(Assumptions!$B$20)*N72</f>
        <v>8.3440600000000007</v>
      </c>
      <c r="Q72" s="1">
        <v>8.6320999999999994</v>
      </c>
      <c r="R72" s="1">
        <v>8.8165999999999993</v>
      </c>
      <c r="S72" s="85">
        <f>(1-(Assumptions!$B$20))*Q72+(Assumptions!$B$20)*R72</f>
        <v>8.7612499999999986</v>
      </c>
    </row>
    <row r="73" spans="1:19" x14ac:dyDescent="0.25">
      <c r="A73" s="1">
        <f t="shared" si="0"/>
        <v>81</v>
      </c>
      <c r="B73" s="1"/>
      <c r="C73" s="9">
        <v>8.2766999999999999</v>
      </c>
      <c r="D73" s="9">
        <v>8.4248999999999992</v>
      </c>
      <c r="E73" s="85">
        <f>(1-(Assumptions!$B$20))*C73 + (Assumptions!$B$20)*D73</f>
        <v>8.3804400000000001</v>
      </c>
      <c r="F73" s="10"/>
      <c r="G73" s="1">
        <v>8.6905000000000001</v>
      </c>
      <c r="H73" s="9">
        <v>8.8460999999999999</v>
      </c>
      <c r="I73" s="85">
        <f>(1-(Assumptions!$B$20))*G73+(Assumptions!$B$20)*H73</f>
        <v>8.7994199999999996</v>
      </c>
      <c r="J73" s="9"/>
      <c r="K73" s="13">
        <f t="shared" si="1"/>
        <v>81</v>
      </c>
      <c r="L73" s="13"/>
      <c r="M73" s="1">
        <v>8.0767000000000007</v>
      </c>
      <c r="N73" s="1">
        <v>8.2248999999999999</v>
      </c>
      <c r="O73" s="85">
        <f>(1-(Assumptions!$B$20))*M73+(Assumptions!$B$20)*N73</f>
        <v>8.1804400000000008</v>
      </c>
      <c r="Q73" s="1">
        <v>8.4804999999999993</v>
      </c>
      <c r="R73" s="1">
        <v>8.6361000000000008</v>
      </c>
      <c r="S73" s="85">
        <f>(1-(Assumptions!$B$20))*Q73+(Assumptions!$B$20)*R73</f>
        <v>8.5894200000000005</v>
      </c>
    </row>
    <row r="74" spans="1:19" x14ac:dyDescent="0.25">
      <c r="A74" s="1">
        <f t="shared" si="0"/>
        <v>82</v>
      </c>
      <c r="B74" s="1"/>
      <c r="C74" s="9">
        <v>8.1448999999999998</v>
      </c>
      <c r="D74" s="9">
        <v>8.2675000000000001</v>
      </c>
      <c r="E74" s="85">
        <f>(1-(Assumptions!$B$20))*C74 + (Assumptions!$B$20)*D74</f>
        <v>8.2307199999999998</v>
      </c>
      <c r="F74" s="10"/>
      <c r="G74" s="1">
        <v>8.5520999999999994</v>
      </c>
      <c r="H74" s="9">
        <v>8.6808999999999994</v>
      </c>
      <c r="I74" s="85">
        <f>(1-(Assumptions!$B$20))*G74+(Assumptions!$B$20)*H74</f>
        <v>8.6422599999999985</v>
      </c>
      <c r="J74" s="9"/>
      <c r="K74" s="13">
        <f t="shared" si="1"/>
        <v>82</v>
      </c>
      <c r="L74" s="13"/>
      <c r="M74" s="1">
        <v>7.9448999999999996</v>
      </c>
      <c r="N74" s="1">
        <v>8.0675000000000008</v>
      </c>
      <c r="O74" s="85">
        <f>(1-(Assumptions!$B$20))*M74+(Assumptions!$B$20)*N74</f>
        <v>8.0307200000000005</v>
      </c>
      <c r="Q74" s="1">
        <v>8.3421000000000003</v>
      </c>
      <c r="R74" s="1">
        <v>8.4709000000000003</v>
      </c>
      <c r="S74" s="85">
        <f>(1-(Assumptions!$B$20))*Q74+(Assumptions!$B$20)*R74</f>
        <v>8.4322599999999994</v>
      </c>
    </row>
    <row r="75" spans="1:19" x14ac:dyDescent="0.25">
      <c r="A75" s="1">
        <f t="shared" si="0"/>
        <v>83</v>
      </c>
      <c r="B75" s="1"/>
      <c r="C75" s="9">
        <v>8.0261999999999993</v>
      </c>
      <c r="D75" s="9">
        <v>8.1257000000000001</v>
      </c>
      <c r="E75" s="85">
        <f>(1-(Assumptions!$B$20))*C75 + (Assumptions!$B$20)*D75</f>
        <v>8.0958500000000004</v>
      </c>
      <c r="F75" s="10"/>
      <c r="G75" s="1">
        <v>8.4275000000000002</v>
      </c>
      <c r="H75" s="9">
        <v>8.532</v>
      </c>
      <c r="I75" s="85">
        <f>(1-(Assumptions!$B$20))*G75+(Assumptions!$B$20)*H75</f>
        <v>8.5006500000000003</v>
      </c>
      <c r="J75" s="9"/>
      <c r="K75" s="13">
        <f t="shared" si="1"/>
        <v>83</v>
      </c>
      <c r="L75" s="13"/>
      <c r="M75" s="1">
        <v>7.8261999999999992</v>
      </c>
      <c r="N75" s="1">
        <v>7.9257</v>
      </c>
      <c r="O75" s="85">
        <f>(1-(Assumptions!$B$20))*M75+(Assumptions!$B$20)*N75</f>
        <v>7.8958499999999994</v>
      </c>
      <c r="Q75" s="1">
        <v>8.2174999999999994</v>
      </c>
      <c r="R75" s="1">
        <v>8.3219999999999992</v>
      </c>
      <c r="S75" s="85">
        <f>(1-(Assumptions!$B$20))*Q75+(Assumptions!$B$20)*R75</f>
        <v>8.2906499999999994</v>
      </c>
    </row>
    <row r="76" spans="1:19" x14ac:dyDescent="0.25">
      <c r="A76" s="1">
        <f t="shared" si="0"/>
        <v>84</v>
      </c>
      <c r="B76" s="1"/>
      <c r="C76" s="9">
        <v>7.9210000000000003</v>
      </c>
      <c r="D76" s="9">
        <v>8.0005000000000006</v>
      </c>
      <c r="E76" s="85">
        <f>(1-(Assumptions!$B$20))*C76 + (Assumptions!$B$20)*D76</f>
        <v>7.9766500000000002</v>
      </c>
      <c r="F76" s="10"/>
      <c r="G76" s="1">
        <v>8.3170999999999999</v>
      </c>
      <c r="H76" s="9">
        <v>8.4004999999999992</v>
      </c>
      <c r="I76" s="85">
        <f>(1-(Assumptions!$B$20))*G76+(Assumptions!$B$20)*H76</f>
        <v>8.3754799999999996</v>
      </c>
      <c r="J76" s="9"/>
      <c r="K76" s="13">
        <f t="shared" si="1"/>
        <v>84</v>
      </c>
      <c r="L76" s="13"/>
      <c r="M76" s="1">
        <v>7.7210000000000001</v>
      </c>
      <c r="N76" s="1">
        <v>7.8005000000000004</v>
      </c>
      <c r="O76" s="85">
        <f>(1-(Assumptions!$B$20))*M76+(Assumptions!$B$20)*N76</f>
        <v>7.7766500000000001</v>
      </c>
      <c r="Q76" s="1">
        <v>8.1071000000000009</v>
      </c>
      <c r="R76" s="1">
        <v>8.1905000000000001</v>
      </c>
      <c r="S76" s="85">
        <f>(1-(Assumptions!$B$20))*Q76+(Assumptions!$B$20)*R76</f>
        <v>8.1654800000000005</v>
      </c>
    </row>
    <row r="77" spans="1:19" x14ac:dyDescent="0.25">
      <c r="A77" s="1">
        <f t="shared" si="0"/>
        <v>85</v>
      </c>
      <c r="B77" s="1"/>
      <c r="C77" s="9">
        <v>7.8295000000000003</v>
      </c>
      <c r="D77" s="1">
        <v>7.8918999999999997</v>
      </c>
      <c r="E77" s="85">
        <f>(1-(Assumptions!$B$20))*C77 + (Assumptions!$B$20)*D77</f>
        <v>7.8731799999999996</v>
      </c>
      <c r="F77" s="10"/>
      <c r="G77" s="1">
        <v>8.2210000000000001</v>
      </c>
      <c r="H77" s="1">
        <v>8.2865000000000002</v>
      </c>
      <c r="I77" s="85">
        <f>(1-(Assumptions!$B$20))*G77+(Assumptions!$B$20)*H77</f>
        <v>8.2668499999999998</v>
      </c>
      <c r="J77" s="1"/>
      <c r="K77" s="13">
        <f t="shared" si="1"/>
        <v>85</v>
      </c>
      <c r="L77" s="13"/>
      <c r="M77" s="1">
        <v>7.6295000000000002</v>
      </c>
      <c r="N77" s="1">
        <v>7.6918999999999995</v>
      </c>
      <c r="O77" s="85">
        <f>(1-(Assumptions!$B$20))*M77+(Assumptions!$B$20)*N77</f>
        <v>7.6731800000000003</v>
      </c>
      <c r="Q77" s="1">
        <v>8.0109999999999992</v>
      </c>
      <c r="R77" s="1">
        <v>8.0764999999999993</v>
      </c>
      <c r="S77" s="85">
        <f>(1-(Assumptions!$B$20))*Q77+(Assumptions!$B$20)*R77</f>
        <v>8.056849999999999</v>
      </c>
    </row>
    <row r="78" spans="1:19" x14ac:dyDescent="0.25">
      <c r="A78" s="1">
        <f t="shared" si="0"/>
        <v>86</v>
      </c>
      <c r="B78" s="1"/>
      <c r="C78" s="9">
        <v>7.7510000000000003</v>
      </c>
      <c r="D78" s="1">
        <v>7.7992999999999997</v>
      </c>
      <c r="E78" s="85">
        <f>(1-(Assumptions!$B$20))*C78 + (Assumptions!$B$20)*D78</f>
        <v>7.7848100000000002</v>
      </c>
      <c r="F78" s="10"/>
      <c r="G78" s="1">
        <v>8.1386000000000003</v>
      </c>
      <c r="H78" s="1">
        <v>8.1892999999999994</v>
      </c>
      <c r="I78" s="85">
        <f>(1-(Assumptions!$B$20))*G78+(Assumptions!$B$20)*H78</f>
        <v>8.1740899999999996</v>
      </c>
      <c r="J78" s="1"/>
      <c r="K78" s="13">
        <f t="shared" si="1"/>
        <v>86</v>
      </c>
      <c r="L78" s="13"/>
      <c r="M78" s="1">
        <v>7.5510000000000002</v>
      </c>
      <c r="N78" s="1">
        <v>7.5992999999999995</v>
      </c>
      <c r="O78" s="85">
        <f>(1-(Assumptions!$B$20))*M78+(Assumptions!$B$20)*N78</f>
        <v>7.5848099999999992</v>
      </c>
      <c r="Q78" s="1">
        <v>7.9286000000000003</v>
      </c>
      <c r="R78" s="1">
        <v>7.9793000000000003</v>
      </c>
      <c r="S78" s="85">
        <f>(1-(Assumptions!$B$20))*Q78+(Assumptions!$B$20)*R78</f>
        <v>7.9640900000000006</v>
      </c>
    </row>
    <row r="79" spans="1:19" x14ac:dyDescent="0.25">
      <c r="A79" s="1">
        <f t="shared" si="0"/>
        <v>87</v>
      </c>
      <c r="B79" s="1"/>
      <c r="C79" s="9">
        <v>7.6848999999999998</v>
      </c>
      <c r="D79" s="1">
        <v>7.7217000000000002</v>
      </c>
      <c r="E79" s="85">
        <f>(1-(Assumptions!$B$20))*C79 + (Assumptions!$B$20)*D79</f>
        <v>7.7106600000000007</v>
      </c>
      <c r="F79" s="10"/>
      <c r="G79" s="1">
        <v>8.0691000000000006</v>
      </c>
      <c r="H79" s="1">
        <v>8.1077999999999992</v>
      </c>
      <c r="I79" s="85">
        <f>(1-(Assumptions!$B$20))*G79+(Assumptions!$B$20)*H79</f>
        <v>8.09619</v>
      </c>
      <c r="J79" s="1"/>
      <c r="K79" s="13">
        <f t="shared" si="1"/>
        <v>87</v>
      </c>
      <c r="L79" s="13"/>
      <c r="M79" s="1">
        <v>7.4848999999999997</v>
      </c>
      <c r="N79" s="1">
        <v>7.5217000000000001</v>
      </c>
      <c r="O79" s="85">
        <f>(1-(Assumptions!$B$20))*M79+(Assumptions!$B$20)*N79</f>
        <v>7.5106599999999997</v>
      </c>
      <c r="Q79" s="1">
        <v>7.8590999999999998</v>
      </c>
      <c r="R79" s="1">
        <v>7.8978000000000002</v>
      </c>
      <c r="S79" s="85">
        <f>(1-(Assumptions!$B$20))*Q79+(Assumptions!$B$20)*R79</f>
        <v>7.88619</v>
      </c>
    </row>
    <row r="80" spans="1:19" x14ac:dyDescent="0.25">
      <c r="A80" s="1">
        <f t="shared" si="0"/>
        <v>88</v>
      </c>
      <c r="B80" s="1"/>
      <c r="C80" s="9">
        <v>7.6298000000000004</v>
      </c>
      <c r="D80" s="1">
        <v>7.6574</v>
      </c>
      <c r="E80" s="85">
        <f>(1-(Assumptions!$B$20))*C80 + (Assumptions!$B$20)*D80</f>
        <v>7.6491199999999999</v>
      </c>
      <c r="F80" s="10"/>
      <c r="G80" s="1">
        <v>8.0113000000000003</v>
      </c>
      <c r="H80" s="1">
        <v>8.0403000000000002</v>
      </c>
      <c r="I80" s="85">
        <f>(1-(Assumptions!$B$20))*G80+(Assumptions!$B$20)*H80</f>
        <v>8.031600000000001</v>
      </c>
      <c r="J80" s="1"/>
      <c r="K80" s="13">
        <f t="shared" si="1"/>
        <v>88</v>
      </c>
      <c r="L80" s="13"/>
      <c r="M80" s="1">
        <v>7.4298000000000002</v>
      </c>
      <c r="N80" s="1">
        <v>7.4573999999999998</v>
      </c>
      <c r="O80" s="85">
        <f>(1-(Assumptions!$B$20))*M80+(Assumptions!$B$20)*N80</f>
        <v>7.4491199999999997</v>
      </c>
      <c r="Q80" s="1">
        <v>7.8013000000000003</v>
      </c>
      <c r="R80" s="1">
        <v>7.8303000000000003</v>
      </c>
      <c r="S80" s="85">
        <f>(1-(Assumptions!$B$20))*Q80+(Assumptions!$B$20)*R80</f>
        <v>7.8216000000000001</v>
      </c>
    </row>
    <row r="81" spans="1:19" x14ac:dyDescent="0.25">
      <c r="A81" s="1">
        <f t="shared" si="0"/>
        <v>89</v>
      </c>
      <c r="B81" s="1"/>
      <c r="C81" s="9">
        <v>7.585</v>
      </c>
      <c r="D81" s="1">
        <v>7.6054000000000004</v>
      </c>
      <c r="E81" s="85">
        <f>(1-(Assumptions!$B$20))*C81 + (Assumptions!$B$20)*D81</f>
        <v>7.5992800000000003</v>
      </c>
      <c r="F81" s="10"/>
      <c r="G81" s="1">
        <v>7.9642999999999997</v>
      </c>
      <c r="H81" s="1">
        <v>7.9856999999999996</v>
      </c>
      <c r="I81" s="85">
        <f>(1-(Assumptions!$B$20))*G81+(Assumptions!$B$20)*H81</f>
        <v>7.9792799999999993</v>
      </c>
      <c r="J81" s="1"/>
      <c r="K81" s="13">
        <f t="shared" si="1"/>
        <v>89</v>
      </c>
      <c r="L81" s="13"/>
      <c r="M81" s="1">
        <v>7.3849999999999998</v>
      </c>
      <c r="N81" s="1">
        <v>7.4054000000000002</v>
      </c>
      <c r="O81" s="85">
        <f>(1-(Assumptions!$B$20))*M81+(Assumptions!$B$20)*N81</f>
        <v>7.3992800000000001</v>
      </c>
      <c r="Q81" s="1">
        <v>7.7542999999999997</v>
      </c>
      <c r="R81" s="1">
        <v>7.7756999999999996</v>
      </c>
      <c r="S81" s="85">
        <f>(1-(Assumptions!$B$20))*Q81+(Assumptions!$B$20)*R81</f>
        <v>7.7692799999999993</v>
      </c>
    </row>
    <row r="82" spans="1:19" x14ac:dyDescent="0.25">
      <c r="A82" s="1">
        <f t="shared" si="0"/>
        <v>90</v>
      </c>
      <c r="B82" s="1"/>
      <c r="C82" s="9">
        <v>7.5487000000000002</v>
      </c>
      <c r="D82" s="1">
        <v>7.5636000000000001</v>
      </c>
      <c r="E82" s="85">
        <f>(1-(Assumptions!$B$20))*C82 + (Assumptions!$B$20)*D82</f>
        <v>7.5591299999999997</v>
      </c>
      <c r="F82" s="10"/>
      <c r="G82" s="1">
        <v>7.9260999999999999</v>
      </c>
      <c r="H82" s="1">
        <v>7.9417999999999997</v>
      </c>
      <c r="I82" s="85">
        <f>(1-(Assumptions!$B$20))*G82+(Assumptions!$B$20)*H82</f>
        <v>7.9370899999999995</v>
      </c>
      <c r="J82" s="1"/>
      <c r="K82" s="13">
        <f t="shared" si="1"/>
        <v>90</v>
      </c>
      <c r="L82" s="13"/>
      <c r="M82" s="1">
        <v>7.3487</v>
      </c>
      <c r="N82" s="1">
        <v>7.3635999999999999</v>
      </c>
      <c r="O82" s="85">
        <f>(1-(Assumptions!$B$20))*M82+(Assumptions!$B$20)*N82</f>
        <v>7.3591300000000004</v>
      </c>
      <c r="Q82" s="1">
        <v>7.7161</v>
      </c>
      <c r="R82" s="1">
        <v>7.7317999999999998</v>
      </c>
      <c r="S82" s="85">
        <f>(1-(Assumptions!$B$20))*Q82+(Assumptions!$B$20)*R82</f>
        <v>7.7270900000000005</v>
      </c>
    </row>
    <row r="83" spans="1:19" x14ac:dyDescent="0.25">
      <c r="A83" s="1">
        <f t="shared" si="0"/>
        <v>91</v>
      </c>
      <c r="B83" s="1"/>
      <c r="C83" s="9">
        <v>7.5198999999999998</v>
      </c>
      <c r="D83" s="1">
        <v>7.5305</v>
      </c>
      <c r="E83" s="85">
        <f>(1-(Assumptions!$B$20))*C83 + (Assumptions!$B$20)*D83</f>
        <v>7.5273200000000005</v>
      </c>
      <c r="F83" s="10"/>
      <c r="G83" s="1">
        <v>7.8959000000000001</v>
      </c>
      <c r="H83" s="1">
        <v>7.907</v>
      </c>
      <c r="I83" s="85">
        <f>(1-(Assumptions!$B$20))*G83+(Assumptions!$B$20)*H83</f>
        <v>7.90367</v>
      </c>
      <c r="J83" s="1"/>
      <c r="K83" s="13">
        <f t="shared" si="1"/>
        <v>91</v>
      </c>
      <c r="L83" s="13"/>
      <c r="M83" s="1">
        <v>7.3198999999999996</v>
      </c>
      <c r="N83" s="1">
        <v>7.3304999999999998</v>
      </c>
      <c r="O83" s="85">
        <f>(1-(Assumptions!$B$20))*M83+(Assumptions!$B$20)*N83</f>
        <v>7.3273200000000003</v>
      </c>
      <c r="Q83" s="1">
        <v>7.6859000000000002</v>
      </c>
      <c r="R83" s="1">
        <v>7.6970000000000001</v>
      </c>
      <c r="S83" s="85">
        <f>(1-(Assumptions!$B$20))*Q83+(Assumptions!$B$20)*R83</f>
        <v>7.6936700000000009</v>
      </c>
    </row>
    <row r="84" spans="1:19" x14ac:dyDescent="0.25">
      <c r="A84" s="1">
        <f t="shared" si="0"/>
        <v>92</v>
      </c>
      <c r="B84" s="1"/>
      <c r="C84" s="9">
        <v>7.4976000000000003</v>
      </c>
      <c r="D84" s="1">
        <v>7.5050999999999997</v>
      </c>
      <c r="E84" s="85">
        <f>(1-(Assumptions!$B$20))*C84 + (Assumptions!$B$20)*D84</f>
        <v>7.5028500000000005</v>
      </c>
      <c r="F84" s="10"/>
      <c r="G84" s="1">
        <v>7.8724999999999996</v>
      </c>
      <c r="H84" s="1">
        <v>7.8803999999999998</v>
      </c>
      <c r="I84" s="85">
        <f>(1-(Assumptions!$B$20))*G84+(Assumptions!$B$20)*H84</f>
        <v>7.878029999999999</v>
      </c>
      <c r="J84" s="1"/>
      <c r="K84" s="13">
        <f t="shared" si="1"/>
        <v>92</v>
      </c>
      <c r="L84" s="13"/>
      <c r="M84" s="1">
        <v>7.2976000000000001</v>
      </c>
      <c r="N84" s="1">
        <v>7.3050999999999995</v>
      </c>
      <c r="O84" s="85">
        <f>(1-(Assumptions!$B$20))*M84+(Assumptions!$B$20)*N84</f>
        <v>7.3028499999999994</v>
      </c>
      <c r="Q84" s="1">
        <v>7.6624999999999996</v>
      </c>
      <c r="R84" s="1">
        <v>7.6703999999999999</v>
      </c>
      <c r="S84" s="85">
        <f>(1-(Assumptions!$B$20))*Q84+(Assumptions!$B$20)*R84</f>
        <v>7.6680299999999999</v>
      </c>
    </row>
    <row r="85" spans="1:19" x14ac:dyDescent="0.25">
      <c r="A85" s="1">
        <f t="shared" si="0"/>
        <v>93</v>
      </c>
      <c r="B85" s="1"/>
      <c r="C85" s="9">
        <v>7.4808000000000003</v>
      </c>
      <c r="D85" s="1">
        <v>7.4859</v>
      </c>
      <c r="E85" s="85">
        <f>(1-(Assumptions!$B$20))*C85 + (Assumptions!$B$20)*D85</f>
        <v>7.4843700000000002</v>
      </c>
      <c r="F85" s="10"/>
      <c r="G85" s="1">
        <v>7.8548</v>
      </c>
      <c r="H85" s="1">
        <v>7.8601999999999999</v>
      </c>
      <c r="I85" s="85">
        <f>(1-(Assumptions!$B$20))*G85+(Assumptions!$B$20)*H85</f>
        <v>7.8585799999999999</v>
      </c>
      <c r="J85" s="1"/>
      <c r="K85" s="13">
        <f t="shared" si="1"/>
        <v>93</v>
      </c>
      <c r="L85" s="13"/>
      <c r="M85" s="1">
        <v>7.2808000000000002</v>
      </c>
      <c r="N85" s="1">
        <v>7.2858999999999998</v>
      </c>
      <c r="O85" s="85">
        <f>(1-(Assumptions!$B$20))*M85+(Assumptions!$B$20)*N85</f>
        <v>7.2843699999999991</v>
      </c>
      <c r="Q85" s="1">
        <v>7.6448</v>
      </c>
      <c r="R85" s="1">
        <v>7.6501999999999999</v>
      </c>
      <c r="S85" s="85">
        <f>(1-(Assumptions!$B$20))*Q85+(Assumptions!$B$20)*R85</f>
        <v>7.6485799999999999</v>
      </c>
    </row>
    <row r="86" spans="1:19" x14ac:dyDescent="0.25">
      <c r="A86" s="1">
        <f t="shared" si="0"/>
        <v>94</v>
      </c>
      <c r="B86" s="1"/>
      <c r="C86" s="9">
        <v>7.4682000000000004</v>
      </c>
      <c r="D86" s="1">
        <v>7.4715999999999996</v>
      </c>
      <c r="E86" s="85">
        <f>(1-(Assumptions!$B$20))*C86 + (Assumptions!$B$20)*D86</f>
        <v>7.47058</v>
      </c>
      <c r="F86" s="10"/>
      <c r="G86" s="1">
        <v>7.8415999999999997</v>
      </c>
      <c r="H86" s="1">
        <v>7.8452000000000002</v>
      </c>
      <c r="I86" s="85">
        <f>(1-(Assumptions!$B$20))*G86+(Assumptions!$B$20)*H86</f>
        <v>7.8441200000000002</v>
      </c>
      <c r="J86" s="1"/>
      <c r="K86" s="13">
        <f t="shared" si="1"/>
        <v>94</v>
      </c>
      <c r="L86" s="13"/>
      <c r="M86" s="1">
        <v>7.2682000000000002</v>
      </c>
      <c r="N86" s="1">
        <v>7.2715999999999994</v>
      </c>
      <c r="O86" s="85">
        <f>(1-(Assumptions!$B$20))*M86+(Assumptions!$B$20)*N86</f>
        <v>7.2705799999999989</v>
      </c>
      <c r="Q86" s="1">
        <v>7.6315999999999997</v>
      </c>
      <c r="R86" s="1">
        <v>7.6352000000000002</v>
      </c>
      <c r="S86" s="85">
        <f>(1-(Assumptions!$B$20))*Q86+(Assumptions!$B$20)*R86</f>
        <v>7.6341200000000002</v>
      </c>
    </row>
    <row r="87" spans="1:19" x14ac:dyDescent="0.25">
      <c r="A87" s="1">
        <f t="shared" si="0"/>
        <v>95</v>
      </c>
      <c r="B87" s="1"/>
      <c r="C87" s="9">
        <v>7.4589999999999996</v>
      </c>
      <c r="D87" s="1">
        <v>7.4610000000000003</v>
      </c>
      <c r="E87" s="85">
        <f>(1-(Assumptions!$B$20))*C87 + (Assumptions!$B$20)*D87</f>
        <v>7.4603999999999999</v>
      </c>
      <c r="F87" s="10"/>
      <c r="G87" s="1">
        <v>7.8319999999999999</v>
      </c>
      <c r="H87" s="1">
        <v>7.8341000000000003</v>
      </c>
      <c r="I87" s="85">
        <f>(1-(Assumptions!$B$20))*G87+(Assumptions!$B$20)*H87</f>
        <v>7.8334700000000002</v>
      </c>
      <c r="J87" s="1"/>
      <c r="K87" s="13">
        <f t="shared" si="1"/>
        <v>95</v>
      </c>
      <c r="L87" s="13"/>
      <c r="M87" s="1">
        <v>7.2589999999999995</v>
      </c>
      <c r="N87" s="1">
        <v>7.2610000000000001</v>
      </c>
      <c r="O87" s="85">
        <f>(1-(Assumptions!$B$20))*M87+(Assumptions!$B$20)*N87</f>
        <v>7.2604000000000006</v>
      </c>
      <c r="Q87" s="1">
        <v>7.6219999999999999</v>
      </c>
      <c r="R87" s="1">
        <v>7.6241000000000003</v>
      </c>
      <c r="S87" s="85">
        <f>(1-(Assumptions!$B$20))*Q87+(Assumptions!$B$20)*R87</f>
        <v>7.6234700000000011</v>
      </c>
    </row>
    <row r="88" spans="1:19" x14ac:dyDescent="0.25">
      <c r="A88" s="1">
        <f t="shared" si="0"/>
        <v>96</v>
      </c>
      <c r="B88" s="1"/>
      <c r="C88" s="9">
        <v>7.4523999999999999</v>
      </c>
      <c r="D88" s="1">
        <v>7.4531999999999998</v>
      </c>
      <c r="E88" s="85">
        <f>(1-(Assumptions!$B$20))*C88 + (Assumptions!$B$20)*D88</f>
        <v>7.4529599999999991</v>
      </c>
      <c r="F88" s="10"/>
      <c r="G88" s="1">
        <v>7.8250000000000002</v>
      </c>
      <c r="H88" s="1">
        <v>7.8258999999999999</v>
      </c>
      <c r="I88" s="85">
        <f>(1-(Assumptions!$B$20))*G88+(Assumptions!$B$20)*H88</f>
        <v>7.8256300000000003</v>
      </c>
      <c r="J88" s="1"/>
      <c r="K88" s="13">
        <f t="shared" si="1"/>
        <v>96</v>
      </c>
      <c r="L88" s="13"/>
      <c r="M88" s="1">
        <v>7.2523999999999997</v>
      </c>
      <c r="N88" s="1">
        <v>7.2531999999999996</v>
      </c>
      <c r="O88" s="85">
        <f>(1-(Assumptions!$B$20))*M88+(Assumptions!$B$20)*N88</f>
        <v>7.2529599999999999</v>
      </c>
      <c r="Q88" s="1">
        <v>7.6150000000000002</v>
      </c>
      <c r="R88" s="1">
        <v>7.6158999999999999</v>
      </c>
      <c r="S88" s="85">
        <f>(1-(Assumptions!$B$20))*Q88+(Assumptions!$B$20)*R88</f>
        <v>7.6156300000000003</v>
      </c>
    </row>
    <row r="89" spans="1:19" x14ac:dyDescent="0.25">
      <c r="A89" s="1">
        <f t="shared" si="0"/>
        <v>97</v>
      </c>
      <c r="B89" s="1"/>
      <c r="C89" s="9">
        <v>7.4622999999999999</v>
      </c>
      <c r="D89" s="1">
        <v>7.4622999999999999</v>
      </c>
      <c r="E89" s="85">
        <f>(1-(Assumptions!$B$20))*C89 + (Assumptions!$B$20)*D89</f>
        <v>7.4623000000000008</v>
      </c>
      <c r="F89" s="10"/>
      <c r="G89" s="1">
        <v>7.8353999999999999</v>
      </c>
      <c r="H89" s="1">
        <v>7.8353999999999999</v>
      </c>
      <c r="I89" s="85">
        <f>(1-(Assumptions!$B$20))*G89+(Assumptions!$B$20)*H89</f>
        <v>7.8353999999999999</v>
      </c>
      <c r="J89" s="1"/>
      <c r="K89" s="13">
        <f t="shared" si="1"/>
        <v>97</v>
      </c>
      <c r="L89" s="13"/>
      <c r="M89" s="1">
        <v>7.2622999999999998</v>
      </c>
      <c r="N89" s="1">
        <v>7.2622999999999998</v>
      </c>
      <c r="O89" s="85">
        <f>(1-(Assumptions!$B$20))*M89+(Assumptions!$B$20)*N89</f>
        <v>7.2622999999999998</v>
      </c>
      <c r="Q89" s="1">
        <v>7.6254</v>
      </c>
      <c r="R89" s="1">
        <v>7.6254</v>
      </c>
      <c r="S89" s="85">
        <f>(1-(Assumptions!$B$20))*Q89+(Assumptions!$B$20)*R89</f>
        <v>7.6254</v>
      </c>
    </row>
    <row r="90" spans="1:19" x14ac:dyDescent="0.25">
      <c r="A90" s="1">
        <f t="shared" si="0"/>
        <v>98</v>
      </c>
      <c r="B90" s="1"/>
      <c r="C90" s="9">
        <v>7.2423000000000002</v>
      </c>
      <c r="D90" s="1">
        <v>8.2431999999999999</v>
      </c>
      <c r="E90" s="85">
        <f>(1-(Assumptions!$B$20))*C90 + (Assumptions!$B$20)*D90</f>
        <v>7.9429299999999996</v>
      </c>
      <c r="F90" s="10"/>
      <c r="G90" s="1">
        <v>7.6044</v>
      </c>
      <c r="H90" s="1">
        <v>8.6554000000000002</v>
      </c>
      <c r="I90" s="85">
        <f>(1-(Assumptions!$B$20))*G90+(Assumptions!$B$20)*H90</f>
        <v>8.3400999999999996</v>
      </c>
      <c r="J90" s="1"/>
      <c r="K90" s="13">
        <f t="shared" si="1"/>
        <v>98</v>
      </c>
      <c r="L90" s="13"/>
      <c r="M90" s="1">
        <v>7.0423</v>
      </c>
      <c r="N90" s="1">
        <v>8.0432000000000006</v>
      </c>
      <c r="O90" s="85">
        <f>(1-(Assumptions!$B$20))*M90+(Assumptions!$B$20)*N90</f>
        <v>7.7429299999999994</v>
      </c>
      <c r="Q90" s="1">
        <v>7.3944000000000001</v>
      </c>
      <c r="R90" s="1">
        <v>8.4453999999999994</v>
      </c>
      <c r="S90" s="85">
        <f>(1-(Assumptions!$B$20))*Q90+(Assumptions!$B$20)*R90</f>
        <v>8.1300999999999988</v>
      </c>
    </row>
    <row r="91" spans="1:19" x14ac:dyDescent="0.25">
      <c r="A91" s="1">
        <f t="shared" si="0"/>
        <v>99</v>
      </c>
      <c r="B91" s="1"/>
      <c r="C91" s="9">
        <v>7.1406000000000001</v>
      </c>
      <c r="D91" s="1">
        <v>7.6571999999999996</v>
      </c>
      <c r="E91" s="85">
        <f>(1-(Assumptions!$B$20))*C91 + (Assumptions!$B$20)*D91</f>
        <v>7.5022199999999994</v>
      </c>
      <c r="F91" s="10"/>
      <c r="G91" s="1">
        <v>7.4976000000000003</v>
      </c>
      <c r="H91" s="1">
        <v>8.0401000000000007</v>
      </c>
      <c r="I91" s="85">
        <f>(1-(Assumptions!$B$20))*G91+(Assumptions!$B$20)*H91</f>
        <v>7.8773500000000007</v>
      </c>
      <c r="J91" s="1"/>
      <c r="K91" s="13">
        <f t="shared" si="1"/>
        <v>99</v>
      </c>
      <c r="L91" s="13"/>
      <c r="M91" s="1">
        <v>6.9405999999999999</v>
      </c>
      <c r="N91" s="1">
        <v>7.4572000000000003</v>
      </c>
      <c r="O91" s="85">
        <f>(1-(Assumptions!$B$20))*M91+(Assumptions!$B$20)*N91</f>
        <v>7.3022200000000002</v>
      </c>
      <c r="Q91" s="1">
        <v>7.2876000000000003</v>
      </c>
      <c r="R91" s="1">
        <v>7.8300999999999998</v>
      </c>
      <c r="S91" s="85">
        <f>(1-(Assumptions!$B$20))*Q91+(Assumptions!$B$20)*R91</f>
        <v>7.6673500000000008</v>
      </c>
    </row>
    <row r="92" spans="1:19" x14ac:dyDescent="0.25">
      <c r="A92" s="1">
        <f t="shared" si="0"/>
        <v>100</v>
      </c>
      <c r="B92" s="1"/>
      <c r="C92" s="9">
        <v>7.0784000000000002</v>
      </c>
      <c r="D92" s="1">
        <v>7.0842000000000001</v>
      </c>
      <c r="E92" s="85">
        <f>(1-(Assumptions!$B$20))*C92 + (Assumptions!$B$20)*D92</f>
        <v>7.0824600000000011</v>
      </c>
      <c r="F92" s="10"/>
      <c r="G92" s="1">
        <v>7.4322999999999997</v>
      </c>
      <c r="H92" s="1">
        <v>7.4383999999999997</v>
      </c>
      <c r="I92" s="85">
        <f>(1-(Assumptions!$B$20))*G92+(Assumptions!$B$20)*H92</f>
        <v>7.4365699999999997</v>
      </c>
      <c r="J92" s="1"/>
      <c r="K92" s="13">
        <f t="shared" si="1"/>
        <v>100</v>
      </c>
      <c r="L92" s="13"/>
      <c r="M92" s="1">
        <v>6.8784000000000001</v>
      </c>
      <c r="N92" s="1">
        <v>6.8841999999999999</v>
      </c>
      <c r="O92" s="85">
        <f>(1-(Assumptions!$B$20))*M92+(Assumptions!$B$20)*N92</f>
        <v>6.88246</v>
      </c>
      <c r="Q92" s="1">
        <v>7.2222999999999997</v>
      </c>
      <c r="R92" s="1">
        <v>7.2283999999999997</v>
      </c>
      <c r="S92" s="85">
        <f>(1-(Assumptions!$B$20))*Q92+(Assumptions!$B$20)*R92</f>
        <v>7.2265700000000006</v>
      </c>
    </row>
    <row r="93" spans="1:19" x14ac:dyDescent="0.25">
      <c r="F93" s="8"/>
    </row>
    <row r="94" spans="1:19" x14ac:dyDescent="0.25">
      <c r="F94" s="8"/>
    </row>
    <row r="95" spans="1:19" x14ac:dyDescent="0.25">
      <c r="F95" s="8"/>
    </row>
  </sheetData>
  <mergeCells count="12">
    <mergeCell ref="I8:I9"/>
    <mergeCell ref="E8:E9"/>
    <mergeCell ref="C6:E6"/>
    <mergeCell ref="A8:A9"/>
    <mergeCell ref="K4:S4"/>
    <mergeCell ref="O8:O9"/>
    <mergeCell ref="K8:K9"/>
    <mergeCell ref="M6:O6"/>
    <mergeCell ref="Q6:S6"/>
    <mergeCell ref="S8:S9"/>
    <mergeCell ref="A4:I4"/>
    <mergeCell ref="G6:I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zoomScaleNormal="100" workbookViewId="0">
      <selection activeCell="C19" sqref="C19"/>
    </sheetView>
  </sheetViews>
  <sheetFormatPr defaultColWidth="11.5546875" defaultRowHeight="13.2" x14ac:dyDescent="0.25"/>
  <cols>
    <col min="1" max="1" width="34.44140625" bestFit="1" customWidth="1"/>
    <col min="2" max="2" width="10.44140625" customWidth="1"/>
    <col min="3" max="3" width="78.44140625" bestFit="1" customWidth="1"/>
    <col min="4" max="4" width="10.77734375" bestFit="1" customWidth="1"/>
    <col min="5" max="5" width="42.109375" bestFit="1" customWidth="1"/>
    <col min="6" max="256" width="8.77734375" customWidth="1"/>
  </cols>
  <sheetData>
    <row r="1" spans="1:5" ht="13.8" thickBot="1" x14ac:dyDescent="0.3"/>
    <row r="2" spans="1:5" ht="13.8" thickBot="1" x14ac:dyDescent="0.3">
      <c r="A2" s="62" t="s">
        <v>21</v>
      </c>
    </row>
    <row r="3" spans="1:5" ht="13.8" thickBot="1" x14ac:dyDescent="0.3"/>
    <row r="4" spans="1:5" ht="13.8" thickBot="1" x14ac:dyDescent="0.3">
      <c r="A4" s="62" t="s">
        <v>22</v>
      </c>
    </row>
    <row r="5" spans="1:5" ht="13.8" thickBot="1" x14ac:dyDescent="0.3"/>
    <row r="6" spans="1:5" ht="16.95" customHeight="1" thickBot="1" x14ac:dyDescent="0.3">
      <c r="A6" s="60" t="s">
        <v>0</v>
      </c>
      <c r="B6" s="100" t="s">
        <v>18</v>
      </c>
      <c r="C6" s="101"/>
      <c r="D6" s="100" t="s">
        <v>19</v>
      </c>
      <c r="E6" s="101"/>
    </row>
    <row r="7" spans="1:5" ht="30.45" customHeight="1" thickBot="1" x14ac:dyDescent="0.3">
      <c r="A7" s="69">
        <v>500</v>
      </c>
      <c r="B7" s="70">
        <v>60</v>
      </c>
      <c r="C7" s="71" t="s">
        <v>51</v>
      </c>
      <c r="D7" s="72">
        <v>1.5E-3</v>
      </c>
      <c r="E7" s="73" t="s">
        <v>20</v>
      </c>
    </row>
    <row r="8" spans="1:5" ht="18" customHeight="1" x14ac:dyDescent="0.25">
      <c r="A8" s="98">
        <v>600</v>
      </c>
      <c r="B8" s="61">
        <v>1.3599999999999999E-2</v>
      </c>
      <c r="C8" s="57" t="s">
        <v>50</v>
      </c>
      <c r="D8" s="96">
        <v>1.5E-3</v>
      </c>
      <c r="E8" s="94" t="s">
        <v>20</v>
      </c>
    </row>
    <row r="9" spans="1:5" ht="18" customHeight="1" thickBot="1" x14ac:dyDescent="0.3">
      <c r="A9" s="99"/>
      <c r="B9" s="58">
        <v>0.02</v>
      </c>
      <c r="C9" s="59" t="s">
        <v>49</v>
      </c>
      <c r="D9" s="97"/>
      <c r="E9" s="95"/>
    </row>
    <row r="11" spans="1:5" ht="13.8" thickBot="1" x14ac:dyDescent="0.3">
      <c r="A11" s="7"/>
      <c r="B11" s="8"/>
    </row>
    <row r="12" spans="1:5" ht="15" customHeight="1" thickBot="1" x14ac:dyDescent="0.3">
      <c r="A12" s="92" t="s">
        <v>27</v>
      </c>
      <c r="B12" s="93"/>
    </row>
    <row r="13" spans="1:5" x14ac:dyDescent="0.25">
      <c r="A13" s="63" t="s">
        <v>23</v>
      </c>
      <c r="B13" s="64">
        <v>0.05</v>
      </c>
    </row>
    <row r="14" spans="1:5" x14ac:dyDescent="0.25">
      <c r="A14" s="67" t="s">
        <v>24</v>
      </c>
      <c r="B14" s="68">
        <v>0.04</v>
      </c>
    </row>
    <row r="15" spans="1:5" x14ac:dyDescent="0.25">
      <c r="A15" s="63" t="s">
        <v>25</v>
      </c>
      <c r="B15" s="64">
        <v>0.03</v>
      </c>
    </row>
    <row r="16" spans="1:5" ht="13.8" thickBot="1" x14ac:dyDescent="0.3">
      <c r="A16" s="65" t="s">
        <v>26</v>
      </c>
      <c r="B16" s="66">
        <v>0.04</v>
      </c>
    </row>
    <row r="18" spans="1:5" ht="13.8" thickBot="1" x14ac:dyDescent="0.3"/>
    <row r="19" spans="1:5" ht="13.8" thickBot="1" x14ac:dyDescent="0.3">
      <c r="A19" s="77" t="s">
        <v>52</v>
      </c>
      <c r="B19" s="74"/>
    </row>
    <row r="20" spans="1:5" ht="13.8" thickBot="1" x14ac:dyDescent="0.3">
      <c r="A20" s="76" t="s">
        <v>32</v>
      </c>
      <c r="B20" s="75">
        <v>0.7</v>
      </c>
    </row>
    <row r="23" spans="1:5" x14ac:dyDescent="0.25">
      <c r="A23" s="12"/>
      <c r="B23" s="24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23"/>
      <c r="B27" s="24"/>
      <c r="C27" s="12"/>
      <c r="D27" s="12"/>
      <c r="E27" s="12"/>
    </row>
    <row r="28" spans="1:5" x14ac:dyDescent="0.25">
      <c r="C28" s="12"/>
      <c r="D28" s="12"/>
      <c r="E28" s="12"/>
    </row>
  </sheetData>
  <mergeCells count="6">
    <mergeCell ref="A12:B12"/>
    <mergeCell ref="E8:E9"/>
    <mergeCell ref="D8:D9"/>
    <mergeCell ref="A8:A9"/>
    <mergeCell ref="D6:E6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showGridLines="0" zoomScaleNormal="100" workbookViewId="0">
      <selection activeCell="D21" sqref="D21"/>
    </sheetView>
  </sheetViews>
  <sheetFormatPr defaultColWidth="11.5546875" defaultRowHeight="13.2" x14ac:dyDescent="0.25"/>
  <cols>
    <col min="2" max="2" width="17.77734375" customWidth="1"/>
    <col min="4" max="4" width="23.88671875" customWidth="1"/>
    <col min="6" max="6" width="22.33203125" customWidth="1"/>
    <col min="7" max="7" width="1.33203125" customWidth="1"/>
    <col min="10" max="10" width="18.5546875" customWidth="1"/>
    <col min="16" max="16" width="14.77734375" bestFit="1" customWidth="1"/>
  </cols>
  <sheetData>
    <row r="1" spans="1:16" ht="13.8" thickBot="1" x14ac:dyDescent="0.3"/>
    <row r="2" spans="1:16" ht="13.8" thickBot="1" x14ac:dyDescent="0.3">
      <c r="A2" s="105" t="s">
        <v>53</v>
      </c>
      <c r="B2" s="189" t="s">
        <v>33</v>
      </c>
      <c r="D2" s="102" t="s">
        <v>38</v>
      </c>
      <c r="F2" s="37" t="s">
        <v>47</v>
      </c>
      <c r="G2" s="38"/>
      <c r="L2" s="117"/>
      <c r="M2" s="118"/>
      <c r="N2" s="118"/>
      <c r="O2" s="118"/>
      <c r="P2" s="39"/>
    </row>
    <row r="3" spans="1:16" ht="13.8" thickBot="1" x14ac:dyDescent="0.3">
      <c r="A3" s="188"/>
      <c r="B3" s="190"/>
      <c r="D3" s="103"/>
      <c r="L3" s="40"/>
      <c r="M3" s="40"/>
      <c r="N3" s="40"/>
      <c r="O3" s="40"/>
      <c r="P3" s="40"/>
    </row>
    <row r="4" spans="1:16" ht="13.8" thickBot="1" x14ac:dyDescent="0.3">
      <c r="A4" s="191">
        <v>761</v>
      </c>
      <c r="B4" s="32">
        <f>VLOOKUP(A4,'B Calculations'!B3:D81,3,FALSE)</f>
        <v>55254.679234496914</v>
      </c>
      <c r="D4" s="36">
        <f>SUM(B4:B82)</f>
        <v>13785284.703195192</v>
      </c>
      <c r="F4" s="107" t="s">
        <v>39</v>
      </c>
      <c r="G4" s="114"/>
      <c r="H4" s="114"/>
      <c r="I4" s="114"/>
      <c r="J4" s="53">
        <v>2843600</v>
      </c>
      <c r="L4" s="117"/>
      <c r="M4" s="117"/>
      <c r="N4" s="117"/>
      <c r="O4" s="117"/>
      <c r="P4" s="41"/>
    </row>
    <row r="5" spans="1:16" x14ac:dyDescent="0.25">
      <c r="A5" s="35">
        <v>735</v>
      </c>
      <c r="B5" s="33">
        <f>VLOOKUP(A5,'B Calculations'!B4:D82,3,FALSE)</f>
        <v>52287.33734373717</v>
      </c>
      <c r="F5" s="43"/>
      <c r="G5" s="51"/>
      <c r="H5" s="51"/>
      <c r="I5" s="51"/>
      <c r="J5" s="45"/>
      <c r="L5" s="40"/>
      <c r="M5" s="40"/>
      <c r="N5" s="40"/>
      <c r="O5" s="40"/>
      <c r="P5" s="40"/>
    </row>
    <row r="6" spans="1:16" x14ac:dyDescent="0.25">
      <c r="A6" s="35">
        <v>769</v>
      </c>
      <c r="B6" s="33">
        <f>VLOOKUP(A6,'B Calculations'!B5:D83,3,FALSE)</f>
        <v>38754.450657905545</v>
      </c>
      <c r="F6" s="115" t="s">
        <v>40</v>
      </c>
      <c r="G6" s="116"/>
      <c r="H6" s="116"/>
      <c r="I6" s="116"/>
      <c r="J6" s="54">
        <f>'Part A '!E3</f>
        <v>745267.47968379897</v>
      </c>
      <c r="L6" s="119"/>
      <c r="M6" s="119"/>
      <c r="N6" s="119"/>
      <c r="O6" s="119"/>
      <c r="P6" s="42"/>
    </row>
    <row r="7" spans="1:16" x14ac:dyDescent="0.25">
      <c r="A7" s="35">
        <v>786</v>
      </c>
      <c r="B7" s="33">
        <f>VLOOKUP(A7,'B Calculations'!B6:D84,3,FALSE)</f>
        <v>46422.500917453792</v>
      </c>
      <c r="F7" s="43"/>
      <c r="G7" s="51"/>
      <c r="H7" s="51"/>
      <c r="I7" s="51"/>
      <c r="J7" s="45"/>
      <c r="L7" s="40"/>
      <c r="M7" s="40"/>
      <c r="N7" s="40"/>
      <c r="O7" s="40"/>
      <c r="P7" s="40"/>
    </row>
    <row r="8" spans="1:16" x14ac:dyDescent="0.25">
      <c r="A8" s="35">
        <v>785</v>
      </c>
      <c r="B8" s="33">
        <f>VLOOKUP(A8,'B Calculations'!B7:D85,3,FALSE)</f>
        <v>17356.720228336755</v>
      </c>
      <c r="F8" s="115" t="s">
        <v>41</v>
      </c>
      <c r="G8" s="116"/>
      <c r="H8" s="116"/>
      <c r="I8" s="116"/>
      <c r="J8" s="55">
        <f>D4</f>
        <v>13785284.703195192</v>
      </c>
      <c r="L8" s="40"/>
      <c r="M8" s="40"/>
      <c r="N8" s="40"/>
      <c r="O8" s="40"/>
      <c r="P8" s="40"/>
    </row>
    <row r="9" spans="1:16" x14ac:dyDescent="0.25">
      <c r="A9" s="35">
        <v>784</v>
      </c>
      <c r="B9" s="33">
        <f>VLOOKUP(A9,'B Calculations'!B8:D86,3,FALSE)</f>
        <v>72579.091416837793</v>
      </c>
      <c r="F9" s="43"/>
      <c r="G9" s="51"/>
      <c r="H9" s="51"/>
      <c r="I9" s="51"/>
      <c r="J9" s="45"/>
    </row>
    <row r="10" spans="1:16" x14ac:dyDescent="0.25">
      <c r="A10" s="35">
        <v>783</v>
      </c>
      <c r="B10" s="33">
        <f>VLOOKUP(A10,'B Calculations'!B9:D87,3,FALSE)</f>
        <v>67225.676114168382</v>
      </c>
      <c r="D10" s="187"/>
      <c r="F10" s="115" t="s">
        <v>42</v>
      </c>
      <c r="G10" s="116"/>
      <c r="H10" s="116"/>
      <c r="I10" s="116"/>
      <c r="J10" s="56">
        <v>0.43</v>
      </c>
    </row>
    <row r="11" spans="1:16" x14ac:dyDescent="0.25">
      <c r="A11" s="35">
        <v>782</v>
      </c>
      <c r="B11" s="33">
        <f>VLOOKUP(A11,'B Calculations'!B10:D88,3,FALSE)</f>
        <v>20478.81083162217</v>
      </c>
      <c r="D11" s="187"/>
      <c r="F11" s="43"/>
      <c r="G11" s="51"/>
      <c r="H11" s="51"/>
      <c r="I11" s="51"/>
      <c r="J11" s="46"/>
    </row>
    <row r="12" spans="1:16" x14ac:dyDescent="0.25">
      <c r="A12" s="35">
        <v>781</v>
      </c>
      <c r="B12" s="33">
        <f>VLOOKUP(A12,'B Calculations'!B11:D89,3,FALSE)</f>
        <v>85344.033648049284</v>
      </c>
      <c r="D12" s="187"/>
      <c r="F12" s="115" t="s">
        <v>43</v>
      </c>
      <c r="G12" s="116"/>
      <c r="H12" s="116"/>
      <c r="I12" s="116"/>
      <c r="J12" s="56">
        <v>0.05</v>
      </c>
    </row>
    <row r="13" spans="1:16" x14ac:dyDescent="0.25">
      <c r="A13" s="35">
        <v>780</v>
      </c>
      <c r="B13" s="33">
        <f>VLOOKUP(A13,'B Calculations'!B12:D90,3,FALSE)</f>
        <v>27622.100849281323</v>
      </c>
      <c r="F13" s="43"/>
      <c r="G13" s="51"/>
      <c r="H13" s="51"/>
      <c r="I13" s="51"/>
      <c r="J13" s="46"/>
    </row>
    <row r="14" spans="1:16" ht="13.8" thickBot="1" x14ac:dyDescent="0.3">
      <c r="A14" s="35">
        <v>779</v>
      </c>
      <c r="B14" s="33">
        <f>VLOOKUP(A14,'B Calculations'!B13:D91,3,FALSE)</f>
        <v>62102.546756468175</v>
      </c>
      <c r="F14" s="109" t="s">
        <v>44</v>
      </c>
      <c r="G14" s="110"/>
      <c r="H14" s="110"/>
      <c r="I14" s="110"/>
      <c r="J14" s="31">
        <v>5</v>
      </c>
    </row>
    <row r="15" spans="1:16" ht="13.8" thickBot="1" x14ac:dyDescent="0.3">
      <c r="A15" s="35">
        <v>778</v>
      </c>
      <c r="B15" s="33">
        <f>VLOOKUP(A15,'B Calculations'!B14:D92,3,FALSE)</f>
        <v>54732.591481724834</v>
      </c>
    </row>
    <row r="16" spans="1:16" x14ac:dyDescent="0.25">
      <c r="A16" s="35">
        <v>777</v>
      </c>
      <c r="B16" s="33">
        <f>VLOOKUP(A16,'B Calculations'!B15:D93,3,FALSE)</f>
        <v>43604.120078850108</v>
      </c>
      <c r="F16" s="107" t="s">
        <v>45</v>
      </c>
      <c r="G16" s="108"/>
      <c r="H16" s="108"/>
      <c r="I16" s="108"/>
      <c r="J16" s="52">
        <f>(J4*(1+J10))+(J6*(1+J10)^0.5)</f>
        <v>4957558.2845412893</v>
      </c>
    </row>
    <row r="17" spans="1:10" x14ac:dyDescent="0.25">
      <c r="A17" s="35">
        <v>776</v>
      </c>
      <c r="B17" s="33">
        <f>VLOOKUP(A17,'B Calculations'!B16:D94,3,FALSE)</f>
        <v>109759.68584106778</v>
      </c>
      <c r="F17" s="43"/>
      <c r="G17" s="51"/>
      <c r="H17" s="51"/>
      <c r="I17" s="51"/>
      <c r="J17" s="44"/>
    </row>
    <row r="18" spans="1:10" ht="13.8" thickBot="1" x14ac:dyDescent="0.3">
      <c r="A18" s="35">
        <v>775</v>
      </c>
      <c r="B18" s="33">
        <f>VLOOKUP(A18,'B Calculations'!B17:D95,3,FALSE)</f>
        <v>97634.856123203295</v>
      </c>
      <c r="F18" s="109" t="s">
        <v>46</v>
      </c>
      <c r="G18" s="110"/>
      <c r="H18" s="110"/>
      <c r="I18" s="110"/>
      <c r="J18" s="270">
        <f>J16-J8</f>
        <v>-8827726.4186539017</v>
      </c>
    </row>
    <row r="19" spans="1:10" ht="13.8" thickBot="1" x14ac:dyDescent="0.3">
      <c r="A19" s="35">
        <v>774</v>
      </c>
      <c r="B19" s="33">
        <f>VLOOKUP(A19,'B Calculations'!B18:D96,3,FALSE)</f>
        <v>63994.218359753599</v>
      </c>
    </row>
    <row r="20" spans="1:10" ht="13.8" thickBot="1" x14ac:dyDescent="0.3">
      <c r="A20" s="35">
        <v>772</v>
      </c>
      <c r="B20" s="33">
        <f>VLOOKUP(A20,'B Calculations'!B19:D97,3,FALSE)</f>
        <v>44901.84756262834</v>
      </c>
      <c r="F20" s="111" t="s">
        <v>48</v>
      </c>
      <c r="G20" s="112"/>
      <c r="H20" s="112"/>
      <c r="I20" s="113"/>
      <c r="J20" s="49">
        <f>PMT(J12,J14,J18,0,0)</f>
        <v>2038982.3274801644</v>
      </c>
    </row>
    <row r="21" spans="1:10" x14ac:dyDescent="0.25">
      <c r="A21" s="35">
        <v>771</v>
      </c>
      <c r="B21" s="33">
        <f>VLOOKUP(A21,'B Calculations'!B20:D98,3,FALSE)</f>
        <v>23665.784399999993</v>
      </c>
    </row>
    <row r="22" spans="1:10" x14ac:dyDescent="0.25">
      <c r="A22" s="35">
        <v>768</v>
      </c>
      <c r="B22" s="33">
        <f>VLOOKUP(A22,'B Calculations'!B21:D99,3,FALSE)</f>
        <v>85440.310355646827</v>
      </c>
    </row>
    <row r="23" spans="1:10" x14ac:dyDescent="0.25">
      <c r="A23" s="35">
        <v>767</v>
      </c>
      <c r="B23" s="33">
        <f>VLOOKUP(A23,'B Calculations'!B22:D100,3,FALSE)</f>
        <v>35478.510050513352</v>
      </c>
    </row>
    <row r="24" spans="1:10" x14ac:dyDescent="0.25">
      <c r="A24" s="35">
        <v>766</v>
      </c>
      <c r="B24" s="33">
        <f>VLOOKUP(A24,'B Calculations'!B23:D101,3,FALSE)</f>
        <v>77855.812589322362</v>
      </c>
      <c r="H24" s="50"/>
    </row>
    <row r="25" spans="1:10" x14ac:dyDescent="0.25">
      <c r="A25" s="35">
        <v>765</v>
      </c>
      <c r="B25" s="33">
        <f>VLOOKUP(A25,'B Calculations'!B24:D102,3,FALSE)</f>
        <v>138057.09913757702</v>
      </c>
    </row>
    <row r="26" spans="1:10" x14ac:dyDescent="0.25">
      <c r="A26" s="35">
        <v>762</v>
      </c>
      <c r="B26" s="33">
        <f>VLOOKUP(A26,'B Calculations'!B25:D103,3,FALSE)</f>
        <v>52925.884271047231</v>
      </c>
    </row>
    <row r="27" spans="1:10" x14ac:dyDescent="0.25">
      <c r="A27" s="35">
        <v>758</v>
      </c>
      <c r="B27" s="33">
        <f>VLOOKUP(A27,'B Calculations'!B26:D104,3,FALSE)</f>
        <v>35709.420166324438</v>
      </c>
    </row>
    <row r="28" spans="1:10" x14ac:dyDescent="0.25">
      <c r="A28" s="35">
        <v>757</v>
      </c>
      <c r="B28" s="33">
        <f>VLOOKUP(A28,'B Calculations'!B27:D105,3,FALSE)</f>
        <v>51375.188671457916</v>
      </c>
    </row>
    <row r="29" spans="1:10" x14ac:dyDescent="0.25">
      <c r="A29" s="35">
        <v>756</v>
      </c>
      <c r="B29" s="33">
        <f>VLOOKUP(A29,'B Calculations'!B28:D106,3,FALSE)</f>
        <v>60297.439678028742</v>
      </c>
    </row>
    <row r="30" spans="1:10" x14ac:dyDescent="0.25">
      <c r="A30" s="35">
        <v>755</v>
      </c>
      <c r="B30" s="33">
        <f>VLOOKUP(A30,'B Calculations'!B29:D107,3,FALSE)</f>
        <v>40939.075811088289</v>
      </c>
    </row>
    <row r="31" spans="1:10" x14ac:dyDescent="0.25">
      <c r="A31" s="35">
        <v>754</v>
      </c>
      <c r="B31" s="33">
        <f>VLOOKUP(A31,'B Calculations'!B30:D108,3,FALSE)</f>
        <v>42214.951606067218</v>
      </c>
    </row>
    <row r="32" spans="1:10" x14ac:dyDescent="0.25">
      <c r="A32" s="35">
        <v>753</v>
      </c>
      <c r="B32" s="33">
        <f>VLOOKUP(A32,'B Calculations'!B31:D109,3,FALSE)</f>
        <v>94108.90981399978</v>
      </c>
    </row>
    <row r="33" spans="1:2" x14ac:dyDescent="0.25">
      <c r="A33" s="35">
        <v>752</v>
      </c>
      <c r="B33" s="33">
        <f>VLOOKUP(A33,'B Calculations'!B32:D110,3,FALSE)</f>
        <v>36398.655296630837</v>
      </c>
    </row>
    <row r="34" spans="1:2" x14ac:dyDescent="0.25">
      <c r="A34" s="35">
        <v>747</v>
      </c>
      <c r="B34" s="33">
        <f>VLOOKUP(A34,'B Calculations'!B33:D111,3,FALSE)</f>
        <v>105502.66867510244</v>
      </c>
    </row>
    <row r="35" spans="1:2" x14ac:dyDescent="0.25">
      <c r="A35" s="35">
        <v>746</v>
      </c>
      <c r="B35" s="33">
        <f>VLOOKUP(A35,'B Calculations'!B34:D112,3,FALSE)</f>
        <v>207863.63941138724</v>
      </c>
    </row>
    <row r="36" spans="1:2" x14ac:dyDescent="0.25">
      <c r="A36" s="35">
        <v>743</v>
      </c>
      <c r="B36" s="33">
        <f>VLOOKUP(A36,'B Calculations'!B35:D113,3,FALSE)</f>
        <v>56203.879425926454</v>
      </c>
    </row>
    <row r="37" spans="1:2" x14ac:dyDescent="0.25">
      <c r="A37" s="35">
        <v>742</v>
      </c>
      <c r="B37" s="33">
        <f>VLOOKUP(A37,'B Calculations'!B36:D114,3,FALSE)</f>
        <v>119209.24103922518</v>
      </c>
    </row>
    <row r="38" spans="1:2" x14ac:dyDescent="0.25">
      <c r="A38" s="35">
        <v>740</v>
      </c>
      <c r="B38" s="33">
        <f>VLOOKUP(A38,'B Calculations'!B37:D115,3,FALSE)</f>
        <v>67263.335010210401</v>
      </c>
    </row>
    <row r="39" spans="1:2" x14ac:dyDescent="0.25">
      <c r="A39" s="35">
        <v>734</v>
      </c>
      <c r="B39" s="33">
        <f>VLOOKUP(A39,'B Calculations'!B38:D116,3,FALSE)</f>
        <v>236844.547919487</v>
      </c>
    </row>
    <row r="40" spans="1:2" x14ac:dyDescent="0.25">
      <c r="A40" s="35">
        <v>732</v>
      </c>
      <c r="B40" s="33">
        <f>VLOOKUP(A40,'B Calculations'!B39:D117,3,FALSE)</f>
        <v>64744.275219444236</v>
      </c>
    </row>
    <row r="41" spans="1:2" x14ac:dyDescent="0.25">
      <c r="A41" s="35">
        <v>730</v>
      </c>
      <c r="B41" s="33">
        <f>VLOOKUP(A41,'B Calculations'!B40:D118,3,FALSE)</f>
        <v>103137.87420192962</v>
      </c>
    </row>
    <row r="42" spans="1:2" x14ac:dyDescent="0.25">
      <c r="A42" s="35">
        <v>729</v>
      </c>
      <c r="B42" s="33">
        <f>VLOOKUP(A42,'B Calculations'!B41:D119,3,FALSE)</f>
        <v>63673.725878706646</v>
      </c>
    </row>
    <row r="43" spans="1:2" x14ac:dyDescent="0.25">
      <c r="A43" s="35">
        <v>726</v>
      </c>
      <c r="B43" s="33">
        <f>VLOOKUP(A43,'B Calculations'!B42:D120,3,FALSE)</f>
        <v>255692.24582902744</v>
      </c>
    </row>
    <row r="44" spans="1:2" x14ac:dyDescent="0.25">
      <c r="A44" s="35">
        <v>721</v>
      </c>
      <c r="B44" s="33">
        <f>VLOOKUP(A44,'B Calculations'!B43:D121,3,FALSE)</f>
        <v>209256.79818516015</v>
      </c>
    </row>
    <row r="45" spans="1:2" x14ac:dyDescent="0.25">
      <c r="A45" s="35">
        <v>718</v>
      </c>
      <c r="B45" s="33">
        <f>VLOOKUP(A45,'B Calculations'!B44:D122,3,FALSE)</f>
        <v>163777.81126363322</v>
      </c>
    </row>
    <row r="46" spans="1:2" x14ac:dyDescent="0.25">
      <c r="A46" s="35">
        <v>714</v>
      </c>
      <c r="B46" s="33">
        <f>VLOOKUP(A46,'B Calculations'!B45:D123,3,FALSE)</f>
        <v>153113.26219029803</v>
      </c>
    </row>
    <row r="47" spans="1:2" x14ac:dyDescent="0.25">
      <c r="A47" s="35">
        <v>709</v>
      </c>
      <c r="B47" s="33">
        <f>VLOOKUP(A47,'B Calculations'!B46:D124,3,FALSE)</f>
        <v>83202.490312163893</v>
      </c>
    </row>
    <row r="48" spans="1:2" x14ac:dyDescent="0.25">
      <c r="A48" s="35">
        <v>703</v>
      </c>
      <c r="B48" s="33">
        <f>VLOOKUP(A48,'B Calculations'!B47:D125,3,FALSE)</f>
        <v>84359.749540666162</v>
      </c>
    </row>
    <row r="49" spans="1:2" x14ac:dyDescent="0.25">
      <c r="A49" s="35">
        <v>698</v>
      </c>
      <c r="B49" s="33">
        <f>VLOOKUP(A49,'B Calculations'!B48:D126,3,FALSE)</f>
        <v>85029.752090116875</v>
      </c>
    </row>
    <row r="50" spans="1:2" x14ac:dyDescent="0.25">
      <c r="A50" s="35">
        <v>697</v>
      </c>
      <c r="B50" s="33">
        <f>VLOOKUP(A50,'B Calculations'!B49:D127,3,FALSE)</f>
        <v>215039.81461824119</v>
      </c>
    </row>
    <row r="51" spans="1:2" x14ac:dyDescent="0.25">
      <c r="A51" s="35">
        <v>696</v>
      </c>
      <c r="B51" s="33">
        <f>VLOOKUP(A51,'B Calculations'!B50:D128,3,FALSE)</f>
        <v>150897.89960455743</v>
      </c>
    </row>
    <row r="52" spans="1:2" x14ac:dyDescent="0.25">
      <c r="A52" s="35">
        <v>694</v>
      </c>
      <c r="B52" s="33">
        <f>VLOOKUP(A52,'B Calculations'!B51:D129,3,FALSE)</f>
        <v>133912.78544435109</v>
      </c>
    </row>
    <row r="53" spans="1:2" x14ac:dyDescent="0.25">
      <c r="A53" s="35">
        <v>687</v>
      </c>
      <c r="B53" s="33">
        <f>VLOOKUP(A53,'B Calculations'!B52:D130,3,FALSE)</f>
        <v>161851.54750981383</v>
      </c>
    </row>
    <row r="54" spans="1:2" x14ac:dyDescent="0.25">
      <c r="A54" s="35">
        <v>685</v>
      </c>
      <c r="B54" s="33">
        <f>VLOOKUP(A54,'B Calculations'!B53:D131,3,FALSE)</f>
        <v>113528.01138398924</v>
      </c>
    </row>
    <row r="55" spans="1:2" x14ac:dyDescent="0.25">
      <c r="A55" s="35">
        <v>684</v>
      </c>
      <c r="B55" s="33">
        <f>VLOOKUP(A55,'B Calculations'!B54:D132,3,FALSE)</f>
        <v>191241.58233089352</v>
      </c>
    </row>
    <row r="56" spans="1:2" x14ac:dyDescent="0.25">
      <c r="A56" s="35">
        <v>681</v>
      </c>
      <c r="B56" s="33">
        <f>VLOOKUP(A56,'B Calculations'!B55:D133,3,FALSE)</f>
        <v>206112.81869193434</v>
      </c>
    </row>
    <row r="57" spans="1:2" x14ac:dyDescent="0.25">
      <c r="A57" s="35">
        <v>655</v>
      </c>
      <c r="B57" s="33">
        <f>VLOOKUP(A57,'B Calculations'!B56:D134,3,FALSE)</f>
        <v>123840.46800207371</v>
      </c>
    </row>
    <row r="58" spans="1:2" x14ac:dyDescent="0.25">
      <c r="A58" s="35">
        <v>644</v>
      </c>
      <c r="B58" s="33">
        <f>VLOOKUP(A58,'B Calculations'!B57:D135,3,FALSE)</f>
        <v>220981.37949760843</v>
      </c>
    </row>
    <row r="59" spans="1:2" x14ac:dyDescent="0.25">
      <c r="A59" s="35">
        <v>634</v>
      </c>
      <c r="B59" s="33">
        <f>VLOOKUP(A59,'B Calculations'!B58:D136,3,FALSE)</f>
        <v>246505.24510627074</v>
      </c>
    </row>
    <row r="60" spans="1:2" x14ac:dyDescent="0.25">
      <c r="A60" s="35">
        <v>625</v>
      </c>
      <c r="B60" s="33">
        <f>VLOOKUP(A60,'B Calculations'!B59:D137,3,FALSE)</f>
        <v>204826.70351717371</v>
      </c>
    </row>
    <row r="61" spans="1:2" x14ac:dyDescent="0.25">
      <c r="A61" s="35">
        <v>624</v>
      </c>
      <c r="B61" s="33">
        <f>VLOOKUP(A61,'B Calculations'!B60:D138,3,FALSE)</f>
        <v>372043.63529832155</v>
      </c>
    </row>
    <row r="62" spans="1:2" x14ac:dyDescent="0.25">
      <c r="A62" s="35">
        <v>620</v>
      </c>
      <c r="B62" s="33">
        <f>VLOOKUP(A62,'B Calculations'!B61:D139,3,FALSE)</f>
        <v>157531.30239113548</v>
      </c>
    </row>
    <row r="63" spans="1:2" x14ac:dyDescent="0.25">
      <c r="A63" s="35">
        <v>588</v>
      </c>
      <c r="B63" s="33">
        <f>VLOOKUP(A63,'B Calculations'!B62:D140,3,FALSE)</f>
        <v>358350.01811118051</v>
      </c>
    </row>
    <row r="64" spans="1:2" x14ac:dyDescent="0.25">
      <c r="A64" s="35">
        <v>584</v>
      </c>
      <c r="B64" s="33">
        <f>VLOOKUP(A64,'B Calculations'!B63:D141,3,FALSE)</f>
        <v>355013.67497886176</v>
      </c>
    </row>
    <row r="65" spans="1:2" x14ac:dyDescent="0.25">
      <c r="A65" s="35">
        <v>580</v>
      </c>
      <c r="B65" s="33">
        <f>VLOOKUP(A65,'B Calculations'!B64:D142,3,FALSE)</f>
        <v>310092.22717865539</v>
      </c>
    </row>
    <row r="66" spans="1:2" x14ac:dyDescent="0.25">
      <c r="A66" s="35">
        <v>579</v>
      </c>
      <c r="B66" s="33">
        <f>VLOOKUP(A66,'B Calculations'!B65:D143,3,FALSE)</f>
        <v>236859.71307136814</v>
      </c>
    </row>
    <row r="67" spans="1:2" x14ac:dyDescent="0.25">
      <c r="A67" s="35">
        <v>576</v>
      </c>
      <c r="B67" s="33">
        <f>VLOOKUP(A67,'B Calculations'!B66:D144,3,FALSE)</f>
        <v>276933.90899206465</v>
      </c>
    </row>
    <row r="68" spans="1:2" x14ac:dyDescent="0.25">
      <c r="A68" s="35">
        <v>564</v>
      </c>
      <c r="B68" s="33">
        <f>VLOOKUP(A68,'B Calculations'!B67:D145,3,FALSE)</f>
        <v>262930.70441488724</v>
      </c>
    </row>
    <row r="69" spans="1:2" x14ac:dyDescent="0.25">
      <c r="A69" s="35">
        <v>561</v>
      </c>
      <c r="B69" s="33">
        <f>VLOOKUP(A69,'B Calculations'!B68:D146,3,FALSE)</f>
        <v>347305.86307677097</v>
      </c>
    </row>
    <row r="70" spans="1:2" x14ac:dyDescent="0.25">
      <c r="A70" s="35">
        <v>553</v>
      </c>
      <c r="B70" s="33">
        <f>VLOOKUP(A70,'B Calculations'!B69:D147,3,FALSE)</f>
        <v>221106.80784793163</v>
      </c>
    </row>
    <row r="71" spans="1:2" x14ac:dyDescent="0.25">
      <c r="A71" s="35">
        <v>547</v>
      </c>
      <c r="B71" s="33">
        <f>VLOOKUP(A71,'B Calculations'!B70:D148,3,FALSE)</f>
        <v>225467.57178268934</v>
      </c>
    </row>
    <row r="72" spans="1:2" x14ac:dyDescent="0.25">
      <c r="A72" s="35">
        <v>524</v>
      </c>
      <c r="B72" s="33">
        <f>VLOOKUP(A72,'B Calculations'!B71:D149,3,FALSE)</f>
        <v>469835.85391210596</v>
      </c>
    </row>
    <row r="73" spans="1:2" x14ac:dyDescent="0.25">
      <c r="A73" s="35">
        <v>514</v>
      </c>
      <c r="B73" s="33">
        <f>VLOOKUP(A73,'B Calculations'!B72:D150,3,FALSE)</f>
        <v>332969.80037831288</v>
      </c>
    </row>
    <row r="74" spans="1:2" x14ac:dyDescent="0.25">
      <c r="A74" s="35">
        <v>498</v>
      </c>
      <c r="B74" s="33">
        <f>VLOOKUP(A74,'B Calculations'!B73:D151,3,FALSE)</f>
        <v>335099.08604517265</v>
      </c>
    </row>
    <row r="75" spans="1:2" x14ac:dyDescent="0.25">
      <c r="A75" s="35">
        <v>482</v>
      </c>
      <c r="B75" s="33">
        <f>VLOOKUP(A75,'B Calculations'!B74:D152,3,FALSE)</f>
        <v>397586.82615617302</v>
      </c>
    </row>
    <row r="76" spans="1:2" x14ac:dyDescent="0.25">
      <c r="A76" s="35">
        <v>481</v>
      </c>
      <c r="B76" s="33">
        <f>VLOOKUP(A76,'B Calculations'!B75:D153,3,FALSE)</f>
        <v>507028.58012272982</v>
      </c>
    </row>
    <row r="77" spans="1:2" x14ac:dyDescent="0.25">
      <c r="A77" s="35">
        <v>474</v>
      </c>
      <c r="B77" s="33">
        <f>VLOOKUP(A77,'B Calculations'!B76:D154,3,FALSE)</f>
        <v>343950.67984793539</v>
      </c>
    </row>
    <row r="78" spans="1:2" x14ac:dyDescent="0.25">
      <c r="A78" s="35">
        <v>452</v>
      </c>
      <c r="B78" s="33">
        <f>VLOOKUP(A78,'B Calculations'!B77:D155,3,FALSE)</f>
        <v>487985.75540951977</v>
      </c>
    </row>
    <row r="79" spans="1:2" x14ac:dyDescent="0.25">
      <c r="A79" s="35">
        <v>391</v>
      </c>
      <c r="B79" s="33">
        <f>VLOOKUP(A79,'B Calculations'!B78:D156,3,FALSE)</f>
        <v>431710.53232378315</v>
      </c>
    </row>
    <row r="80" spans="1:2" x14ac:dyDescent="0.25">
      <c r="A80" s="35">
        <v>386</v>
      </c>
      <c r="B80" s="33">
        <f>VLOOKUP(A80,'B Calculations'!B79:D157,3,FALSE)</f>
        <v>511476.57774549973</v>
      </c>
    </row>
    <row r="81" spans="1:2" x14ac:dyDescent="0.25">
      <c r="A81" s="35">
        <v>360</v>
      </c>
      <c r="B81" s="33">
        <f>VLOOKUP(A81,'B Calculations'!B80:D158,3,FALSE)</f>
        <v>557453.06407990365</v>
      </c>
    </row>
    <row r="82" spans="1:2" ht="13.8" thickBot="1" x14ac:dyDescent="0.3">
      <c r="A82" s="31">
        <v>316</v>
      </c>
      <c r="B82" s="34">
        <f>VLOOKUP(A82,'B Calculations'!B81:D159,3,FALSE)</f>
        <v>524416.65883750969</v>
      </c>
    </row>
  </sheetData>
  <mergeCells count="16">
    <mergeCell ref="L2:O2"/>
    <mergeCell ref="L4:O4"/>
    <mergeCell ref="L6:O6"/>
    <mergeCell ref="F10:I10"/>
    <mergeCell ref="A2:A3"/>
    <mergeCell ref="F16:I16"/>
    <mergeCell ref="F18:I18"/>
    <mergeCell ref="F20:I20"/>
    <mergeCell ref="B2:B3"/>
    <mergeCell ref="D2:D3"/>
    <mergeCell ref="F4:I4"/>
    <mergeCell ref="F6:I6"/>
    <mergeCell ref="F8:I8"/>
    <mergeCell ref="F12:I12"/>
    <mergeCell ref="F14:I14"/>
    <mergeCell ref="D10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showGridLines="0" zoomScaleNormal="100" workbookViewId="0">
      <pane ySplit="3" topLeftCell="A4" activePane="bottomLeft" state="frozen"/>
      <selection pane="bottomLeft" activeCell="M17" sqref="M17"/>
    </sheetView>
  </sheetViews>
  <sheetFormatPr defaultColWidth="11.5546875" defaultRowHeight="13.2" x14ac:dyDescent="0.25"/>
  <cols>
    <col min="1" max="1" width="15.109375" customWidth="1"/>
    <col min="2" max="2" width="15.44140625" customWidth="1"/>
    <col min="3" max="3" width="14.6640625" customWidth="1"/>
    <col min="5" max="5" width="17.6640625" customWidth="1"/>
    <col min="6" max="6" width="27.88671875" customWidth="1"/>
  </cols>
  <sheetData>
    <row r="1" spans="1:6" ht="14.4" customHeight="1" thickBot="1" x14ac:dyDescent="0.3"/>
    <row r="2" spans="1:6" ht="38.4" customHeight="1" thickBot="1" x14ac:dyDescent="0.3">
      <c r="A2" s="122" t="s">
        <v>4</v>
      </c>
      <c r="B2" s="199" t="s">
        <v>70</v>
      </c>
      <c r="C2" s="105" t="s">
        <v>71</v>
      </c>
      <c r="E2" s="198" t="s">
        <v>73</v>
      </c>
      <c r="F2" s="197" t="s">
        <v>74</v>
      </c>
    </row>
    <row r="3" spans="1:6" ht="16.8" customHeight="1" thickBot="1" x14ac:dyDescent="0.3">
      <c r="A3" s="123"/>
      <c r="B3" s="200"/>
      <c r="C3" s="106"/>
      <c r="E3" s="25">
        <f>SUM(B4:B82)</f>
        <v>752688.65167371347</v>
      </c>
      <c r="F3" s="25">
        <f>SUM(C4:C82)</f>
        <v>16848628.771860484</v>
      </c>
    </row>
    <row r="4" spans="1:6" x14ac:dyDescent="0.25">
      <c r="A4" s="184">
        <v>761</v>
      </c>
      <c r="B4" s="194">
        <f>VLOOKUP(A4,'C Calculations'!$B$3:$D$81,2,FALSE)</f>
        <v>5015.4994447638619</v>
      </c>
      <c r="C4" s="28">
        <f>VLOOKUP(A4,'C Calculations'!$B$3:$D$81,3,FALSE)</f>
        <v>75232.49167145793</v>
      </c>
    </row>
    <row r="5" spans="1:6" x14ac:dyDescent="0.25">
      <c r="A5" s="129">
        <v>735</v>
      </c>
      <c r="B5" s="195">
        <f>VLOOKUP(A5,'C Calculations'!$B$3:$D$81,2,FALSE)</f>
        <v>4068.1470800821362</v>
      </c>
      <c r="C5" s="29">
        <f>VLOOKUP(A5,'C Calculations'!$B$3:$D$81,3,FALSE)</f>
        <v>71870.598414784399</v>
      </c>
    </row>
    <row r="6" spans="1:6" ht="13.8" thickBot="1" x14ac:dyDescent="0.3">
      <c r="A6" s="129">
        <v>769</v>
      </c>
      <c r="B6" s="195">
        <f>VLOOKUP(A6,'C Calculations'!$B$3:$D$81,2,FALSE)</f>
        <v>3630.3353248459953</v>
      </c>
      <c r="C6" s="29">
        <f>VLOOKUP(A6,'C Calculations'!$B$3:$D$81,3,FALSE)</f>
        <v>52639.862210266932</v>
      </c>
    </row>
    <row r="7" spans="1:6" x14ac:dyDescent="0.25">
      <c r="A7" s="129">
        <v>786</v>
      </c>
      <c r="B7" s="195">
        <f>VLOOKUP(A7,'C Calculations'!$B$3:$D$81,2,FALSE)</f>
        <v>4730.0283203285417</v>
      </c>
      <c r="C7" s="29">
        <f>VLOOKUP(A7,'C Calculations'!$B$3:$D$81,3,FALSE)</f>
        <v>62672.87524435317</v>
      </c>
      <c r="F7" s="201" t="s">
        <v>72</v>
      </c>
    </row>
    <row r="8" spans="1:6" x14ac:dyDescent="0.25">
      <c r="A8" s="129">
        <v>785</v>
      </c>
      <c r="B8" s="195">
        <f>VLOOKUP(A8,'C Calculations'!$B$3:$D$81,2,FALSE)</f>
        <v>1768.9400427104722</v>
      </c>
      <c r="C8" s="29">
        <f>VLOOKUP(A8,'C Calculations'!$B$3:$D$81,3,FALSE)</f>
        <v>23438.455565913755</v>
      </c>
      <c r="F8" s="202"/>
    </row>
    <row r="9" spans="1:6" x14ac:dyDescent="0.25">
      <c r="A9" s="129">
        <v>784</v>
      </c>
      <c r="B9" s="195">
        <f>VLOOKUP(A9,'C Calculations'!$B$3:$D$81,2,FALSE)</f>
        <v>7241.5020418891163</v>
      </c>
      <c r="C9" s="29">
        <f>VLOOKUP(A9,'C Calculations'!$B$3:$D$81,3,FALSE)</f>
        <v>97156.819062012306</v>
      </c>
      <c r="E9" s="127"/>
      <c r="F9" s="202"/>
    </row>
    <row r="10" spans="1:6" ht="13.2" customHeight="1" x14ac:dyDescent="0.25">
      <c r="A10" s="129">
        <v>783</v>
      </c>
      <c r="B10" s="195">
        <f>VLOOKUP(A10,'C Calculations'!$B$3:$D$81,2,FALSE)</f>
        <v>6763.2445503080071</v>
      </c>
      <c r="C10" s="29">
        <f>VLOOKUP(A10,'C Calculations'!$B$3:$D$81,3,FALSE)</f>
        <v>90740.197716632421</v>
      </c>
      <c r="E10" s="127"/>
      <c r="F10" s="202"/>
    </row>
    <row r="11" spans="1:6" x14ac:dyDescent="0.25">
      <c r="A11" s="129">
        <v>782</v>
      </c>
      <c r="B11" s="195">
        <f>VLOOKUP(A11,'C Calculations'!$B$3:$D$81,2,FALSE)</f>
        <v>2039.4798899383982</v>
      </c>
      <c r="C11" s="29">
        <f>VLOOKUP(A11,'C Calculations'!$B$3:$D$81,3,FALSE)</f>
        <v>27702.935171663241</v>
      </c>
      <c r="F11" s="202"/>
    </row>
    <row r="12" spans="1:6" ht="13.8" thickBot="1" x14ac:dyDescent="0.3">
      <c r="A12" s="129">
        <v>781</v>
      </c>
      <c r="B12" s="195">
        <f>VLOOKUP(A12,'C Calculations'!$B$3:$D$81,2,FALSE)</f>
        <v>8229.6906677618044</v>
      </c>
      <c r="C12" s="29">
        <f>VLOOKUP(A12,'C Calculations'!$B$3:$D$81,3,FALSE)</f>
        <v>114529.86179301846</v>
      </c>
      <c r="F12" s="203"/>
    </row>
    <row r="13" spans="1:6" x14ac:dyDescent="0.25">
      <c r="A13" s="129">
        <v>780</v>
      </c>
      <c r="B13" s="195">
        <f>VLOOKUP(A13,'C Calculations'!$B$3:$D$81,2,FALSE)</f>
        <v>2734.524778644764</v>
      </c>
      <c r="C13" s="29">
        <f>VLOOKUP(A13,'C Calculations'!$B$3:$D$81,3,FALSE)</f>
        <v>37371.83864147844</v>
      </c>
    </row>
    <row r="14" spans="1:6" x14ac:dyDescent="0.25">
      <c r="A14" s="129">
        <v>779</v>
      </c>
      <c r="B14" s="195">
        <f>VLOOKUP(A14,'C Calculations'!$B$3:$D$81,2,FALSE)</f>
        <v>6047.4481823408623</v>
      </c>
      <c r="C14" s="29">
        <f>VLOOKUP(A14,'C Calculations'!$B$3:$D$81,3,FALSE)</f>
        <v>83656.366522381926</v>
      </c>
    </row>
    <row r="15" spans="1:6" x14ac:dyDescent="0.25">
      <c r="A15" s="129">
        <v>778</v>
      </c>
      <c r="B15" s="195">
        <f>VLOOKUP(A15,'C Calculations'!$B$3:$D$81,2,FALSE)</f>
        <v>6189.0747597535938</v>
      </c>
      <c r="C15" s="29">
        <f>VLOOKUP(A15,'C Calculations'!$B$3:$D$81,3,FALSE)</f>
        <v>73237.3846570842</v>
      </c>
    </row>
    <row r="16" spans="1:6" x14ac:dyDescent="0.25">
      <c r="A16" s="129">
        <v>777</v>
      </c>
      <c r="B16" s="195">
        <f>VLOOKUP(A16,'C Calculations'!$B$3:$D$81,2,FALSE)</f>
        <v>4268.1861930184796</v>
      </c>
      <c r="C16" s="29">
        <f>VLOOKUP(A16,'C Calculations'!$B$3:$D$81,3,FALSE)</f>
        <v>59043.24233675564</v>
      </c>
    </row>
    <row r="17" spans="1:3" x14ac:dyDescent="0.25">
      <c r="A17" s="129">
        <v>776</v>
      </c>
      <c r="B17" s="195">
        <f>VLOOKUP(A17,'C Calculations'!$B$3:$D$81,2,FALSE)</f>
        <v>0</v>
      </c>
      <c r="C17" s="29">
        <f>VLOOKUP(A17,'C Calculations'!$B$3:$D$81,3,FALSE)</f>
        <v>119223.16710800825</v>
      </c>
    </row>
    <row r="18" spans="1:3" x14ac:dyDescent="0.25">
      <c r="A18" s="129">
        <v>775</v>
      </c>
      <c r="B18" s="195">
        <f>VLOOKUP(A18,'C Calculations'!$B$3:$D$81,2,FALSE)</f>
        <v>2952.507429979466</v>
      </c>
      <c r="C18" s="29">
        <f>VLOOKUP(A18,'C Calculations'!$B$3:$D$81,3,FALSE)</f>
        <v>124005.31205913758</v>
      </c>
    </row>
    <row r="19" spans="1:3" x14ac:dyDescent="0.25">
      <c r="A19" s="129">
        <v>774</v>
      </c>
      <c r="B19" s="195">
        <f>VLOOKUP(A19,'C Calculations'!$B$3:$D$81,2,FALSE)</f>
        <v>6094.8905396303917</v>
      </c>
      <c r="C19" s="29">
        <f>VLOOKUP(A19,'C Calculations'!$B$3:$D$81,3,FALSE)</f>
        <v>86344.28264476388</v>
      </c>
    </row>
    <row r="20" spans="1:3" x14ac:dyDescent="0.25">
      <c r="A20" s="129">
        <v>772</v>
      </c>
      <c r="B20" s="195">
        <f>VLOOKUP(A20,'C Calculations'!$B$3:$D$81,2,FALSE)</f>
        <v>4230.0213388090342</v>
      </c>
      <c r="C20" s="29">
        <f>VLOOKUP(A20,'C Calculations'!$B$3:$D$81,3,FALSE)</f>
        <v>60982.807634496916</v>
      </c>
    </row>
    <row r="21" spans="1:3" x14ac:dyDescent="0.25">
      <c r="A21" s="129">
        <v>771</v>
      </c>
      <c r="B21" s="195">
        <f>VLOOKUP(A21,'C Calculations'!$B$3:$D$81,2,FALSE)</f>
        <v>2216.8784377823408</v>
      </c>
      <c r="C21" s="29">
        <f>VLOOKUP(A21,'C Calculations'!$B$3:$D$81,3,FALSE)</f>
        <v>32144.737347843944</v>
      </c>
    </row>
    <row r="22" spans="1:3" x14ac:dyDescent="0.25">
      <c r="A22" s="129">
        <v>768</v>
      </c>
      <c r="B22" s="195">
        <f>VLOOKUP(A22,'C Calculations'!$B$3:$D$81,2,FALSE)</f>
        <v>7844.5799950718674</v>
      </c>
      <c r="C22" s="29">
        <f>VLOOKUP(A22,'C Calculations'!$B$3:$D$81,3,FALSE)</f>
        <v>115053.83992772072</v>
      </c>
    </row>
    <row r="23" spans="1:3" x14ac:dyDescent="0.25">
      <c r="A23" s="129">
        <v>767</v>
      </c>
      <c r="B23" s="195">
        <f>VLOOKUP(A23,'C Calculations'!$B$3:$D$81,2,FALSE)</f>
        <v>3271.5703589322375</v>
      </c>
      <c r="C23" s="29">
        <f>VLOOKUP(A23,'C Calculations'!$B$3:$D$81,3,FALSE)</f>
        <v>48255.662794250507</v>
      </c>
    </row>
    <row r="24" spans="1:3" x14ac:dyDescent="0.25">
      <c r="A24" s="129">
        <v>766</v>
      </c>
      <c r="B24" s="195">
        <f>VLOOKUP(A24,'C Calculations'!$B$3:$D$81,2,FALSE)</f>
        <v>7093.7098644763864</v>
      </c>
      <c r="C24" s="29">
        <f>VLOOKUP(A24,'C Calculations'!$B$3:$D$81,3,FALSE)</f>
        <v>105814.50547843943</v>
      </c>
    </row>
    <row r="25" spans="1:3" x14ac:dyDescent="0.25">
      <c r="A25" s="129">
        <v>765</v>
      </c>
      <c r="B25" s="195">
        <f>VLOOKUP(A25,'C Calculations'!$B$3:$D$81,2,FALSE)</f>
        <v>0</v>
      </c>
      <c r="C25" s="29">
        <f>VLOOKUP(A25,'C Calculations'!$B$3:$D$81,3,FALSE)</f>
        <v>124111.97829815195</v>
      </c>
    </row>
    <row r="26" spans="1:3" x14ac:dyDescent="0.25">
      <c r="A26" s="129">
        <v>762</v>
      </c>
      <c r="B26" s="195">
        <f>VLOOKUP(A26,'C Calculations'!$B$3:$D$81,2,FALSE)</f>
        <v>4610.7762283367556</v>
      </c>
      <c r="C26" s="29">
        <f>VLOOKUP(A26,'C Calculations'!$B$3:$D$81,3,FALSE)</f>
        <v>72235.494243942507</v>
      </c>
    </row>
    <row r="27" spans="1:3" x14ac:dyDescent="0.25">
      <c r="A27" s="129">
        <v>758</v>
      </c>
      <c r="B27" s="195">
        <f>VLOOKUP(A27,'C Calculations'!$B$3:$D$81,2,FALSE)</f>
        <v>3190.6552410677623</v>
      </c>
      <c r="C27" s="29">
        <f>VLOOKUP(A27,'C Calculations'!$B$3:$D$81,3,FALSE)</f>
        <v>48657.492426283374</v>
      </c>
    </row>
    <row r="28" spans="1:3" x14ac:dyDescent="0.25">
      <c r="A28" s="129">
        <v>757</v>
      </c>
      <c r="B28" s="195">
        <f>VLOOKUP(A28,'C Calculations'!$B$3:$D$81,2,FALSE)</f>
        <v>4545.0253552361391</v>
      </c>
      <c r="C28" s="29">
        <f>VLOOKUP(A28,'C Calculations'!$B$3:$D$81,3,FALSE)</f>
        <v>70069.140893223812</v>
      </c>
    </row>
    <row r="29" spans="1:3" x14ac:dyDescent="0.25">
      <c r="A29" s="129">
        <v>756</v>
      </c>
      <c r="B29" s="195">
        <f>VLOOKUP(A29,'C Calculations'!$B$3:$D$81,2,FALSE)</f>
        <v>5353.2584870636547</v>
      </c>
      <c r="C29" s="29">
        <f>VLOOKUP(A29,'C Calculations'!$B$3:$D$81,3,FALSE)</f>
        <v>82083.296801642704</v>
      </c>
    </row>
    <row r="30" spans="1:3" x14ac:dyDescent="0.25">
      <c r="A30" s="129">
        <v>755</v>
      </c>
      <c r="B30" s="195">
        <f>VLOOKUP(A30,'C Calculations'!$B$3:$D$81,2,FALSE)</f>
        <v>3566.51892073922</v>
      </c>
      <c r="C30" s="29">
        <f>VLOOKUP(A30,'C Calculations'!$B$3:$D$81,3,FALSE)</f>
        <v>55875.463091581114</v>
      </c>
    </row>
    <row r="31" spans="1:3" x14ac:dyDescent="0.25">
      <c r="A31" s="129">
        <v>754</v>
      </c>
      <c r="B31" s="195">
        <f>VLOOKUP(A31,'C Calculations'!$B$3:$D$81,2,FALSE)</f>
        <v>5504.2961719868108</v>
      </c>
      <c r="C31" s="29">
        <f>VLOOKUP(A31,'C Calculations'!$B$3:$D$81,3,FALSE)</f>
        <v>56619.856833115948</v>
      </c>
    </row>
    <row r="32" spans="1:3" x14ac:dyDescent="0.25">
      <c r="A32" s="129">
        <v>753</v>
      </c>
      <c r="B32" s="195">
        <f>VLOOKUP(A32,'C Calculations'!$B$3:$D$81,2,FALSE)</f>
        <v>12572.719280971058</v>
      </c>
      <c r="C32" s="29">
        <f>VLOOKUP(A32,'C Calculations'!$B$3:$D$81,3,FALSE)</f>
        <v>125310.54395651442</v>
      </c>
    </row>
    <row r="33" spans="1:3" x14ac:dyDescent="0.25">
      <c r="A33" s="129">
        <v>752</v>
      </c>
      <c r="B33" s="195">
        <f>VLOOKUP(A33,'C Calculations'!$B$3:$D$81,2,FALSE)</f>
        <v>4867.527379236566</v>
      </c>
      <c r="C33" s="29">
        <f>VLOOKUP(A33,'C Calculations'!$B$3:$D$81,3,FALSE)</f>
        <v>48703.107200055027</v>
      </c>
    </row>
    <row r="34" spans="1:3" x14ac:dyDescent="0.25">
      <c r="A34" s="129">
        <v>747</v>
      </c>
      <c r="B34" s="195">
        <f>VLOOKUP(A34,'C Calculations'!$B$3:$D$81,2,FALSE)</f>
        <v>13607.561868959057</v>
      </c>
      <c r="C34" s="29">
        <f>VLOOKUP(A34,'C Calculations'!$B$3:$D$81,3,FALSE)</f>
        <v>141504.87246413645</v>
      </c>
    </row>
    <row r="35" spans="1:3" x14ac:dyDescent="0.25">
      <c r="A35" s="129">
        <v>746</v>
      </c>
      <c r="B35" s="195">
        <f>VLOOKUP(A35,'C Calculations'!$B$3:$D$81,2,FALSE)</f>
        <v>0</v>
      </c>
      <c r="C35" s="29">
        <f>VLOOKUP(A35,'C Calculations'!$B$3:$D$81,3,FALSE)</f>
        <v>183910.85491430038</v>
      </c>
    </row>
    <row r="36" spans="1:3" x14ac:dyDescent="0.25">
      <c r="A36" s="129">
        <v>743</v>
      </c>
      <c r="B36" s="195">
        <f>VLOOKUP(A36,'C Calculations'!$B$3:$D$81,2,FALSE)</f>
        <v>7184.1353488836621</v>
      </c>
      <c r="C36" s="29">
        <f>VLOOKUP(A36,'C Calculations'!$B$3:$D$81,3,FALSE)</f>
        <v>75490.230388281911</v>
      </c>
    </row>
    <row r="37" spans="1:3" x14ac:dyDescent="0.25">
      <c r="A37" s="129">
        <v>742</v>
      </c>
      <c r="B37" s="195">
        <f>VLOOKUP(A37,'C Calculations'!$B$3:$D$81,2,FALSE)</f>
        <v>15129.690213693131</v>
      </c>
      <c r="C37" s="29">
        <f>VLOOKUP(A37,'C Calculations'!$B$3:$D$81,3,FALSE)</f>
        <v>160038.6707307969</v>
      </c>
    </row>
    <row r="38" spans="1:3" x14ac:dyDescent="0.25">
      <c r="A38" s="129">
        <v>740</v>
      </c>
      <c r="B38" s="195">
        <f>VLOOKUP(A38,'C Calculations'!$B$3:$D$81,2,FALSE)</f>
        <v>8545.0233294691043</v>
      </c>
      <c r="C38" s="29">
        <f>VLOOKUP(A38,'C Calculations'!$B$3:$D$81,3,FALSE)</f>
        <v>90421.475407342587</v>
      </c>
    </row>
    <row r="39" spans="1:3" x14ac:dyDescent="0.25">
      <c r="A39" s="129">
        <v>734</v>
      </c>
      <c r="B39" s="195">
        <f>VLOOKUP(A39,'C Calculations'!$B$3:$D$81,2,FALSE)</f>
        <v>0</v>
      </c>
      <c r="C39" s="29">
        <f>VLOOKUP(A39,'C Calculations'!$B$3:$D$81,3,FALSE)</f>
        <v>212492.72601662361</v>
      </c>
    </row>
    <row r="40" spans="1:3" x14ac:dyDescent="0.25">
      <c r="A40" s="129">
        <v>732</v>
      </c>
      <c r="B40" s="195">
        <f>VLOOKUP(A40,'C Calculations'!$B$3:$D$81,2,FALSE)</f>
        <v>7940.6792944525132</v>
      </c>
      <c r="C40" s="29">
        <f>VLOOKUP(A40,'C Calculations'!$B$3:$D$81,3,FALSE)</f>
        <v>87281.315768202941</v>
      </c>
    </row>
    <row r="41" spans="1:3" x14ac:dyDescent="0.25">
      <c r="A41" s="129">
        <v>730</v>
      </c>
      <c r="B41" s="195">
        <f>VLOOKUP(A41,'C Calculations'!$B$3:$D$81,2,FALSE)</f>
        <v>12578.254934708095</v>
      </c>
      <c r="C41" s="29">
        <f>VLOOKUP(A41,'C Calculations'!$B$3:$D$81,3,FALSE)</f>
        <v>139101.46218361033</v>
      </c>
    </row>
    <row r="42" spans="1:3" x14ac:dyDescent="0.25">
      <c r="A42" s="129">
        <v>729</v>
      </c>
      <c r="B42" s="195">
        <f>VLOOKUP(A42,'C Calculations'!$B$3:$D$81,2,FALSE)</f>
        <v>7719.9245768541696</v>
      </c>
      <c r="C42" s="29">
        <f>VLOOKUP(A42,'C Calculations'!$B$3:$D$81,3,FALSE)</f>
        <v>85893.103780828213</v>
      </c>
    </row>
    <row r="43" spans="1:3" x14ac:dyDescent="0.25">
      <c r="A43" s="129">
        <v>726</v>
      </c>
      <c r="B43" s="195">
        <f>VLOOKUP(A43,'C Calculations'!$B$3:$D$81,2,FALSE)</f>
        <v>0</v>
      </c>
      <c r="C43" s="29">
        <f>VLOOKUP(A43,'C Calculations'!$B$3:$D$81,3,FALSE)</f>
        <v>227702.02467236519</v>
      </c>
    </row>
    <row r="44" spans="1:3" x14ac:dyDescent="0.25">
      <c r="A44" s="129">
        <v>721</v>
      </c>
      <c r="B44" s="195">
        <f>VLOOKUP(A44,'C Calculations'!$B$3:$D$81,2,FALSE)</f>
        <v>1872.9982775191993</v>
      </c>
      <c r="C44" s="29">
        <f>VLOOKUP(A44,'C Calculations'!$B$3:$D$81,3,FALSE)</f>
        <v>259411.65860833693</v>
      </c>
    </row>
    <row r="45" spans="1:3" x14ac:dyDescent="0.25">
      <c r="A45" s="129">
        <v>718</v>
      </c>
      <c r="B45" s="195">
        <f>VLOOKUP(A45,'C Calculations'!$B$3:$D$81,2,FALSE)</f>
        <v>19883.714311073152</v>
      </c>
      <c r="C45" s="29">
        <f>VLOOKUP(A45,'C Calculations'!$B$3:$D$81,3,FALSE)</f>
        <v>218752.981064625</v>
      </c>
    </row>
    <row r="46" spans="1:3" x14ac:dyDescent="0.25">
      <c r="A46" s="129">
        <v>714</v>
      </c>
      <c r="B46" s="195">
        <f>VLOOKUP(A46,'C Calculations'!$B$3:$D$81,2,FALSE)</f>
        <v>18185.304070337228</v>
      </c>
      <c r="C46" s="29">
        <f>VLOOKUP(A46,'C Calculations'!$B$3:$D$81,3,FALSE)</f>
        <v>204857.85829661012</v>
      </c>
    </row>
    <row r="47" spans="1:3" x14ac:dyDescent="0.25">
      <c r="A47" s="129">
        <v>709</v>
      </c>
      <c r="B47" s="195">
        <f>VLOOKUP(A47,'C Calculations'!$B$3:$D$81,2,FALSE)</f>
        <v>9240.5882479736701</v>
      </c>
      <c r="C47" s="29">
        <f>VLOOKUP(A47,'C Calculations'!$B$3:$D$81,3,FALSE)</f>
        <v>112992.91218420866</v>
      </c>
    </row>
    <row r="48" spans="1:3" x14ac:dyDescent="0.25">
      <c r="A48" s="129">
        <v>703</v>
      </c>
      <c r="B48" s="195">
        <f>VLOOKUP(A48,'C Calculations'!$B$3:$D$81,2,FALSE)</f>
        <v>9170.0322572700061</v>
      </c>
      <c r="C48" s="29">
        <f>VLOOKUP(A48,'C Calculations'!$B$3:$D$81,3,FALSE)</f>
        <v>114702.97048935149</v>
      </c>
    </row>
    <row r="49" spans="1:3" x14ac:dyDescent="0.25">
      <c r="A49" s="129">
        <v>698</v>
      </c>
      <c r="B49" s="195">
        <f>VLOOKUP(A49,'C Calculations'!$B$3:$D$81,2,FALSE)</f>
        <v>9129.5732878339586</v>
      </c>
      <c r="C49" s="29">
        <f>VLOOKUP(A49,'C Calculations'!$B$3:$D$81,3,FALSE)</f>
        <v>115710.64128474412</v>
      </c>
    </row>
    <row r="50" spans="1:3" x14ac:dyDescent="0.25">
      <c r="A50" s="129">
        <v>697</v>
      </c>
      <c r="B50" s="195">
        <f>VLOOKUP(A50,'C Calculations'!$B$3:$D$81,2,FALSE)</f>
        <v>24059.192489397956</v>
      </c>
      <c r="C50" s="29">
        <f>VLOOKUP(A50,'C Calculations'!$B$3:$D$81,3,FALSE)</f>
        <v>290965.62783391133</v>
      </c>
    </row>
    <row r="51" spans="1:3" x14ac:dyDescent="0.25">
      <c r="A51" s="129">
        <v>696</v>
      </c>
      <c r="B51" s="195">
        <f>VLOOKUP(A51,'C Calculations'!$B$3:$D$81,2,FALSE)</f>
        <v>16457.895221152849</v>
      </c>
      <c r="C51" s="29">
        <f>VLOOKUP(A51,'C Calculations'!$B$3:$D$81,3,FALSE)</f>
        <v>205117.64864949978</v>
      </c>
    </row>
    <row r="52" spans="1:3" x14ac:dyDescent="0.25">
      <c r="A52" s="129">
        <v>694</v>
      </c>
      <c r="B52" s="195">
        <f>VLOOKUP(A52,'C Calculations'!$B$3:$D$81,2,FALSE)</f>
        <v>14177.007254132883</v>
      </c>
      <c r="C52" s="29">
        <f>VLOOKUP(A52,'C Calculations'!$B$3:$D$81,3,FALSE)</f>
        <v>182407.96495054121</v>
      </c>
    </row>
    <row r="53" spans="1:3" x14ac:dyDescent="0.25">
      <c r="A53" s="129">
        <v>687</v>
      </c>
      <c r="B53" s="195">
        <f>VLOOKUP(A53,'C Calculations'!$B$3:$D$81,2,FALSE)</f>
        <v>16932.715573984431</v>
      </c>
      <c r="C53" s="29">
        <f>VLOOKUP(A53,'C Calculations'!$B$3:$D$81,3,FALSE)</f>
        <v>220555.99851161995</v>
      </c>
    </row>
    <row r="54" spans="1:3" x14ac:dyDescent="0.25">
      <c r="A54" s="129">
        <v>685</v>
      </c>
      <c r="B54" s="195">
        <f>VLOOKUP(A54,'C Calculations'!$B$3:$D$81,2,FALSE)</f>
        <v>11797.449976706726</v>
      </c>
      <c r="C54" s="29">
        <f>VLOOKUP(A54,'C Calculations'!$B$3:$D$81,3,FALSE)</f>
        <v>154874.92948597108</v>
      </c>
    </row>
    <row r="55" spans="1:3" x14ac:dyDescent="0.25">
      <c r="A55" s="129">
        <v>684</v>
      </c>
      <c r="B55" s="195">
        <f>VLOOKUP(A55,'C Calculations'!$B$3:$D$81,2,FALSE)</f>
        <v>19692.205159122121</v>
      </c>
      <c r="C55" s="29">
        <f>VLOOKUP(A55,'C Calculations'!$B$3:$D$81,3,FALSE)</f>
        <v>258581.82474158224</v>
      </c>
    </row>
    <row r="56" spans="1:3" x14ac:dyDescent="0.25">
      <c r="A56" s="129">
        <v>681</v>
      </c>
      <c r="B56" s="195">
        <f>VLOOKUP(A56,'C Calculations'!$B$3:$D$81,2,FALSE)</f>
        <v>21180.770043927929</v>
      </c>
      <c r="C56" s="29">
        <f>VLOOKUP(A56,'C Calculations'!$B$3:$D$81,3,FALSE)</f>
        <v>280827.60739730054</v>
      </c>
    </row>
    <row r="57" spans="1:3" x14ac:dyDescent="0.25">
      <c r="A57" s="129">
        <v>655</v>
      </c>
      <c r="B57" s="195">
        <f>VLOOKUP(A57,'C Calculations'!$B$3:$D$81,2,FALSE)</f>
        <v>12255.068004468194</v>
      </c>
      <c r="C57" s="29">
        <f>VLOOKUP(A57,'C Calculations'!$B$3:$D$81,3,FALSE)</f>
        <v>169467.96958440563</v>
      </c>
    </row>
    <row r="58" spans="1:3" x14ac:dyDescent="0.25">
      <c r="A58" s="129">
        <v>644</v>
      </c>
      <c r="B58" s="195">
        <f>VLOOKUP(A58,'C Calculations'!$B$3:$D$81,2,FALSE)</f>
        <v>21564.19479124447</v>
      </c>
      <c r="C58" s="29">
        <f>VLOOKUP(A58,'C Calculations'!$B$3:$D$81,3,FALSE)</f>
        <v>302153.04720251635</v>
      </c>
    </row>
    <row r="59" spans="1:3" x14ac:dyDescent="0.25">
      <c r="A59" s="129">
        <v>634</v>
      </c>
      <c r="B59" s="195">
        <f>VLOOKUP(A59,'C Calculations'!$B$3:$D$81,2,FALSE)</f>
        <v>23602.069430427313</v>
      </c>
      <c r="C59" s="29">
        <f>VLOOKUP(A59,'C Calculations'!$B$3:$D$81,3,FALSE)</f>
        <v>337191.04965187254</v>
      </c>
    </row>
    <row r="60" spans="1:3" x14ac:dyDescent="0.25">
      <c r="A60" s="129">
        <v>625</v>
      </c>
      <c r="B60" s="195">
        <f>VLOOKUP(A60,'C Calculations'!$B$3:$D$81,2,FALSE)</f>
        <v>19501.355184695924</v>
      </c>
      <c r="C60" s="29">
        <f>VLOOKUP(A60,'C Calculations'!$B$3:$D$81,3,FALSE)</f>
        <v>280780.21046122682</v>
      </c>
    </row>
    <row r="61" spans="1:3" x14ac:dyDescent="0.25">
      <c r="A61" s="129">
        <v>624</v>
      </c>
      <c r="B61" s="195">
        <f>VLOOKUP(A61,'C Calculations'!$B$3:$D$81,2,FALSE)</f>
        <v>0</v>
      </c>
      <c r="C61" s="29">
        <f>VLOOKUP(A61,'C Calculations'!$B$3:$D$81,3,FALSE)</f>
        <v>375017.99901433621</v>
      </c>
    </row>
    <row r="62" spans="1:3" x14ac:dyDescent="0.25">
      <c r="A62" s="129">
        <v>620</v>
      </c>
      <c r="B62" s="195">
        <f>VLOOKUP(A62,'C Calculations'!$B$3:$D$81,2,FALSE)</f>
        <v>14936.89065931709</v>
      </c>
      <c r="C62" s="29">
        <f>VLOOKUP(A62,'C Calculations'!$B$3:$D$81,3,FALSE)</f>
        <v>216134.17391909566</v>
      </c>
    </row>
    <row r="63" spans="1:3" x14ac:dyDescent="0.25">
      <c r="A63" s="129">
        <v>588</v>
      </c>
      <c r="B63" s="195">
        <f>VLOOKUP(A63,'C Calculations'!$B$3:$D$81,2,FALSE)</f>
        <v>0</v>
      </c>
      <c r="C63" s="29">
        <f>VLOOKUP(A63,'C Calculations'!$B$3:$D$81,3,FALSE)</f>
        <v>416102.78044405265</v>
      </c>
    </row>
    <row r="64" spans="1:3" x14ac:dyDescent="0.25">
      <c r="A64" s="129">
        <v>584</v>
      </c>
      <c r="B64" s="195">
        <f>VLOOKUP(A64,'C Calculations'!$B$3:$D$81,2,FALSE)</f>
        <v>0</v>
      </c>
      <c r="C64" s="29">
        <f>VLOOKUP(A64,'C Calculations'!$B$3:$D$81,3,FALSE)</f>
        <v>423261.35399743047</v>
      </c>
    </row>
    <row r="65" spans="1:3" x14ac:dyDescent="0.25">
      <c r="A65" s="129">
        <v>580</v>
      </c>
      <c r="B65" s="195">
        <f>VLOOKUP(A65,'C Calculations'!$B$3:$D$81,2,FALSE)</f>
        <v>28601.619214961509</v>
      </c>
      <c r="C65" s="29">
        <f>VLOOKUP(A65,'C Calculations'!$B$3:$D$81,3,FALSE)</f>
        <v>424850.53995093651</v>
      </c>
    </row>
    <row r="66" spans="1:3" x14ac:dyDescent="0.25">
      <c r="A66" s="129">
        <v>579</v>
      </c>
      <c r="B66" s="195">
        <f>VLOOKUP(A66,'C Calculations'!$B$3:$D$81,2,FALSE)</f>
        <v>21738.388410150124</v>
      </c>
      <c r="C66" s="29">
        <f>VLOOKUP(A66,'C Calculations'!$B$3:$D$81,3,FALSE)</f>
        <v>322990.05568198592</v>
      </c>
    </row>
    <row r="67" spans="1:3" x14ac:dyDescent="0.25">
      <c r="A67" s="129">
        <v>576</v>
      </c>
      <c r="B67" s="195">
        <f>VLOOKUP(A67,'C Calculations'!$B$3:$D$81,2,FALSE)</f>
        <v>25547.278141507886</v>
      </c>
      <c r="C67" s="29">
        <f>VLOOKUP(A67,'C Calculations'!$B$3:$D$81,3,FALSE)</f>
        <v>379682.4139186237</v>
      </c>
    </row>
    <row r="68" spans="1:3" x14ac:dyDescent="0.25">
      <c r="A68" s="129">
        <v>564</v>
      </c>
      <c r="B68" s="195">
        <f>VLOOKUP(A68,'C Calculations'!$B$3:$D$81,2,FALSE)</f>
        <v>24138.69505217157</v>
      </c>
      <c r="C68" s="29">
        <f>VLOOKUP(A68,'C Calculations'!$B$3:$D$81,3,FALSE)</f>
        <v>360778.0743585201</v>
      </c>
    </row>
    <row r="69" spans="1:3" x14ac:dyDescent="0.25">
      <c r="A69" s="129">
        <v>561</v>
      </c>
      <c r="B69" s="195">
        <f>VLOOKUP(A69,'C Calculations'!$B$3:$D$81,2,FALSE)</f>
        <v>9972.4450752897446</v>
      </c>
      <c r="C69" s="29">
        <f>VLOOKUP(A69,'C Calculations'!$B$3:$D$81,3,FALSE)</f>
        <v>449010.92602989986</v>
      </c>
    </row>
    <row r="70" spans="1:3" x14ac:dyDescent="0.25">
      <c r="A70" s="129">
        <v>553</v>
      </c>
      <c r="B70" s="195">
        <f>VLOOKUP(A70,'C Calculations'!$B$3:$D$81,2,FALSE)</f>
        <v>20170.801603644341</v>
      </c>
      <c r="C70" s="29">
        <f>VLOOKUP(A70,'C Calculations'!$B$3:$D$81,3,FALSE)</f>
        <v>303971.63684001332</v>
      </c>
    </row>
    <row r="71" spans="1:3" x14ac:dyDescent="0.25">
      <c r="A71" s="129">
        <v>547</v>
      </c>
      <c r="B71" s="195">
        <f>VLOOKUP(A71,'C Calculations'!$B$3:$D$81,2,FALSE)</f>
        <v>20391.117792796133</v>
      </c>
      <c r="C71" s="29">
        <f>VLOOKUP(A71,'C Calculations'!$B$3:$D$81,3,FALSE)</f>
        <v>310116.24305980827</v>
      </c>
    </row>
    <row r="72" spans="1:3" x14ac:dyDescent="0.25">
      <c r="A72" s="129">
        <v>524</v>
      </c>
      <c r="B72" s="195">
        <f>VLOOKUP(A72,'C Calculations'!$B$3:$D$81,2,FALSE)</f>
        <v>0</v>
      </c>
      <c r="C72" s="29">
        <f>VLOOKUP(A72,'C Calculations'!$B$3:$D$81,3,FALSE)</f>
        <v>440190.30573653174</v>
      </c>
    </row>
    <row r="73" spans="1:3" x14ac:dyDescent="0.25">
      <c r="A73" s="129">
        <v>514</v>
      </c>
      <c r="B73" s="195">
        <f>VLOOKUP(A73,'C Calculations'!$B$3:$D$81,2,FALSE)</f>
        <v>29389.690308575038</v>
      </c>
      <c r="C73" s="29">
        <f>VLOOKUP(A73,'C Calculations'!$B$3:$D$81,3,FALSE)</f>
        <v>457353.73992478277</v>
      </c>
    </row>
    <row r="74" spans="1:3" x14ac:dyDescent="0.25">
      <c r="A74" s="129">
        <v>498</v>
      </c>
      <c r="B74" s="195">
        <f>VLOOKUP(A74,'C Calculations'!$B$3:$D$81,2,FALSE)</f>
        <v>29356.824095597542</v>
      </c>
      <c r="C74" s="29">
        <f>VLOOKUP(A74,'C Calculations'!$B$3:$D$81,3,FALSE)</f>
        <v>460626.47066658386</v>
      </c>
    </row>
    <row r="75" spans="1:3" x14ac:dyDescent="0.25">
      <c r="A75" s="129">
        <v>482</v>
      </c>
      <c r="B75" s="195">
        <f>VLOOKUP(A75,'C Calculations'!$B$3:$D$81,2,FALSE)</f>
        <v>5337.628044819704</v>
      </c>
      <c r="C75" s="29">
        <f>VLOOKUP(A75,'C Calculations'!$B$3:$D$81,3,FALSE)</f>
        <v>505451.25341559242</v>
      </c>
    </row>
    <row r="76" spans="1:3" x14ac:dyDescent="0.25">
      <c r="A76" s="129">
        <v>481</v>
      </c>
      <c r="B76" s="195">
        <f>VLOOKUP(A76,'C Calculations'!$B$3:$D$81,2,FALSE)</f>
        <v>0</v>
      </c>
      <c r="C76" s="29">
        <f>VLOOKUP(A76,'C Calculations'!$B$3:$D$81,3,FALSE)</f>
        <v>477117.80959700234</v>
      </c>
    </row>
    <row r="77" spans="1:3" x14ac:dyDescent="0.25">
      <c r="A77" s="129">
        <v>474</v>
      </c>
      <c r="B77" s="195">
        <f>VLOOKUP(A77,'C Calculations'!$B$3:$D$81,2,FALSE)</f>
        <v>29796.390465149179</v>
      </c>
      <c r="C77" s="29">
        <f>VLOOKUP(A77,'C Calculations'!$B$3:$D$81,3,FALSE)</f>
        <v>473124.36845096736</v>
      </c>
    </row>
    <row r="78" spans="1:3" x14ac:dyDescent="0.25">
      <c r="A78" s="129">
        <v>452</v>
      </c>
      <c r="B78" s="195">
        <f>VLOOKUP(A78,'C Calculations'!$B$3:$D$81,2,FALSE)</f>
        <v>0</v>
      </c>
      <c r="C78" s="29">
        <f>VLOOKUP(A78,'C Calculations'!$B$3:$D$81,3,FALSE)</f>
        <v>502202.97208838229</v>
      </c>
    </row>
    <row r="79" spans="1:3" x14ac:dyDescent="0.25">
      <c r="A79" s="129">
        <v>391</v>
      </c>
      <c r="B79" s="195">
        <f>VLOOKUP(A79,'C Calculations'!$B$3:$D$81,2,FALSE)</f>
        <v>11262.443355740113</v>
      </c>
      <c r="C79" s="29">
        <f>VLOOKUP(A79,'C Calculations'!$B$3:$D$81,3,FALSE)</f>
        <v>556394.25479818159</v>
      </c>
    </row>
    <row r="80" spans="1:3" x14ac:dyDescent="0.25">
      <c r="A80" s="129">
        <v>386</v>
      </c>
      <c r="B80" s="195">
        <f>VLOOKUP(A80,'C Calculations'!$B$3:$D$81,2,FALSE)</f>
        <v>0</v>
      </c>
      <c r="C80" s="29">
        <f>VLOOKUP(A80,'C Calculations'!$B$3:$D$81,3,FALSE)</f>
        <v>526248.799869576</v>
      </c>
    </row>
    <row r="81" spans="1:3" x14ac:dyDescent="0.25">
      <c r="A81" s="129">
        <v>360</v>
      </c>
      <c r="B81" s="195">
        <f>VLOOKUP(A81,'C Calculations'!$B$3:$D$81,2,FALSE)</f>
        <v>0</v>
      </c>
      <c r="C81" s="29">
        <f>VLOOKUP(A81,'C Calculations'!$B$3:$D$81,3,FALSE)</f>
        <v>528029.44011974358</v>
      </c>
    </row>
    <row r="82" spans="1:3" ht="13.8" thickBot="1" x14ac:dyDescent="0.3">
      <c r="A82" s="130">
        <v>316</v>
      </c>
      <c r="B82" s="196">
        <f>VLOOKUP(A82,'C Calculations'!$B$3:$D$81,2,FALSE)</f>
        <v>0</v>
      </c>
      <c r="C82" s="30">
        <f>VLOOKUP(A82,'C Calculations'!$B$3:$D$81,3,FALSE)</f>
        <v>581999.90550664777</v>
      </c>
    </row>
  </sheetData>
  <mergeCells count="4">
    <mergeCell ref="A2:A3"/>
    <mergeCell ref="B2:B3"/>
    <mergeCell ref="C2:C3"/>
    <mergeCell ref="F7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C668-6A5E-45C3-B38B-12741347EE94}">
  <dimension ref="A1:O201"/>
  <sheetViews>
    <sheetView showGridLines="0" tabSelected="1" zoomScale="90" zoomScaleNormal="90" workbookViewId="0">
      <selection activeCell="B30" sqref="B30"/>
    </sheetView>
  </sheetViews>
  <sheetFormatPr defaultRowHeight="13.2" x14ac:dyDescent="0.25"/>
  <cols>
    <col min="1" max="1" width="35.109375" style="209" customWidth="1"/>
    <col min="2" max="2" width="12.77734375" style="209" customWidth="1"/>
    <col min="3" max="4" width="15.77734375" style="209" customWidth="1"/>
    <col min="5" max="5" width="24.21875" style="209" bestFit="1" customWidth="1"/>
    <col min="6" max="6" width="18.33203125" style="209" bestFit="1" customWidth="1"/>
    <col min="7" max="7" width="11.44140625" style="209" bestFit="1" customWidth="1"/>
    <col min="8" max="8" width="10.33203125" style="209" customWidth="1"/>
    <col min="9" max="9" width="14.6640625" style="209" bestFit="1" customWidth="1"/>
    <col min="10" max="10" width="25.21875" style="209" bestFit="1" customWidth="1"/>
    <col min="11" max="11" width="24.44140625" style="19" bestFit="1" customWidth="1"/>
    <col min="12" max="12" width="8.88671875" style="209"/>
    <col min="13" max="13" width="16.44140625" style="209" customWidth="1"/>
    <col min="14" max="14" width="19.21875" style="232" customWidth="1"/>
    <col min="15" max="15" width="20.33203125" style="19" customWidth="1"/>
    <col min="16" max="256" width="8.88671875" style="209"/>
    <col min="257" max="257" width="35.109375" style="209" customWidth="1"/>
    <col min="258" max="258" width="12.77734375" style="209" customWidth="1"/>
    <col min="259" max="260" width="15.77734375" style="209" customWidth="1"/>
    <col min="261" max="261" width="24.21875" style="209" bestFit="1" customWidth="1"/>
    <col min="262" max="262" width="18.33203125" style="209" bestFit="1" customWidth="1"/>
    <col min="263" max="263" width="11.44140625" style="209" bestFit="1" customWidth="1"/>
    <col min="264" max="264" width="10.33203125" style="209" customWidth="1"/>
    <col min="265" max="265" width="14.6640625" style="209" bestFit="1" customWidth="1"/>
    <col min="266" max="266" width="25.21875" style="209" bestFit="1" customWidth="1"/>
    <col min="267" max="267" width="24.44140625" style="209" bestFit="1" customWidth="1"/>
    <col min="268" max="268" width="8.88671875" style="209"/>
    <col min="269" max="269" width="16.44140625" style="209" customWidth="1"/>
    <col min="270" max="270" width="19.21875" style="209" customWidth="1"/>
    <col min="271" max="271" width="20.33203125" style="209" customWidth="1"/>
    <col min="272" max="512" width="8.88671875" style="209"/>
    <col min="513" max="513" width="35.109375" style="209" customWidth="1"/>
    <col min="514" max="514" width="12.77734375" style="209" customWidth="1"/>
    <col min="515" max="516" width="15.77734375" style="209" customWidth="1"/>
    <col min="517" max="517" width="24.21875" style="209" bestFit="1" customWidth="1"/>
    <col min="518" max="518" width="18.33203125" style="209" bestFit="1" customWidth="1"/>
    <col min="519" max="519" width="11.44140625" style="209" bestFit="1" customWidth="1"/>
    <col min="520" max="520" width="10.33203125" style="209" customWidth="1"/>
    <col min="521" max="521" width="14.6640625" style="209" bestFit="1" customWidth="1"/>
    <col min="522" max="522" width="25.21875" style="209" bestFit="1" customWidth="1"/>
    <col min="523" max="523" width="24.44140625" style="209" bestFit="1" customWidth="1"/>
    <col min="524" max="524" width="8.88671875" style="209"/>
    <col min="525" max="525" width="16.44140625" style="209" customWidth="1"/>
    <col min="526" max="526" width="19.21875" style="209" customWidth="1"/>
    <col min="527" max="527" width="20.33203125" style="209" customWidth="1"/>
    <col min="528" max="768" width="8.88671875" style="209"/>
    <col min="769" max="769" width="35.109375" style="209" customWidth="1"/>
    <col min="770" max="770" width="12.77734375" style="209" customWidth="1"/>
    <col min="771" max="772" width="15.77734375" style="209" customWidth="1"/>
    <col min="773" max="773" width="24.21875" style="209" bestFit="1" customWidth="1"/>
    <col min="774" max="774" width="18.33203125" style="209" bestFit="1" customWidth="1"/>
    <col min="775" max="775" width="11.44140625" style="209" bestFit="1" customWidth="1"/>
    <col min="776" max="776" width="10.33203125" style="209" customWidth="1"/>
    <col min="777" max="777" width="14.6640625" style="209" bestFit="1" customWidth="1"/>
    <col min="778" max="778" width="25.21875" style="209" bestFit="1" customWidth="1"/>
    <col min="779" max="779" width="24.44140625" style="209" bestFit="1" customWidth="1"/>
    <col min="780" max="780" width="8.88671875" style="209"/>
    <col min="781" max="781" width="16.44140625" style="209" customWidth="1"/>
    <col min="782" max="782" width="19.21875" style="209" customWidth="1"/>
    <col min="783" max="783" width="20.33203125" style="209" customWidth="1"/>
    <col min="784" max="1024" width="8.88671875" style="209"/>
    <col min="1025" max="1025" width="35.109375" style="209" customWidth="1"/>
    <col min="1026" max="1026" width="12.77734375" style="209" customWidth="1"/>
    <col min="1027" max="1028" width="15.77734375" style="209" customWidth="1"/>
    <col min="1029" max="1029" width="24.21875" style="209" bestFit="1" customWidth="1"/>
    <col min="1030" max="1030" width="18.33203125" style="209" bestFit="1" customWidth="1"/>
    <col min="1031" max="1031" width="11.44140625" style="209" bestFit="1" customWidth="1"/>
    <col min="1032" max="1032" width="10.33203125" style="209" customWidth="1"/>
    <col min="1033" max="1033" width="14.6640625" style="209" bestFit="1" customWidth="1"/>
    <col min="1034" max="1034" width="25.21875" style="209" bestFit="1" customWidth="1"/>
    <col min="1035" max="1035" width="24.44140625" style="209" bestFit="1" customWidth="1"/>
    <col min="1036" max="1036" width="8.88671875" style="209"/>
    <col min="1037" max="1037" width="16.44140625" style="209" customWidth="1"/>
    <col min="1038" max="1038" width="19.21875" style="209" customWidth="1"/>
    <col min="1039" max="1039" width="20.33203125" style="209" customWidth="1"/>
    <col min="1040" max="1280" width="8.88671875" style="209"/>
    <col min="1281" max="1281" width="35.109375" style="209" customWidth="1"/>
    <col min="1282" max="1282" width="12.77734375" style="209" customWidth="1"/>
    <col min="1283" max="1284" width="15.77734375" style="209" customWidth="1"/>
    <col min="1285" max="1285" width="24.21875" style="209" bestFit="1" customWidth="1"/>
    <col min="1286" max="1286" width="18.33203125" style="209" bestFit="1" customWidth="1"/>
    <col min="1287" max="1287" width="11.44140625" style="209" bestFit="1" customWidth="1"/>
    <col min="1288" max="1288" width="10.33203125" style="209" customWidth="1"/>
    <col min="1289" max="1289" width="14.6640625" style="209" bestFit="1" customWidth="1"/>
    <col min="1290" max="1290" width="25.21875" style="209" bestFit="1" customWidth="1"/>
    <col min="1291" max="1291" width="24.44140625" style="209" bestFit="1" customWidth="1"/>
    <col min="1292" max="1292" width="8.88671875" style="209"/>
    <col min="1293" max="1293" width="16.44140625" style="209" customWidth="1"/>
    <col min="1294" max="1294" width="19.21875" style="209" customWidth="1"/>
    <col min="1295" max="1295" width="20.33203125" style="209" customWidth="1"/>
    <col min="1296" max="1536" width="8.88671875" style="209"/>
    <col min="1537" max="1537" width="35.109375" style="209" customWidth="1"/>
    <col min="1538" max="1538" width="12.77734375" style="209" customWidth="1"/>
    <col min="1539" max="1540" width="15.77734375" style="209" customWidth="1"/>
    <col min="1541" max="1541" width="24.21875" style="209" bestFit="1" customWidth="1"/>
    <col min="1542" max="1542" width="18.33203125" style="209" bestFit="1" customWidth="1"/>
    <col min="1543" max="1543" width="11.44140625" style="209" bestFit="1" customWidth="1"/>
    <col min="1544" max="1544" width="10.33203125" style="209" customWidth="1"/>
    <col min="1545" max="1545" width="14.6640625" style="209" bestFit="1" customWidth="1"/>
    <col min="1546" max="1546" width="25.21875" style="209" bestFit="1" customWidth="1"/>
    <col min="1547" max="1547" width="24.44140625" style="209" bestFit="1" customWidth="1"/>
    <col min="1548" max="1548" width="8.88671875" style="209"/>
    <col min="1549" max="1549" width="16.44140625" style="209" customWidth="1"/>
    <col min="1550" max="1550" width="19.21875" style="209" customWidth="1"/>
    <col min="1551" max="1551" width="20.33203125" style="209" customWidth="1"/>
    <col min="1552" max="1792" width="8.88671875" style="209"/>
    <col min="1793" max="1793" width="35.109375" style="209" customWidth="1"/>
    <col min="1794" max="1794" width="12.77734375" style="209" customWidth="1"/>
    <col min="1795" max="1796" width="15.77734375" style="209" customWidth="1"/>
    <col min="1797" max="1797" width="24.21875" style="209" bestFit="1" customWidth="1"/>
    <col min="1798" max="1798" width="18.33203125" style="209" bestFit="1" customWidth="1"/>
    <col min="1799" max="1799" width="11.44140625" style="209" bestFit="1" customWidth="1"/>
    <col min="1800" max="1800" width="10.33203125" style="209" customWidth="1"/>
    <col min="1801" max="1801" width="14.6640625" style="209" bestFit="1" customWidth="1"/>
    <col min="1802" max="1802" width="25.21875" style="209" bestFit="1" customWidth="1"/>
    <col min="1803" max="1803" width="24.44140625" style="209" bestFit="1" customWidth="1"/>
    <col min="1804" max="1804" width="8.88671875" style="209"/>
    <col min="1805" max="1805" width="16.44140625" style="209" customWidth="1"/>
    <col min="1806" max="1806" width="19.21875" style="209" customWidth="1"/>
    <col min="1807" max="1807" width="20.33203125" style="209" customWidth="1"/>
    <col min="1808" max="2048" width="8.88671875" style="209"/>
    <col min="2049" max="2049" width="35.109375" style="209" customWidth="1"/>
    <col min="2050" max="2050" width="12.77734375" style="209" customWidth="1"/>
    <col min="2051" max="2052" width="15.77734375" style="209" customWidth="1"/>
    <col min="2053" max="2053" width="24.21875" style="209" bestFit="1" customWidth="1"/>
    <col min="2054" max="2054" width="18.33203125" style="209" bestFit="1" customWidth="1"/>
    <col min="2055" max="2055" width="11.44140625" style="209" bestFit="1" customWidth="1"/>
    <col min="2056" max="2056" width="10.33203125" style="209" customWidth="1"/>
    <col min="2057" max="2057" width="14.6640625" style="209" bestFit="1" customWidth="1"/>
    <col min="2058" max="2058" width="25.21875" style="209" bestFit="1" customWidth="1"/>
    <col min="2059" max="2059" width="24.44140625" style="209" bestFit="1" customWidth="1"/>
    <col min="2060" max="2060" width="8.88671875" style="209"/>
    <col min="2061" max="2061" width="16.44140625" style="209" customWidth="1"/>
    <col min="2062" max="2062" width="19.21875" style="209" customWidth="1"/>
    <col min="2063" max="2063" width="20.33203125" style="209" customWidth="1"/>
    <col min="2064" max="2304" width="8.88671875" style="209"/>
    <col min="2305" max="2305" width="35.109375" style="209" customWidth="1"/>
    <col min="2306" max="2306" width="12.77734375" style="209" customWidth="1"/>
    <col min="2307" max="2308" width="15.77734375" style="209" customWidth="1"/>
    <col min="2309" max="2309" width="24.21875" style="209" bestFit="1" customWidth="1"/>
    <col min="2310" max="2310" width="18.33203125" style="209" bestFit="1" customWidth="1"/>
    <col min="2311" max="2311" width="11.44140625" style="209" bestFit="1" customWidth="1"/>
    <col min="2312" max="2312" width="10.33203125" style="209" customWidth="1"/>
    <col min="2313" max="2313" width="14.6640625" style="209" bestFit="1" customWidth="1"/>
    <col min="2314" max="2314" width="25.21875" style="209" bestFit="1" customWidth="1"/>
    <col min="2315" max="2315" width="24.44140625" style="209" bestFit="1" customWidth="1"/>
    <col min="2316" max="2316" width="8.88671875" style="209"/>
    <col min="2317" max="2317" width="16.44140625" style="209" customWidth="1"/>
    <col min="2318" max="2318" width="19.21875" style="209" customWidth="1"/>
    <col min="2319" max="2319" width="20.33203125" style="209" customWidth="1"/>
    <col min="2320" max="2560" width="8.88671875" style="209"/>
    <col min="2561" max="2561" width="35.109375" style="209" customWidth="1"/>
    <col min="2562" max="2562" width="12.77734375" style="209" customWidth="1"/>
    <col min="2563" max="2564" width="15.77734375" style="209" customWidth="1"/>
    <col min="2565" max="2565" width="24.21875" style="209" bestFit="1" customWidth="1"/>
    <col min="2566" max="2566" width="18.33203125" style="209" bestFit="1" customWidth="1"/>
    <col min="2567" max="2567" width="11.44140625" style="209" bestFit="1" customWidth="1"/>
    <col min="2568" max="2568" width="10.33203125" style="209" customWidth="1"/>
    <col min="2569" max="2569" width="14.6640625" style="209" bestFit="1" customWidth="1"/>
    <col min="2570" max="2570" width="25.21875" style="209" bestFit="1" customWidth="1"/>
    <col min="2571" max="2571" width="24.44140625" style="209" bestFit="1" customWidth="1"/>
    <col min="2572" max="2572" width="8.88671875" style="209"/>
    <col min="2573" max="2573" width="16.44140625" style="209" customWidth="1"/>
    <col min="2574" max="2574" width="19.21875" style="209" customWidth="1"/>
    <col min="2575" max="2575" width="20.33203125" style="209" customWidth="1"/>
    <col min="2576" max="2816" width="8.88671875" style="209"/>
    <col min="2817" max="2817" width="35.109375" style="209" customWidth="1"/>
    <col min="2818" max="2818" width="12.77734375" style="209" customWidth="1"/>
    <col min="2819" max="2820" width="15.77734375" style="209" customWidth="1"/>
    <col min="2821" max="2821" width="24.21875" style="209" bestFit="1" customWidth="1"/>
    <col min="2822" max="2822" width="18.33203125" style="209" bestFit="1" customWidth="1"/>
    <col min="2823" max="2823" width="11.44140625" style="209" bestFit="1" customWidth="1"/>
    <col min="2824" max="2824" width="10.33203125" style="209" customWidth="1"/>
    <col min="2825" max="2825" width="14.6640625" style="209" bestFit="1" customWidth="1"/>
    <col min="2826" max="2826" width="25.21875" style="209" bestFit="1" customWidth="1"/>
    <col min="2827" max="2827" width="24.44140625" style="209" bestFit="1" customWidth="1"/>
    <col min="2828" max="2828" width="8.88671875" style="209"/>
    <col min="2829" max="2829" width="16.44140625" style="209" customWidth="1"/>
    <col min="2830" max="2830" width="19.21875" style="209" customWidth="1"/>
    <col min="2831" max="2831" width="20.33203125" style="209" customWidth="1"/>
    <col min="2832" max="3072" width="8.88671875" style="209"/>
    <col min="3073" max="3073" width="35.109375" style="209" customWidth="1"/>
    <col min="3074" max="3074" width="12.77734375" style="209" customWidth="1"/>
    <col min="3075" max="3076" width="15.77734375" style="209" customWidth="1"/>
    <col min="3077" max="3077" width="24.21875" style="209" bestFit="1" customWidth="1"/>
    <col min="3078" max="3078" width="18.33203125" style="209" bestFit="1" customWidth="1"/>
    <col min="3079" max="3079" width="11.44140625" style="209" bestFit="1" customWidth="1"/>
    <col min="3080" max="3080" width="10.33203125" style="209" customWidth="1"/>
    <col min="3081" max="3081" width="14.6640625" style="209" bestFit="1" customWidth="1"/>
    <col min="3082" max="3082" width="25.21875" style="209" bestFit="1" customWidth="1"/>
    <col min="3083" max="3083" width="24.44140625" style="209" bestFit="1" customWidth="1"/>
    <col min="3084" max="3084" width="8.88671875" style="209"/>
    <col min="3085" max="3085" width="16.44140625" style="209" customWidth="1"/>
    <col min="3086" max="3086" width="19.21875" style="209" customWidth="1"/>
    <col min="3087" max="3087" width="20.33203125" style="209" customWidth="1"/>
    <col min="3088" max="3328" width="8.88671875" style="209"/>
    <col min="3329" max="3329" width="35.109375" style="209" customWidth="1"/>
    <col min="3330" max="3330" width="12.77734375" style="209" customWidth="1"/>
    <col min="3331" max="3332" width="15.77734375" style="209" customWidth="1"/>
    <col min="3333" max="3333" width="24.21875" style="209" bestFit="1" customWidth="1"/>
    <col min="3334" max="3334" width="18.33203125" style="209" bestFit="1" customWidth="1"/>
    <col min="3335" max="3335" width="11.44140625" style="209" bestFit="1" customWidth="1"/>
    <col min="3336" max="3336" width="10.33203125" style="209" customWidth="1"/>
    <col min="3337" max="3337" width="14.6640625" style="209" bestFit="1" customWidth="1"/>
    <col min="3338" max="3338" width="25.21875" style="209" bestFit="1" customWidth="1"/>
    <col min="3339" max="3339" width="24.44140625" style="209" bestFit="1" customWidth="1"/>
    <col min="3340" max="3340" width="8.88671875" style="209"/>
    <col min="3341" max="3341" width="16.44140625" style="209" customWidth="1"/>
    <col min="3342" max="3342" width="19.21875" style="209" customWidth="1"/>
    <col min="3343" max="3343" width="20.33203125" style="209" customWidth="1"/>
    <col min="3344" max="3584" width="8.88671875" style="209"/>
    <col min="3585" max="3585" width="35.109375" style="209" customWidth="1"/>
    <col min="3586" max="3586" width="12.77734375" style="209" customWidth="1"/>
    <col min="3587" max="3588" width="15.77734375" style="209" customWidth="1"/>
    <col min="3589" max="3589" width="24.21875" style="209" bestFit="1" customWidth="1"/>
    <col min="3590" max="3590" width="18.33203125" style="209" bestFit="1" customWidth="1"/>
    <col min="3591" max="3591" width="11.44140625" style="209" bestFit="1" customWidth="1"/>
    <col min="3592" max="3592" width="10.33203125" style="209" customWidth="1"/>
    <col min="3593" max="3593" width="14.6640625" style="209" bestFit="1" customWidth="1"/>
    <col min="3594" max="3594" width="25.21875" style="209" bestFit="1" customWidth="1"/>
    <col min="3595" max="3595" width="24.44140625" style="209" bestFit="1" customWidth="1"/>
    <col min="3596" max="3596" width="8.88671875" style="209"/>
    <col min="3597" max="3597" width="16.44140625" style="209" customWidth="1"/>
    <col min="3598" max="3598" width="19.21875" style="209" customWidth="1"/>
    <col min="3599" max="3599" width="20.33203125" style="209" customWidth="1"/>
    <col min="3600" max="3840" width="8.88671875" style="209"/>
    <col min="3841" max="3841" width="35.109375" style="209" customWidth="1"/>
    <col min="3842" max="3842" width="12.77734375" style="209" customWidth="1"/>
    <col min="3843" max="3844" width="15.77734375" style="209" customWidth="1"/>
    <col min="3845" max="3845" width="24.21875" style="209" bestFit="1" customWidth="1"/>
    <col min="3846" max="3846" width="18.33203125" style="209" bestFit="1" customWidth="1"/>
    <col min="3847" max="3847" width="11.44140625" style="209" bestFit="1" customWidth="1"/>
    <col min="3848" max="3848" width="10.33203125" style="209" customWidth="1"/>
    <col min="3849" max="3849" width="14.6640625" style="209" bestFit="1" customWidth="1"/>
    <col min="3850" max="3850" width="25.21875" style="209" bestFit="1" customWidth="1"/>
    <col min="3851" max="3851" width="24.44140625" style="209" bestFit="1" customWidth="1"/>
    <col min="3852" max="3852" width="8.88671875" style="209"/>
    <col min="3853" max="3853" width="16.44140625" style="209" customWidth="1"/>
    <col min="3854" max="3854" width="19.21875" style="209" customWidth="1"/>
    <col min="3855" max="3855" width="20.33203125" style="209" customWidth="1"/>
    <col min="3856" max="4096" width="8.88671875" style="209"/>
    <col min="4097" max="4097" width="35.109375" style="209" customWidth="1"/>
    <col min="4098" max="4098" width="12.77734375" style="209" customWidth="1"/>
    <col min="4099" max="4100" width="15.77734375" style="209" customWidth="1"/>
    <col min="4101" max="4101" width="24.21875" style="209" bestFit="1" customWidth="1"/>
    <col min="4102" max="4102" width="18.33203125" style="209" bestFit="1" customWidth="1"/>
    <col min="4103" max="4103" width="11.44140625" style="209" bestFit="1" customWidth="1"/>
    <col min="4104" max="4104" width="10.33203125" style="209" customWidth="1"/>
    <col min="4105" max="4105" width="14.6640625" style="209" bestFit="1" customWidth="1"/>
    <col min="4106" max="4106" width="25.21875" style="209" bestFit="1" customWidth="1"/>
    <col min="4107" max="4107" width="24.44140625" style="209" bestFit="1" customWidth="1"/>
    <col min="4108" max="4108" width="8.88671875" style="209"/>
    <col min="4109" max="4109" width="16.44140625" style="209" customWidth="1"/>
    <col min="4110" max="4110" width="19.21875" style="209" customWidth="1"/>
    <col min="4111" max="4111" width="20.33203125" style="209" customWidth="1"/>
    <col min="4112" max="4352" width="8.88671875" style="209"/>
    <col min="4353" max="4353" width="35.109375" style="209" customWidth="1"/>
    <col min="4354" max="4354" width="12.77734375" style="209" customWidth="1"/>
    <col min="4355" max="4356" width="15.77734375" style="209" customWidth="1"/>
    <col min="4357" max="4357" width="24.21875" style="209" bestFit="1" customWidth="1"/>
    <col min="4358" max="4358" width="18.33203125" style="209" bestFit="1" customWidth="1"/>
    <col min="4359" max="4359" width="11.44140625" style="209" bestFit="1" customWidth="1"/>
    <col min="4360" max="4360" width="10.33203125" style="209" customWidth="1"/>
    <col min="4361" max="4361" width="14.6640625" style="209" bestFit="1" customWidth="1"/>
    <col min="4362" max="4362" width="25.21875" style="209" bestFit="1" customWidth="1"/>
    <col min="4363" max="4363" width="24.44140625" style="209" bestFit="1" customWidth="1"/>
    <col min="4364" max="4364" width="8.88671875" style="209"/>
    <col min="4365" max="4365" width="16.44140625" style="209" customWidth="1"/>
    <col min="4366" max="4366" width="19.21875" style="209" customWidth="1"/>
    <col min="4367" max="4367" width="20.33203125" style="209" customWidth="1"/>
    <col min="4368" max="4608" width="8.88671875" style="209"/>
    <col min="4609" max="4609" width="35.109375" style="209" customWidth="1"/>
    <col min="4610" max="4610" width="12.77734375" style="209" customWidth="1"/>
    <col min="4611" max="4612" width="15.77734375" style="209" customWidth="1"/>
    <col min="4613" max="4613" width="24.21875" style="209" bestFit="1" customWidth="1"/>
    <col min="4614" max="4614" width="18.33203125" style="209" bestFit="1" customWidth="1"/>
    <col min="4615" max="4615" width="11.44140625" style="209" bestFit="1" customWidth="1"/>
    <col min="4616" max="4616" width="10.33203125" style="209" customWidth="1"/>
    <col min="4617" max="4617" width="14.6640625" style="209" bestFit="1" customWidth="1"/>
    <col min="4618" max="4618" width="25.21875" style="209" bestFit="1" customWidth="1"/>
    <col min="4619" max="4619" width="24.44140625" style="209" bestFit="1" customWidth="1"/>
    <col min="4620" max="4620" width="8.88671875" style="209"/>
    <col min="4621" max="4621" width="16.44140625" style="209" customWidth="1"/>
    <col min="4622" max="4622" width="19.21875" style="209" customWidth="1"/>
    <col min="4623" max="4623" width="20.33203125" style="209" customWidth="1"/>
    <col min="4624" max="4864" width="8.88671875" style="209"/>
    <col min="4865" max="4865" width="35.109375" style="209" customWidth="1"/>
    <col min="4866" max="4866" width="12.77734375" style="209" customWidth="1"/>
    <col min="4867" max="4868" width="15.77734375" style="209" customWidth="1"/>
    <col min="4869" max="4869" width="24.21875" style="209" bestFit="1" customWidth="1"/>
    <col min="4870" max="4870" width="18.33203125" style="209" bestFit="1" customWidth="1"/>
    <col min="4871" max="4871" width="11.44140625" style="209" bestFit="1" customWidth="1"/>
    <col min="4872" max="4872" width="10.33203125" style="209" customWidth="1"/>
    <col min="4873" max="4873" width="14.6640625" style="209" bestFit="1" customWidth="1"/>
    <col min="4874" max="4874" width="25.21875" style="209" bestFit="1" customWidth="1"/>
    <col min="4875" max="4875" width="24.44140625" style="209" bestFit="1" customWidth="1"/>
    <col min="4876" max="4876" width="8.88671875" style="209"/>
    <col min="4877" max="4877" width="16.44140625" style="209" customWidth="1"/>
    <col min="4878" max="4878" width="19.21875" style="209" customWidth="1"/>
    <col min="4879" max="4879" width="20.33203125" style="209" customWidth="1"/>
    <col min="4880" max="5120" width="8.88671875" style="209"/>
    <col min="5121" max="5121" width="35.109375" style="209" customWidth="1"/>
    <col min="5122" max="5122" width="12.77734375" style="209" customWidth="1"/>
    <col min="5123" max="5124" width="15.77734375" style="209" customWidth="1"/>
    <col min="5125" max="5125" width="24.21875" style="209" bestFit="1" customWidth="1"/>
    <col min="5126" max="5126" width="18.33203125" style="209" bestFit="1" customWidth="1"/>
    <col min="5127" max="5127" width="11.44140625" style="209" bestFit="1" customWidth="1"/>
    <col min="5128" max="5128" width="10.33203125" style="209" customWidth="1"/>
    <col min="5129" max="5129" width="14.6640625" style="209" bestFit="1" customWidth="1"/>
    <col min="5130" max="5130" width="25.21875" style="209" bestFit="1" customWidth="1"/>
    <col min="5131" max="5131" width="24.44140625" style="209" bestFit="1" customWidth="1"/>
    <col min="5132" max="5132" width="8.88671875" style="209"/>
    <col min="5133" max="5133" width="16.44140625" style="209" customWidth="1"/>
    <col min="5134" max="5134" width="19.21875" style="209" customWidth="1"/>
    <col min="5135" max="5135" width="20.33203125" style="209" customWidth="1"/>
    <col min="5136" max="5376" width="8.88671875" style="209"/>
    <col min="5377" max="5377" width="35.109375" style="209" customWidth="1"/>
    <col min="5378" max="5378" width="12.77734375" style="209" customWidth="1"/>
    <col min="5379" max="5380" width="15.77734375" style="209" customWidth="1"/>
    <col min="5381" max="5381" width="24.21875" style="209" bestFit="1" customWidth="1"/>
    <col min="5382" max="5382" width="18.33203125" style="209" bestFit="1" customWidth="1"/>
    <col min="5383" max="5383" width="11.44140625" style="209" bestFit="1" customWidth="1"/>
    <col min="5384" max="5384" width="10.33203125" style="209" customWidth="1"/>
    <col min="5385" max="5385" width="14.6640625" style="209" bestFit="1" customWidth="1"/>
    <col min="5386" max="5386" width="25.21875" style="209" bestFit="1" customWidth="1"/>
    <col min="5387" max="5387" width="24.44140625" style="209" bestFit="1" customWidth="1"/>
    <col min="5388" max="5388" width="8.88671875" style="209"/>
    <col min="5389" max="5389" width="16.44140625" style="209" customWidth="1"/>
    <col min="5390" max="5390" width="19.21875" style="209" customWidth="1"/>
    <col min="5391" max="5391" width="20.33203125" style="209" customWidth="1"/>
    <col min="5392" max="5632" width="8.88671875" style="209"/>
    <col min="5633" max="5633" width="35.109375" style="209" customWidth="1"/>
    <col min="5634" max="5634" width="12.77734375" style="209" customWidth="1"/>
    <col min="5635" max="5636" width="15.77734375" style="209" customWidth="1"/>
    <col min="5637" max="5637" width="24.21875" style="209" bestFit="1" customWidth="1"/>
    <col min="5638" max="5638" width="18.33203125" style="209" bestFit="1" customWidth="1"/>
    <col min="5639" max="5639" width="11.44140625" style="209" bestFit="1" customWidth="1"/>
    <col min="5640" max="5640" width="10.33203125" style="209" customWidth="1"/>
    <col min="5641" max="5641" width="14.6640625" style="209" bestFit="1" customWidth="1"/>
    <col min="5642" max="5642" width="25.21875" style="209" bestFit="1" customWidth="1"/>
    <col min="5643" max="5643" width="24.44140625" style="209" bestFit="1" customWidth="1"/>
    <col min="5644" max="5644" width="8.88671875" style="209"/>
    <col min="5645" max="5645" width="16.44140625" style="209" customWidth="1"/>
    <col min="5646" max="5646" width="19.21875" style="209" customWidth="1"/>
    <col min="5647" max="5647" width="20.33203125" style="209" customWidth="1"/>
    <col min="5648" max="5888" width="8.88671875" style="209"/>
    <col min="5889" max="5889" width="35.109375" style="209" customWidth="1"/>
    <col min="5890" max="5890" width="12.77734375" style="209" customWidth="1"/>
    <col min="5891" max="5892" width="15.77734375" style="209" customWidth="1"/>
    <col min="5893" max="5893" width="24.21875" style="209" bestFit="1" customWidth="1"/>
    <col min="5894" max="5894" width="18.33203125" style="209" bestFit="1" customWidth="1"/>
    <col min="5895" max="5895" width="11.44140625" style="209" bestFit="1" customWidth="1"/>
    <col min="5896" max="5896" width="10.33203125" style="209" customWidth="1"/>
    <col min="5897" max="5897" width="14.6640625" style="209" bestFit="1" customWidth="1"/>
    <col min="5898" max="5898" width="25.21875" style="209" bestFit="1" customWidth="1"/>
    <col min="5899" max="5899" width="24.44140625" style="209" bestFit="1" customWidth="1"/>
    <col min="5900" max="5900" width="8.88671875" style="209"/>
    <col min="5901" max="5901" width="16.44140625" style="209" customWidth="1"/>
    <col min="5902" max="5902" width="19.21875" style="209" customWidth="1"/>
    <col min="5903" max="5903" width="20.33203125" style="209" customWidth="1"/>
    <col min="5904" max="6144" width="8.88671875" style="209"/>
    <col min="6145" max="6145" width="35.109375" style="209" customWidth="1"/>
    <col min="6146" max="6146" width="12.77734375" style="209" customWidth="1"/>
    <col min="6147" max="6148" width="15.77734375" style="209" customWidth="1"/>
    <col min="6149" max="6149" width="24.21875" style="209" bestFit="1" customWidth="1"/>
    <col min="6150" max="6150" width="18.33203125" style="209" bestFit="1" customWidth="1"/>
    <col min="6151" max="6151" width="11.44140625" style="209" bestFit="1" customWidth="1"/>
    <col min="6152" max="6152" width="10.33203125" style="209" customWidth="1"/>
    <col min="6153" max="6153" width="14.6640625" style="209" bestFit="1" customWidth="1"/>
    <col min="6154" max="6154" width="25.21875" style="209" bestFit="1" customWidth="1"/>
    <col min="6155" max="6155" width="24.44140625" style="209" bestFit="1" customWidth="1"/>
    <col min="6156" max="6156" width="8.88671875" style="209"/>
    <col min="6157" max="6157" width="16.44140625" style="209" customWidth="1"/>
    <col min="6158" max="6158" width="19.21875" style="209" customWidth="1"/>
    <col min="6159" max="6159" width="20.33203125" style="209" customWidth="1"/>
    <col min="6160" max="6400" width="8.88671875" style="209"/>
    <col min="6401" max="6401" width="35.109375" style="209" customWidth="1"/>
    <col min="6402" max="6402" width="12.77734375" style="209" customWidth="1"/>
    <col min="6403" max="6404" width="15.77734375" style="209" customWidth="1"/>
    <col min="6405" max="6405" width="24.21875" style="209" bestFit="1" customWidth="1"/>
    <col min="6406" max="6406" width="18.33203125" style="209" bestFit="1" customWidth="1"/>
    <col min="6407" max="6407" width="11.44140625" style="209" bestFit="1" customWidth="1"/>
    <col min="6408" max="6408" width="10.33203125" style="209" customWidth="1"/>
    <col min="6409" max="6409" width="14.6640625" style="209" bestFit="1" customWidth="1"/>
    <col min="6410" max="6410" width="25.21875" style="209" bestFit="1" customWidth="1"/>
    <col min="6411" max="6411" width="24.44140625" style="209" bestFit="1" customWidth="1"/>
    <col min="6412" max="6412" width="8.88671875" style="209"/>
    <col min="6413" max="6413" width="16.44140625" style="209" customWidth="1"/>
    <col min="6414" max="6414" width="19.21875" style="209" customWidth="1"/>
    <col min="6415" max="6415" width="20.33203125" style="209" customWidth="1"/>
    <col min="6416" max="6656" width="8.88671875" style="209"/>
    <col min="6657" max="6657" width="35.109375" style="209" customWidth="1"/>
    <col min="6658" max="6658" width="12.77734375" style="209" customWidth="1"/>
    <col min="6659" max="6660" width="15.77734375" style="209" customWidth="1"/>
    <col min="6661" max="6661" width="24.21875" style="209" bestFit="1" customWidth="1"/>
    <col min="6662" max="6662" width="18.33203125" style="209" bestFit="1" customWidth="1"/>
    <col min="6663" max="6663" width="11.44140625" style="209" bestFit="1" customWidth="1"/>
    <col min="6664" max="6664" width="10.33203125" style="209" customWidth="1"/>
    <col min="6665" max="6665" width="14.6640625" style="209" bestFit="1" customWidth="1"/>
    <col min="6666" max="6666" width="25.21875" style="209" bestFit="1" customWidth="1"/>
    <col min="6667" max="6667" width="24.44140625" style="209" bestFit="1" customWidth="1"/>
    <col min="6668" max="6668" width="8.88671875" style="209"/>
    <col min="6669" max="6669" width="16.44140625" style="209" customWidth="1"/>
    <col min="6670" max="6670" width="19.21875" style="209" customWidth="1"/>
    <col min="6671" max="6671" width="20.33203125" style="209" customWidth="1"/>
    <col min="6672" max="6912" width="8.88671875" style="209"/>
    <col min="6913" max="6913" width="35.109375" style="209" customWidth="1"/>
    <col min="6914" max="6914" width="12.77734375" style="209" customWidth="1"/>
    <col min="6915" max="6916" width="15.77734375" style="209" customWidth="1"/>
    <col min="6917" max="6917" width="24.21875" style="209" bestFit="1" customWidth="1"/>
    <col min="6918" max="6918" width="18.33203125" style="209" bestFit="1" customWidth="1"/>
    <col min="6919" max="6919" width="11.44140625" style="209" bestFit="1" customWidth="1"/>
    <col min="6920" max="6920" width="10.33203125" style="209" customWidth="1"/>
    <col min="6921" max="6921" width="14.6640625" style="209" bestFit="1" customWidth="1"/>
    <col min="6922" max="6922" width="25.21875" style="209" bestFit="1" customWidth="1"/>
    <col min="6923" max="6923" width="24.44140625" style="209" bestFit="1" customWidth="1"/>
    <col min="6924" max="6924" width="8.88671875" style="209"/>
    <col min="6925" max="6925" width="16.44140625" style="209" customWidth="1"/>
    <col min="6926" max="6926" width="19.21875" style="209" customWidth="1"/>
    <col min="6927" max="6927" width="20.33203125" style="209" customWidth="1"/>
    <col min="6928" max="7168" width="8.88671875" style="209"/>
    <col min="7169" max="7169" width="35.109375" style="209" customWidth="1"/>
    <col min="7170" max="7170" width="12.77734375" style="209" customWidth="1"/>
    <col min="7171" max="7172" width="15.77734375" style="209" customWidth="1"/>
    <col min="7173" max="7173" width="24.21875" style="209" bestFit="1" customWidth="1"/>
    <col min="7174" max="7174" width="18.33203125" style="209" bestFit="1" customWidth="1"/>
    <col min="7175" max="7175" width="11.44140625" style="209" bestFit="1" customWidth="1"/>
    <col min="7176" max="7176" width="10.33203125" style="209" customWidth="1"/>
    <col min="7177" max="7177" width="14.6640625" style="209" bestFit="1" customWidth="1"/>
    <col min="7178" max="7178" width="25.21875" style="209" bestFit="1" customWidth="1"/>
    <col min="7179" max="7179" width="24.44140625" style="209" bestFit="1" customWidth="1"/>
    <col min="7180" max="7180" width="8.88671875" style="209"/>
    <col min="7181" max="7181" width="16.44140625" style="209" customWidth="1"/>
    <col min="7182" max="7182" width="19.21875" style="209" customWidth="1"/>
    <col min="7183" max="7183" width="20.33203125" style="209" customWidth="1"/>
    <col min="7184" max="7424" width="8.88671875" style="209"/>
    <col min="7425" max="7425" width="35.109375" style="209" customWidth="1"/>
    <col min="7426" max="7426" width="12.77734375" style="209" customWidth="1"/>
    <col min="7427" max="7428" width="15.77734375" style="209" customWidth="1"/>
    <col min="7429" max="7429" width="24.21875" style="209" bestFit="1" customWidth="1"/>
    <col min="7430" max="7430" width="18.33203125" style="209" bestFit="1" customWidth="1"/>
    <col min="7431" max="7431" width="11.44140625" style="209" bestFit="1" customWidth="1"/>
    <col min="7432" max="7432" width="10.33203125" style="209" customWidth="1"/>
    <col min="7433" max="7433" width="14.6640625" style="209" bestFit="1" customWidth="1"/>
    <col min="7434" max="7434" width="25.21875" style="209" bestFit="1" customWidth="1"/>
    <col min="7435" max="7435" width="24.44140625" style="209" bestFit="1" customWidth="1"/>
    <col min="7436" max="7436" width="8.88671875" style="209"/>
    <col min="7437" max="7437" width="16.44140625" style="209" customWidth="1"/>
    <col min="7438" max="7438" width="19.21875" style="209" customWidth="1"/>
    <col min="7439" max="7439" width="20.33203125" style="209" customWidth="1"/>
    <col min="7440" max="7680" width="8.88671875" style="209"/>
    <col min="7681" max="7681" width="35.109375" style="209" customWidth="1"/>
    <col min="7682" max="7682" width="12.77734375" style="209" customWidth="1"/>
    <col min="7683" max="7684" width="15.77734375" style="209" customWidth="1"/>
    <col min="7685" max="7685" width="24.21875" style="209" bestFit="1" customWidth="1"/>
    <col min="7686" max="7686" width="18.33203125" style="209" bestFit="1" customWidth="1"/>
    <col min="7687" max="7687" width="11.44140625" style="209" bestFit="1" customWidth="1"/>
    <col min="7688" max="7688" width="10.33203125" style="209" customWidth="1"/>
    <col min="7689" max="7689" width="14.6640625" style="209" bestFit="1" customWidth="1"/>
    <col min="7690" max="7690" width="25.21875" style="209" bestFit="1" customWidth="1"/>
    <col min="7691" max="7691" width="24.44140625" style="209" bestFit="1" customWidth="1"/>
    <col min="7692" max="7692" width="8.88671875" style="209"/>
    <col min="7693" max="7693" width="16.44140625" style="209" customWidth="1"/>
    <col min="7694" max="7694" width="19.21875" style="209" customWidth="1"/>
    <col min="7695" max="7695" width="20.33203125" style="209" customWidth="1"/>
    <col min="7696" max="7936" width="8.88671875" style="209"/>
    <col min="7937" max="7937" width="35.109375" style="209" customWidth="1"/>
    <col min="7938" max="7938" width="12.77734375" style="209" customWidth="1"/>
    <col min="7939" max="7940" width="15.77734375" style="209" customWidth="1"/>
    <col min="7941" max="7941" width="24.21875" style="209" bestFit="1" customWidth="1"/>
    <col min="7942" max="7942" width="18.33203125" style="209" bestFit="1" customWidth="1"/>
    <col min="7943" max="7943" width="11.44140625" style="209" bestFit="1" customWidth="1"/>
    <col min="7944" max="7944" width="10.33203125" style="209" customWidth="1"/>
    <col min="7945" max="7945" width="14.6640625" style="209" bestFit="1" customWidth="1"/>
    <col min="7946" max="7946" width="25.21875" style="209" bestFit="1" customWidth="1"/>
    <col min="7947" max="7947" width="24.44140625" style="209" bestFit="1" customWidth="1"/>
    <col min="7948" max="7948" width="8.88671875" style="209"/>
    <col min="7949" max="7949" width="16.44140625" style="209" customWidth="1"/>
    <col min="7950" max="7950" width="19.21875" style="209" customWidth="1"/>
    <col min="7951" max="7951" width="20.33203125" style="209" customWidth="1"/>
    <col min="7952" max="8192" width="8.88671875" style="209"/>
    <col min="8193" max="8193" width="35.109375" style="209" customWidth="1"/>
    <col min="8194" max="8194" width="12.77734375" style="209" customWidth="1"/>
    <col min="8195" max="8196" width="15.77734375" style="209" customWidth="1"/>
    <col min="8197" max="8197" width="24.21875" style="209" bestFit="1" customWidth="1"/>
    <col min="8198" max="8198" width="18.33203125" style="209" bestFit="1" customWidth="1"/>
    <col min="8199" max="8199" width="11.44140625" style="209" bestFit="1" customWidth="1"/>
    <col min="8200" max="8200" width="10.33203125" style="209" customWidth="1"/>
    <col min="8201" max="8201" width="14.6640625" style="209" bestFit="1" customWidth="1"/>
    <col min="8202" max="8202" width="25.21875" style="209" bestFit="1" customWidth="1"/>
    <col min="8203" max="8203" width="24.44140625" style="209" bestFit="1" customWidth="1"/>
    <col min="8204" max="8204" width="8.88671875" style="209"/>
    <col min="8205" max="8205" width="16.44140625" style="209" customWidth="1"/>
    <col min="8206" max="8206" width="19.21875" style="209" customWidth="1"/>
    <col min="8207" max="8207" width="20.33203125" style="209" customWidth="1"/>
    <col min="8208" max="8448" width="8.88671875" style="209"/>
    <col min="8449" max="8449" width="35.109375" style="209" customWidth="1"/>
    <col min="8450" max="8450" width="12.77734375" style="209" customWidth="1"/>
    <col min="8451" max="8452" width="15.77734375" style="209" customWidth="1"/>
    <col min="8453" max="8453" width="24.21875" style="209" bestFit="1" customWidth="1"/>
    <col min="8454" max="8454" width="18.33203125" style="209" bestFit="1" customWidth="1"/>
    <col min="8455" max="8455" width="11.44140625" style="209" bestFit="1" customWidth="1"/>
    <col min="8456" max="8456" width="10.33203125" style="209" customWidth="1"/>
    <col min="8457" max="8457" width="14.6640625" style="209" bestFit="1" customWidth="1"/>
    <col min="8458" max="8458" width="25.21875" style="209" bestFit="1" customWidth="1"/>
    <col min="8459" max="8459" width="24.44140625" style="209" bestFit="1" customWidth="1"/>
    <col min="8460" max="8460" width="8.88671875" style="209"/>
    <col min="8461" max="8461" width="16.44140625" style="209" customWidth="1"/>
    <col min="8462" max="8462" width="19.21875" style="209" customWidth="1"/>
    <col min="8463" max="8463" width="20.33203125" style="209" customWidth="1"/>
    <col min="8464" max="8704" width="8.88671875" style="209"/>
    <col min="8705" max="8705" width="35.109375" style="209" customWidth="1"/>
    <col min="8706" max="8706" width="12.77734375" style="209" customWidth="1"/>
    <col min="8707" max="8708" width="15.77734375" style="209" customWidth="1"/>
    <col min="8709" max="8709" width="24.21875" style="209" bestFit="1" customWidth="1"/>
    <col min="8710" max="8710" width="18.33203125" style="209" bestFit="1" customWidth="1"/>
    <col min="8711" max="8711" width="11.44140625" style="209" bestFit="1" customWidth="1"/>
    <col min="8712" max="8712" width="10.33203125" style="209" customWidth="1"/>
    <col min="8713" max="8713" width="14.6640625" style="209" bestFit="1" customWidth="1"/>
    <col min="8714" max="8714" width="25.21875" style="209" bestFit="1" customWidth="1"/>
    <col min="8715" max="8715" width="24.44140625" style="209" bestFit="1" customWidth="1"/>
    <col min="8716" max="8716" width="8.88671875" style="209"/>
    <col min="8717" max="8717" width="16.44140625" style="209" customWidth="1"/>
    <col min="8718" max="8718" width="19.21875" style="209" customWidth="1"/>
    <col min="8719" max="8719" width="20.33203125" style="209" customWidth="1"/>
    <col min="8720" max="8960" width="8.88671875" style="209"/>
    <col min="8961" max="8961" width="35.109375" style="209" customWidth="1"/>
    <col min="8962" max="8962" width="12.77734375" style="209" customWidth="1"/>
    <col min="8963" max="8964" width="15.77734375" style="209" customWidth="1"/>
    <col min="8965" max="8965" width="24.21875" style="209" bestFit="1" customWidth="1"/>
    <col min="8966" max="8966" width="18.33203125" style="209" bestFit="1" customWidth="1"/>
    <col min="8967" max="8967" width="11.44140625" style="209" bestFit="1" customWidth="1"/>
    <col min="8968" max="8968" width="10.33203125" style="209" customWidth="1"/>
    <col min="8969" max="8969" width="14.6640625" style="209" bestFit="1" customWidth="1"/>
    <col min="8970" max="8970" width="25.21875" style="209" bestFit="1" customWidth="1"/>
    <col min="8971" max="8971" width="24.44140625" style="209" bestFit="1" customWidth="1"/>
    <col min="8972" max="8972" width="8.88671875" style="209"/>
    <col min="8973" max="8973" width="16.44140625" style="209" customWidth="1"/>
    <col min="8974" max="8974" width="19.21875" style="209" customWidth="1"/>
    <col min="8975" max="8975" width="20.33203125" style="209" customWidth="1"/>
    <col min="8976" max="9216" width="8.88671875" style="209"/>
    <col min="9217" max="9217" width="35.109375" style="209" customWidth="1"/>
    <col min="9218" max="9218" width="12.77734375" style="209" customWidth="1"/>
    <col min="9219" max="9220" width="15.77734375" style="209" customWidth="1"/>
    <col min="9221" max="9221" width="24.21875" style="209" bestFit="1" customWidth="1"/>
    <col min="9222" max="9222" width="18.33203125" style="209" bestFit="1" customWidth="1"/>
    <col min="9223" max="9223" width="11.44140625" style="209" bestFit="1" customWidth="1"/>
    <col min="9224" max="9224" width="10.33203125" style="209" customWidth="1"/>
    <col min="9225" max="9225" width="14.6640625" style="209" bestFit="1" customWidth="1"/>
    <col min="9226" max="9226" width="25.21875" style="209" bestFit="1" customWidth="1"/>
    <col min="9227" max="9227" width="24.44140625" style="209" bestFit="1" customWidth="1"/>
    <col min="9228" max="9228" width="8.88671875" style="209"/>
    <col min="9229" max="9229" width="16.44140625" style="209" customWidth="1"/>
    <col min="9230" max="9230" width="19.21875" style="209" customWidth="1"/>
    <col min="9231" max="9231" width="20.33203125" style="209" customWidth="1"/>
    <col min="9232" max="9472" width="8.88671875" style="209"/>
    <col min="9473" max="9473" width="35.109375" style="209" customWidth="1"/>
    <col min="9474" max="9474" width="12.77734375" style="209" customWidth="1"/>
    <col min="9475" max="9476" width="15.77734375" style="209" customWidth="1"/>
    <col min="9477" max="9477" width="24.21875" style="209" bestFit="1" customWidth="1"/>
    <col min="9478" max="9478" width="18.33203125" style="209" bestFit="1" customWidth="1"/>
    <col min="9479" max="9479" width="11.44140625" style="209" bestFit="1" customWidth="1"/>
    <col min="9480" max="9480" width="10.33203125" style="209" customWidth="1"/>
    <col min="9481" max="9481" width="14.6640625" style="209" bestFit="1" customWidth="1"/>
    <col min="9482" max="9482" width="25.21875" style="209" bestFit="1" customWidth="1"/>
    <col min="9483" max="9483" width="24.44140625" style="209" bestFit="1" customWidth="1"/>
    <col min="9484" max="9484" width="8.88671875" style="209"/>
    <col min="9485" max="9485" width="16.44140625" style="209" customWidth="1"/>
    <col min="9486" max="9486" width="19.21875" style="209" customWidth="1"/>
    <col min="9487" max="9487" width="20.33203125" style="209" customWidth="1"/>
    <col min="9488" max="9728" width="8.88671875" style="209"/>
    <col min="9729" max="9729" width="35.109375" style="209" customWidth="1"/>
    <col min="9730" max="9730" width="12.77734375" style="209" customWidth="1"/>
    <col min="9731" max="9732" width="15.77734375" style="209" customWidth="1"/>
    <col min="9733" max="9733" width="24.21875" style="209" bestFit="1" customWidth="1"/>
    <col min="9734" max="9734" width="18.33203125" style="209" bestFit="1" customWidth="1"/>
    <col min="9735" max="9735" width="11.44140625" style="209" bestFit="1" customWidth="1"/>
    <col min="9736" max="9736" width="10.33203125" style="209" customWidth="1"/>
    <col min="9737" max="9737" width="14.6640625" style="209" bestFit="1" customWidth="1"/>
    <col min="9738" max="9738" width="25.21875" style="209" bestFit="1" customWidth="1"/>
    <col min="9739" max="9739" width="24.44140625" style="209" bestFit="1" customWidth="1"/>
    <col min="9740" max="9740" width="8.88671875" style="209"/>
    <col min="9741" max="9741" width="16.44140625" style="209" customWidth="1"/>
    <col min="9742" max="9742" width="19.21875" style="209" customWidth="1"/>
    <col min="9743" max="9743" width="20.33203125" style="209" customWidth="1"/>
    <col min="9744" max="9984" width="8.88671875" style="209"/>
    <col min="9985" max="9985" width="35.109375" style="209" customWidth="1"/>
    <col min="9986" max="9986" width="12.77734375" style="209" customWidth="1"/>
    <col min="9987" max="9988" width="15.77734375" style="209" customWidth="1"/>
    <col min="9989" max="9989" width="24.21875" style="209" bestFit="1" customWidth="1"/>
    <col min="9990" max="9990" width="18.33203125" style="209" bestFit="1" customWidth="1"/>
    <col min="9991" max="9991" width="11.44140625" style="209" bestFit="1" customWidth="1"/>
    <col min="9992" max="9992" width="10.33203125" style="209" customWidth="1"/>
    <col min="9993" max="9993" width="14.6640625" style="209" bestFit="1" customWidth="1"/>
    <col min="9994" max="9994" width="25.21875" style="209" bestFit="1" customWidth="1"/>
    <col min="9995" max="9995" width="24.44140625" style="209" bestFit="1" customWidth="1"/>
    <col min="9996" max="9996" width="8.88671875" style="209"/>
    <col min="9997" max="9997" width="16.44140625" style="209" customWidth="1"/>
    <col min="9998" max="9998" width="19.21875" style="209" customWidth="1"/>
    <col min="9999" max="9999" width="20.33203125" style="209" customWidth="1"/>
    <col min="10000" max="10240" width="8.88671875" style="209"/>
    <col min="10241" max="10241" width="35.109375" style="209" customWidth="1"/>
    <col min="10242" max="10242" width="12.77734375" style="209" customWidth="1"/>
    <col min="10243" max="10244" width="15.77734375" style="209" customWidth="1"/>
    <col min="10245" max="10245" width="24.21875" style="209" bestFit="1" customWidth="1"/>
    <col min="10246" max="10246" width="18.33203125" style="209" bestFit="1" customWidth="1"/>
    <col min="10247" max="10247" width="11.44140625" style="209" bestFit="1" customWidth="1"/>
    <col min="10248" max="10248" width="10.33203125" style="209" customWidth="1"/>
    <col min="10249" max="10249" width="14.6640625" style="209" bestFit="1" customWidth="1"/>
    <col min="10250" max="10250" width="25.21875" style="209" bestFit="1" customWidth="1"/>
    <col min="10251" max="10251" width="24.44140625" style="209" bestFit="1" customWidth="1"/>
    <col min="10252" max="10252" width="8.88671875" style="209"/>
    <col min="10253" max="10253" width="16.44140625" style="209" customWidth="1"/>
    <col min="10254" max="10254" width="19.21875" style="209" customWidth="1"/>
    <col min="10255" max="10255" width="20.33203125" style="209" customWidth="1"/>
    <col min="10256" max="10496" width="8.88671875" style="209"/>
    <col min="10497" max="10497" width="35.109375" style="209" customWidth="1"/>
    <col min="10498" max="10498" width="12.77734375" style="209" customWidth="1"/>
    <col min="10499" max="10500" width="15.77734375" style="209" customWidth="1"/>
    <col min="10501" max="10501" width="24.21875" style="209" bestFit="1" customWidth="1"/>
    <col min="10502" max="10502" width="18.33203125" style="209" bestFit="1" customWidth="1"/>
    <col min="10503" max="10503" width="11.44140625" style="209" bestFit="1" customWidth="1"/>
    <col min="10504" max="10504" width="10.33203125" style="209" customWidth="1"/>
    <col min="10505" max="10505" width="14.6640625" style="209" bestFit="1" customWidth="1"/>
    <col min="10506" max="10506" width="25.21875" style="209" bestFit="1" customWidth="1"/>
    <col min="10507" max="10507" width="24.44140625" style="209" bestFit="1" customWidth="1"/>
    <col min="10508" max="10508" width="8.88671875" style="209"/>
    <col min="10509" max="10509" width="16.44140625" style="209" customWidth="1"/>
    <col min="10510" max="10510" width="19.21875" style="209" customWidth="1"/>
    <col min="10511" max="10511" width="20.33203125" style="209" customWidth="1"/>
    <col min="10512" max="10752" width="8.88671875" style="209"/>
    <col min="10753" max="10753" width="35.109375" style="209" customWidth="1"/>
    <col min="10754" max="10754" width="12.77734375" style="209" customWidth="1"/>
    <col min="10755" max="10756" width="15.77734375" style="209" customWidth="1"/>
    <col min="10757" max="10757" width="24.21875" style="209" bestFit="1" customWidth="1"/>
    <col min="10758" max="10758" width="18.33203125" style="209" bestFit="1" customWidth="1"/>
    <col min="10759" max="10759" width="11.44140625" style="209" bestFit="1" customWidth="1"/>
    <col min="10760" max="10760" width="10.33203125" style="209" customWidth="1"/>
    <col min="10761" max="10761" width="14.6640625" style="209" bestFit="1" customWidth="1"/>
    <col min="10762" max="10762" width="25.21875" style="209" bestFit="1" customWidth="1"/>
    <col min="10763" max="10763" width="24.44140625" style="209" bestFit="1" customWidth="1"/>
    <col min="10764" max="10764" width="8.88671875" style="209"/>
    <col min="10765" max="10765" width="16.44140625" style="209" customWidth="1"/>
    <col min="10766" max="10766" width="19.21875" style="209" customWidth="1"/>
    <col min="10767" max="10767" width="20.33203125" style="209" customWidth="1"/>
    <col min="10768" max="11008" width="8.88671875" style="209"/>
    <col min="11009" max="11009" width="35.109375" style="209" customWidth="1"/>
    <col min="11010" max="11010" width="12.77734375" style="209" customWidth="1"/>
    <col min="11011" max="11012" width="15.77734375" style="209" customWidth="1"/>
    <col min="11013" max="11013" width="24.21875" style="209" bestFit="1" customWidth="1"/>
    <col min="11014" max="11014" width="18.33203125" style="209" bestFit="1" customWidth="1"/>
    <col min="11015" max="11015" width="11.44140625" style="209" bestFit="1" customWidth="1"/>
    <col min="11016" max="11016" width="10.33203125" style="209" customWidth="1"/>
    <col min="11017" max="11017" width="14.6640625" style="209" bestFit="1" customWidth="1"/>
    <col min="11018" max="11018" width="25.21875" style="209" bestFit="1" customWidth="1"/>
    <col min="11019" max="11019" width="24.44140625" style="209" bestFit="1" customWidth="1"/>
    <col min="11020" max="11020" width="8.88671875" style="209"/>
    <col min="11021" max="11021" width="16.44140625" style="209" customWidth="1"/>
    <col min="11022" max="11022" width="19.21875" style="209" customWidth="1"/>
    <col min="11023" max="11023" width="20.33203125" style="209" customWidth="1"/>
    <col min="11024" max="11264" width="8.88671875" style="209"/>
    <col min="11265" max="11265" width="35.109375" style="209" customWidth="1"/>
    <col min="11266" max="11266" width="12.77734375" style="209" customWidth="1"/>
    <col min="11267" max="11268" width="15.77734375" style="209" customWidth="1"/>
    <col min="11269" max="11269" width="24.21875" style="209" bestFit="1" customWidth="1"/>
    <col min="11270" max="11270" width="18.33203125" style="209" bestFit="1" customWidth="1"/>
    <col min="11271" max="11271" width="11.44140625" style="209" bestFit="1" customWidth="1"/>
    <col min="11272" max="11272" width="10.33203125" style="209" customWidth="1"/>
    <col min="11273" max="11273" width="14.6640625" style="209" bestFit="1" customWidth="1"/>
    <col min="11274" max="11274" width="25.21875" style="209" bestFit="1" customWidth="1"/>
    <col min="11275" max="11275" width="24.44140625" style="209" bestFit="1" customWidth="1"/>
    <col min="11276" max="11276" width="8.88671875" style="209"/>
    <col min="11277" max="11277" width="16.44140625" style="209" customWidth="1"/>
    <col min="11278" max="11278" width="19.21875" style="209" customWidth="1"/>
    <col min="11279" max="11279" width="20.33203125" style="209" customWidth="1"/>
    <col min="11280" max="11520" width="8.88671875" style="209"/>
    <col min="11521" max="11521" width="35.109375" style="209" customWidth="1"/>
    <col min="11522" max="11522" width="12.77734375" style="209" customWidth="1"/>
    <col min="11523" max="11524" width="15.77734375" style="209" customWidth="1"/>
    <col min="11525" max="11525" width="24.21875" style="209" bestFit="1" customWidth="1"/>
    <col min="11526" max="11526" width="18.33203125" style="209" bestFit="1" customWidth="1"/>
    <col min="11527" max="11527" width="11.44140625" style="209" bestFit="1" customWidth="1"/>
    <col min="11528" max="11528" width="10.33203125" style="209" customWidth="1"/>
    <col min="11529" max="11529" width="14.6640625" style="209" bestFit="1" customWidth="1"/>
    <col min="11530" max="11530" width="25.21875" style="209" bestFit="1" customWidth="1"/>
    <col min="11531" max="11531" width="24.44140625" style="209" bestFit="1" customWidth="1"/>
    <col min="11532" max="11532" width="8.88671875" style="209"/>
    <col min="11533" max="11533" width="16.44140625" style="209" customWidth="1"/>
    <col min="11534" max="11534" width="19.21875" style="209" customWidth="1"/>
    <col min="11535" max="11535" width="20.33203125" style="209" customWidth="1"/>
    <col min="11536" max="11776" width="8.88671875" style="209"/>
    <col min="11777" max="11777" width="35.109375" style="209" customWidth="1"/>
    <col min="11778" max="11778" width="12.77734375" style="209" customWidth="1"/>
    <col min="11779" max="11780" width="15.77734375" style="209" customWidth="1"/>
    <col min="11781" max="11781" width="24.21875" style="209" bestFit="1" customWidth="1"/>
    <col min="11782" max="11782" width="18.33203125" style="209" bestFit="1" customWidth="1"/>
    <col min="11783" max="11783" width="11.44140625" style="209" bestFit="1" customWidth="1"/>
    <col min="11784" max="11784" width="10.33203125" style="209" customWidth="1"/>
    <col min="11785" max="11785" width="14.6640625" style="209" bestFit="1" customWidth="1"/>
    <col min="11786" max="11786" width="25.21875" style="209" bestFit="1" customWidth="1"/>
    <col min="11787" max="11787" width="24.44140625" style="209" bestFit="1" customWidth="1"/>
    <col min="11788" max="11788" width="8.88671875" style="209"/>
    <col min="11789" max="11789" width="16.44140625" style="209" customWidth="1"/>
    <col min="11790" max="11790" width="19.21875" style="209" customWidth="1"/>
    <col min="11791" max="11791" width="20.33203125" style="209" customWidth="1"/>
    <col min="11792" max="12032" width="8.88671875" style="209"/>
    <col min="12033" max="12033" width="35.109375" style="209" customWidth="1"/>
    <col min="12034" max="12034" width="12.77734375" style="209" customWidth="1"/>
    <col min="12035" max="12036" width="15.77734375" style="209" customWidth="1"/>
    <col min="12037" max="12037" width="24.21875" style="209" bestFit="1" customWidth="1"/>
    <col min="12038" max="12038" width="18.33203125" style="209" bestFit="1" customWidth="1"/>
    <col min="12039" max="12039" width="11.44140625" style="209" bestFit="1" customWidth="1"/>
    <col min="12040" max="12040" width="10.33203125" style="209" customWidth="1"/>
    <col min="12041" max="12041" width="14.6640625" style="209" bestFit="1" customWidth="1"/>
    <col min="12042" max="12042" width="25.21875" style="209" bestFit="1" customWidth="1"/>
    <col min="12043" max="12043" width="24.44140625" style="209" bestFit="1" customWidth="1"/>
    <col min="12044" max="12044" width="8.88671875" style="209"/>
    <col min="12045" max="12045" width="16.44140625" style="209" customWidth="1"/>
    <col min="12046" max="12046" width="19.21875" style="209" customWidth="1"/>
    <col min="12047" max="12047" width="20.33203125" style="209" customWidth="1"/>
    <col min="12048" max="12288" width="8.88671875" style="209"/>
    <col min="12289" max="12289" width="35.109375" style="209" customWidth="1"/>
    <col min="12290" max="12290" width="12.77734375" style="209" customWidth="1"/>
    <col min="12291" max="12292" width="15.77734375" style="209" customWidth="1"/>
    <col min="12293" max="12293" width="24.21875" style="209" bestFit="1" customWidth="1"/>
    <col min="12294" max="12294" width="18.33203125" style="209" bestFit="1" customWidth="1"/>
    <col min="12295" max="12295" width="11.44140625" style="209" bestFit="1" customWidth="1"/>
    <col min="12296" max="12296" width="10.33203125" style="209" customWidth="1"/>
    <col min="12297" max="12297" width="14.6640625" style="209" bestFit="1" customWidth="1"/>
    <col min="12298" max="12298" width="25.21875" style="209" bestFit="1" customWidth="1"/>
    <col min="12299" max="12299" width="24.44140625" style="209" bestFit="1" customWidth="1"/>
    <col min="12300" max="12300" width="8.88671875" style="209"/>
    <col min="12301" max="12301" width="16.44140625" style="209" customWidth="1"/>
    <col min="12302" max="12302" width="19.21875" style="209" customWidth="1"/>
    <col min="12303" max="12303" width="20.33203125" style="209" customWidth="1"/>
    <col min="12304" max="12544" width="8.88671875" style="209"/>
    <col min="12545" max="12545" width="35.109375" style="209" customWidth="1"/>
    <col min="12546" max="12546" width="12.77734375" style="209" customWidth="1"/>
    <col min="12547" max="12548" width="15.77734375" style="209" customWidth="1"/>
    <col min="12549" max="12549" width="24.21875" style="209" bestFit="1" customWidth="1"/>
    <col min="12550" max="12550" width="18.33203125" style="209" bestFit="1" customWidth="1"/>
    <col min="12551" max="12551" width="11.44140625" style="209" bestFit="1" customWidth="1"/>
    <col min="12552" max="12552" width="10.33203125" style="209" customWidth="1"/>
    <col min="12553" max="12553" width="14.6640625" style="209" bestFit="1" customWidth="1"/>
    <col min="12554" max="12554" width="25.21875" style="209" bestFit="1" customWidth="1"/>
    <col min="12555" max="12555" width="24.44140625" style="209" bestFit="1" customWidth="1"/>
    <col min="12556" max="12556" width="8.88671875" style="209"/>
    <col min="12557" max="12557" width="16.44140625" style="209" customWidth="1"/>
    <col min="12558" max="12558" width="19.21875" style="209" customWidth="1"/>
    <col min="12559" max="12559" width="20.33203125" style="209" customWidth="1"/>
    <col min="12560" max="12800" width="8.88671875" style="209"/>
    <col min="12801" max="12801" width="35.109375" style="209" customWidth="1"/>
    <col min="12802" max="12802" width="12.77734375" style="209" customWidth="1"/>
    <col min="12803" max="12804" width="15.77734375" style="209" customWidth="1"/>
    <col min="12805" max="12805" width="24.21875" style="209" bestFit="1" customWidth="1"/>
    <col min="12806" max="12806" width="18.33203125" style="209" bestFit="1" customWidth="1"/>
    <col min="12807" max="12807" width="11.44140625" style="209" bestFit="1" customWidth="1"/>
    <col min="12808" max="12808" width="10.33203125" style="209" customWidth="1"/>
    <col min="12809" max="12809" width="14.6640625" style="209" bestFit="1" customWidth="1"/>
    <col min="12810" max="12810" width="25.21875" style="209" bestFit="1" customWidth="1"/>
    <col min="12811" max="12811" width="24.44140625" style="209" bestFit="1" customWidth="1"/>
    <col min="12812" max="12812" width="8.88671875" style="209"/>
    <col min="12813" max="12813" width="16.44140625" style="209" customWidth="1"/>
    <col min="12814" max="12814" width="19.21875" style="209" customWidth="1"/>
    <col min="12815" max="12815" width="20.33203125" style="209" customWidth="1"/>
    <col min="12816" max="13056" width="8.88671875" style="209"/>
    <col min="13057" max="13057" width="35.109375" style="209" customWidth="1"/>
    <col min="13058" max="13058" width="12.77734375" style="209" customWidth="1"/>
    <col min="13059" max="13060" width="15.77734375" style="209" customWidth="1"/>
    <col min="13061" max="13061" width="24.21875" style="209" bestFit="1" customWidth="1"/>
    <col min="13062" max="13062" width="18.33203125" style="209" bestFit="1" customWidth="1"/>
    <col min="13063" max="13063" width="11.44140625" style="209" bestFit="1" customWidth="1"/>
    <col min="13064" max="13064" width="10.33203125" style="209" customWidth="1"/>
    <col min="13065" max="13065" width="14.6640625" style="209" bestFit="1" customWidth="1"/>
    <col min="13066" max="13066" width="25.21875" style="209" bestFit="1" customWidth="1"/>
    <col min="13067" max="13067" width="24.44140625" style="209" bestFit="1" customWidth="1"/>
    <col min="13068" max="13068" width="8.88671875" style="209"/>
    <col min="13069" max="13069" width="16.44140625" style="209" customWidth="1"/>
    <col min="13070" max="13070" width="19.21875" style="209" customWidth="1"/>
    <col min="13071" max="13071" width="20.33203125" style="209" customWidth="1"/>
    <col min="13072" max="13312" width="8.88671875" style="209"/>
    <col min="13313" max="13313" width="35.109375" style="209" customWidth="1"/>
    <col min="13314" max="13314" width="12.77734375" style="209" customWidth="1"/>
    <col min="13315" max="13316" width="15.77734375" style="209" customWidth="1"/>
    <col min="13317" max="13317" width="24.21875" style="209" bestFit="1" customWidth="1"/>
    <col min="13318" max="13318" width="18.33203125" style="209" bestFit="1" customWidth="1"/>
    <col min="13319" max="13319" width="11.44140625" style="209" bestFit="1" customWidth="1"/>
    <col min="13320" max="13320" width="10.33203125" style="209" customWidth="1"/>
    <col min="13321" max="13321" width="14.6640625" style="209" bestFit="1" customWidth="1"/>
    <col min="13322" max="13322" width="25.21875" style="209" bestFit="1" customWidth="1"/>
    <col min="13323" max="13323" width="24.44140625" style="209" bestFit="1" customWidth="1"/>
    <col min="13324" max="13324" width="8.88671875" style="209"/>
    <col min="13325" max="13325" width="16.44140625" style="209" customWidth="1"/>
    <col min="13326" max="13326" width="19.21875" style="209" customWidth="1"/>
    <col min="13327" max="13327" width="20.33203125" style="209" customWidth="1"/>
    <col min="13328" max="13568" width="8.88671875" style="209"/>
    <col min="13569" max="13569" width="35.109375" style="209" customWidth="1"/>
    <col min="13570" max="13570" width="12.77734375" style="209" customWidth="1"/>
    <col min="13571" max="13572" width="15.77734375" style="209" customWidth="1"/>
    <col min="13573" max="13573" width="24.21875" style="209" bestFit="1" customWidth="1"/>
    <col min="13574" max="13574" width="18.33203125" style="209" bestFit="1" customWidth="1"/>
    <col min="13575" max="13575" width="11.44140625" style="209" bestFit="1" customWidth="1"/>
    <col min="13576" max="13576" width="10.33203125" style="209" customWidth="1"/>
    <col min="13577" max="13577" width="14.6640625" style="209" bestFit="1" customWidth="1"/>
    <col min="13578" max="13578" width="25.21875" style="209" bestFit="1" customWidth="1"/>
    <col min="13579" max="13579" width="24.44140625" style="209" bestFit="1" customWidth="1"/>
    <col min="13580" max="13580" width="8.88671875" style="209"/>
    <col min="13581" max="13581" width="16.44140625" style="209" customWidth="1"/>
    <col min="13582" max="13582" width="19.21875" style="209" customWidth="1"/>
    <col min="13583" max="13583" width="20.33203125" style="209" customWidth="1"/>
    <col min="13584" max="13824" width="8.88671875" style="209"/>
    <col min="13825" max="13825" width="35.109375" style="209" customWidth="1"/>
    <col min="13826" max="13826" width="12.77734375" style="209" customWidth="1"/>
    <col min="13827" max="13828" width="15.77734375" style="209" customWidth="1"/>
    <col min="13829" max="13829" width="24.21875" style="209" bestFit="1" customWidth="1"/>
    <col min="13830" max="13830" width="18.33203125" style="209" bestFit="1" customWidth="1"/>
    <col min="13831" max="13831" width="11.44140625" style="209" bestFit="1" customWidth="1"/>
    <col min="13832" max="13832" width="10.33203125" style="209" customWidth="1"/>
    <col min="13833" max="13833" width="14.6640625" style="209" bestFit="1" customWidth="1"/>
    <col min="13834" max="13834" width="25.21875" style="209" bestFit="1" customWidth="1"/>
    <col min="13835" max="13835" width="24.44140625" style="209" bestFit="1" customWidth="1"/>
    <col min="13836" max="13836" width="8.88671875" style="209"/>
    <col min="13837" max="13837" width="16.44140625" style="209" customWidth="1"/>
    <col min="13838" max="13838" width="19.21875" style="209" customWidth="1"/>
    <col min="13839" max="13839" width="20.33203125" style="209" customWidth="1"/>
    <col min="13840" max="14080" width="8.88671875" style="209"/>
    <col min="14081" max="14081" width="35.109375" style="209" customWidth="1"/>
    <col min="14082" max="14082" width="12.77734375" style="209" customWidth="1"/>
    <col min="14083" max="14084" width="15.77734375" style="209" customWidth="1"/>
    <col min="14085" max="14085" width="24.21875" style="209" bestFit="1" customWidth="1"/>
    <col min="14086" max="14086" width="18.33203125" style="209" bestFit="1" customWidth="1"/>
    <col min="14087" max="14087" width="11.44140625" style="209" bestFit="1" customWidth="1"/>
    <col min="14088" max="14088" width="10.33203125" style="209" customWidth="1"/>
    <col min="14089" max="14089" width="14.6640625" style="209" bestFit="1" customWidth="1"/>
    <col min="14090" max="14090" width="25.21875" style="209" bestFit="1" customWidth="1"/>
    <col min="14091" max="14091" width="24.44140625" style="209" bestFit="1" customWidth="1"/>
    <col min="14092" max="14092" width="8.88671875" style="209"/>
    <col min="14093" max="14093" width="16.44140625" style="209" customWidth="1"/>
    <col min="14094" max="14094" width="19.21875" style="209" customWidth="1"/>
    <col min="14095" max="14095" width="20.33203125" style="209" customWidth="1"/>
    <col min="14096" max="14336" width="8.88671875" style="209"/>
    <col min="14337" max="14337" width="35.109375" style="209" customWidth="1"/>
    <col min="14338" max="14338" width="12.77734375" style="209" customWidth="1"/>
    <col min="14339" max="14340" width="15.77734375" style="209" customWidth="1"/>
    <col min="14341" max="14341" width="24.21875" style="209" bestFit="1" customWidth="1"/>
    <col min="14342" max="14342" width="18.33203125" style="209" bestFit="1" customWidth="1"/>
    <col min="14343" max="14343" width="11.44140625" style="209" bestFit="1" customWidth="1"/>
    <col min="14344" max="14344" width="10.33203125" style="209" customWidth="1"/>
    <col min="14345" max="14345" width="14.6640625" style="209" bestFit="1" customWidth="1"/>
    <col min="14346" max="14346" width="25.21875" style="209" bestFit="1" customWidth="1"/>
    <col min="14347" max="14347" width="24.44140625" style="209" bestFit="1" customWidth="1"/>
    <col min="14348" max="14348" width="8.88671875" style="209"/>
    <col min="14349" max="14349" width="16.44140625" style="209" customWidth="1"/>
    <col min="14350" max="14350" width="19.21875" style="209" customWidth="1"/>
    <col min="14351" max="14351" width="20.33203125" style="209" customWidth="1"/>
    <col min="14352" max="14592" width="8.88671875" style="209"/>
    <col min="14593" max="14593" width="35.109375" style="209" customWidth="1"/>
    <col min="14594" max="14594" width="12.77734375" style="209" customWidth="1"/>
    <col min="14595" max="14596" width="15.77734375" style="209" customWidth="1"/>
    <col min="14597" max="14597" width="24.21875" style="209" bestFit="1" customWidth="1"/>
    <col min="14598" max="14598" width="18.33203125" style="209" bestFit="1" customWidth="1"/>
    <col min="14599" max="14599" width="11.44140625" style="209" bestFit="1" customWidth="1"/>
    <col min="14600" max="14600" width="10.33203125" style="209" customWidth="1"/>
    <col min="14601" max="14601" width="14.6640625" style="209" bestFit="1" customWidth="1"/>
    <col min="14602" max="14602" width="25.21875" style="209" bestFit="1" customWidth="1"/>
    <col min="14603" max="14603" width="24.44140625" style="209" bestFit="1" customWidth="1"/>
    <col min="14604" max="14604" width="8.88671875" style="209"/>
    <col min="14605" max="14605" width="16.44140625" style="209" customWidth="1"/>
    <col min="14606" max="14606" width="19.21875" style="209" customWidth="1"/>
    <col min="14607" max="14607" width="20.33203125" style="209" customWidth="1"/>
    <col min="14608" max="14848" width="8.88671875" style="209"/>
    <col min="14849" max="14849" width="35.109375" style="209" customWidth="1"/>
    <col min="14850" max="14850" width="12.77734375" style="209" customWidth="1"/>
    <col min="14851" max="14852" width="15.77734375" style="209" customWidth="1"/>
    <col min="14853" max="14853" width="24.21875" style="209" bestFit="1" customWidth="1"/>
    <col min="14854" max="14854" width="18.33203125" style="209" bestFit="1" customWidth="1"/>
    <col min="14855" max="14855" width="11.44140625" style="209" bestFit="1" customWidth="1"/>
    <col min="14856" max="14856" width="10.33203125" style="209" customWidth="1"/>
    <col min="14857" max="14857" width="14.6640625" style="209" bestFit="1" customWidth="1"/>
    <col min="14858" max="14858" width="25.21875" style="209" bestFit="1" customWidth="1"/>
    <col min="14859" max="14859" width="24.44140625" style="209" bestFit="1" customWidth="1"/>
    <col min="14860" max="14860" width="8.88671875" style="209"/>
    <col min="14861" max="14861" width="16.44140625" style="209" customWidth="1"/>
    <col min="14862" max="14862" width="19.21875" style="209" customWidth="1"/>
    <col min="14863" max="14863" width="20.33203125" style="209" customWidth="1"/>
    <col min="14864" max="15104" width="8.88671875" style="209"/>
    <col min="15105" max="15105" width="35.109375" style="209" customWidth="1"/>
    <col min="15106" max="15106" width="12.77734375" style="209" customWidth="1"/>
    <col min="15107" max="15108" width="15.77734375" style="209" customWidth="1"/>
    <col min="15109" max="15109" width="24.21875" style="209" bestFit="1" customWidth="1"/>
    <col min="15110" max="15110" width="18.33203125" style="209" bestFit="1" customWidth="1"/>
    <col min="15111" max="15111" width="11.44140625" style="209" bestFit="1" customWidth="1"/>
    <col min="15112" max="15112" width="10.33203125" style="209" customWidth="1"/>
    <col min="15113" max="15113" width="14.6640625" style="209" bestFit="1" customWidth="1"/>
    <col min="15114" max="15114" width="25.21875" style="209" bestFit="1" customWidth="1"/>
    <col min="15115" max="15115" width="24.44140625" style="209" bestFit="1" customWidth="1"/>
    <col min="15116" max="15116" width="8.88671875" style="209"/>
    <col min="15117" max="15117" width="16.44140625" style="209" customWidth="1"/>
    <col min="15118" max="15118" width="19.21875" style="209" customWidth="1"/>
    <col min="15119" max="15119" width="20.33203125" style="209" customWidth="1"/>
    <col min="15120" max="15360" width="8.88671875" style="209"/>
    <col min="15361" max="15361" width="35.109375" style="209" customWidth="1"/>
    <col min="15362" max="15362" width="12.77734375" style="209" customWidth="1"/>
    <col min="15363" max="15364" width="15.77734375" style="209" customWidth="1"/>
    <col min="15365" max="15365" width="24.21875" style="209" bestFit="1" customWidth="1"/>
    <col min="15366" max="15366" width="18.33203125" style="209" bestFit="1" customWidth="1"/>
    <col min="15367" max="15367" width="11.44140625" style="209" bestFit="1" customWidth="1"/>
    <col min="15368" max="15368" width="10.33203125" style="209" customWidth="1"/>
    <col min="15369" max="15369" width="14.6640625" style="209" bestFit="1" customWidth="1"/>
    <col min="15370" max="15370" width="25.21875" style="209" bestFit="1" customWidth="1"/>
    <col min="15371" max="15371" width="24.44140625" style="209" bestFit="1" customWidth="1"/>
    <col min="15372" max="15372" width="8.88671875" style="209"/>
    <col min="15373" max="15373" width="16.44140625" style="209" customWidth="1"/>
    <col min="15374" max="15374" width="19.21875" style="209" customWidth="1"/>
    <col min="15375" max="15375" width="20.33203125" style="209" customWidth="1"/>
    <col min="15376" max="15616" width="8.88671875" style="209"/>
    <col min="15617" max="15617" width="35.109375" style="209" customWidth="1"/>
    <col min="15618" max="15618" width="12.77734375" style="209" customWidth="1"/>
    <col min="15619" max="15620" width="15.77734375" style="209" customWidth="1"/>
    <col min="15621" max="15621" width="24.21875" style="209" bestFit="1" customWidth="1"/>
    <col min="15622" max="15622" width="18.33203125" style="209" bestFit="1" customWidth="1"/>
    <col min="15623" max="15623" width="11.44140625" style="209" bestFit="1" customWidth="1"/>
    <col min="15624" max="15624" width="10.33203125" style="209" customWidth="1"/>
    <col min="15625" max="15625" width="14.6640625" style="209" bestFit="1" customWidth="1"/>
    <col min="15626" max="15626" width="25.21875" style="209" bestFit="1" customWidth="1"/>
    <col min="15627" max="15627" width="24.44140625" style="209" bestFit="1" customWidth="1"/>
    <col min="15628" max="15628" width="8.88671875" style="209"/>
    <col min="15629" max="15629" width="16.44140625" style="209" customWidth="1"/>
    <col min="15630" max="15630" width="19.21875" style="209" customWidth="1"/>
    <col min="15631" max="15631" width="20.33203125" style="209" customWidth="1"/>
    <col min="15632" max="15872" width="8.88671875" style="209"/>
    <col min="15873" max="15873" width="35.109375" style="209" customWidth="1"/>
    <col min="15874" max="15874" width="12.77734375" style="209" customWidth="1"/>
    <col min="15875" max="15876" width="15.77734375" style="209" customWidth="1"/>
    <col min="15877" max="15877" width="24.21875" style="209" bestFit="1" customWidth="1"/>
    <col min="15878" max="15878" width="18.33203125" style="209" bestFit="1" customWidth="1"/>
    <col min="15879" max="15879" width="11.44140625" style="209" bestFit="1" customWidth="1"/>
    <col min="15880" max="15880" width="10.33203125" style="209" customWidth="1"/>
    <col min="15881" max="15881" width="14.6640625" style="209" bestFit="1" customWidth="1"/>
    <col min="15882" max="15882" width="25.21875" style="209" bestFit="1" customWidth="1"/>
    <col min="15883" max="15883" width="24.44140625" style="209" bestFit="1" customWidth="1"/>
    <col min="15884" max="15884" width="8.88671875" style="209"/>
    <col min="15885" max="15885" width="16.44140625" style="209" customWidth="1"/>
    <col min="15886" max="15886" width="19.21875" style="209" customWidth="1"/>
    <col min="15887" max="15887" width="20.33203125" style="209" customWidth="1"/>
    <col min="15888" max="16128" width="8.88671875" style="209"/>
    <col min="16129" max="16129" width="35.109375" style="209" customWidth="1"/>
    <col min="16130" max="16130" width="12.77734375" style="209" customWidth="1"/>
    <col min="16131" max="16132" width="15.77734375" style="209" customWidth="1"/>
    <col min="16133" max="16133" width="24.21875" style="209" bestFit="1" customWidth="1"/>
    <col min="16134" max="16134" width="18.33203125" style="209" bestFit="1" customWidth="1"/>
    <col min="16135" max="16135" width="11.44140625" style="209" bestFit="1" customWidth="1"/>
    <col min="16136" max="16136" width="10.33203125" style="209" customWidth="1"/>
    <col min="16137" max="16137" width="14.6640625" style="209" bestFit="1" customWidth="1"/>
    <col min="16138" max="16138" width="25.21875" style="209" bestFit="1" customWidth="1"/>
    <col min="16139" max="16139" width="24.44140625" style="209" bestFit="1" customWidth="1"/>
    <col min="16140" max="16140" width="8.88671875" style="209"/>
    <col min="16141" max="16141" width="16.44140625" style="209" customWidth="1"/>
    <col min="16142" max="16142" width="19.21875" style="209" customWidth="1"/>
    <col min="16143" max="16143" width="20.33203125" style="209" customWidth="1"/>
    <col min="16144" max="16384" width="8.88671875" style="209"/>
  </cols>
  <sheetData>
    <row r="1" spans="1:15" ht="13.8" thickBot="1" x14ac:dyDescent="0.3">
      <c r="A1" s="271" t="s">
        <v>116</v>
      </c>
      <c r="B1" s="272">
        <f ca="1">TODAY()</f>
        <v>43517</v>
      </c>
      <c r="J1" s="227" t="s">
        <v>87</v>
      </c>
      <c r="N1" s="228" t="s">
        <v>88</v>
      </c>
    </row>
    <row r="2" spans="1:15" ht="13.8" thickBot="1" x14ac:dyDescent="0.3">
      <c r="A2" s="229"/>
      <c r="B2" s="210"/>
      <c r="E2" s="230" t="s">
        <v>89</v>
      </c>
      <c r="F2" s="231"/>
      <c r="G2" s="212"/>
    </row>
    <row r="3" spans="1:15" x14ac:dyDescent="0.25">
      <c r="A3" s="233" t="s">
        <v>90</v>
      </c>
      <c r="B3" s="231"/>
      <c r="C3" s="212"/>
      <c r="E3" s="234"/>
      <c r="F3" s="235"/>
      <c r="G3" s="217"/>
      <c r="I3" s="236" t="s">
        <v>16</v>
      </c>
      <c r="J3" s="237" t="s">
        <v>91</v>
      </c>
      <c r="K3" s="238" t="s">
        <v>92</v>
      </c>
      <c r="L3" s="229"/>
      <c r="M3" s="236" t="s">
        <v>16</v>
      </c>
      <c r="N3" s="239" t="s">
        <v>93</v>
      </c>
      <c r="O3" s="238" t="s">
        <v>61</v>
      </c>
    </row>
    <row r="4" spans="1:15" x14ac:dyDescent="0.25">
      <c r="A4" s="240"/>
      <c r="B4" s="235"/>
      <c r="C4" s="217"/>
      <c r="E4" s="241" t="s">
        <v>94</v>
      </c>
      <c r="F4" s="281">
        <v>757</v>
      </c>
      <c r="G4" s="217"/>
      <c r="I4" s="209">
        <f ca="1">YEAR(B1)</f>
        <v>2019</v>
      </c>
      <c r="J4" s="209">
        <f ca="1">IF(I4="","",IF($B$6-DATE(I4-1,12,31) &gt; 365.25, 1, ROUNDDOWN(12*($B$6-DATE(I4-1,12,31))/365.25,0)/12))</f>
        <v>1</v>
      </c>
      <c r="K4" s="19">
        <f ca="1">IF(I4="","",VLOOKUP(I4,'Part D Calculations'!$D$3:$G$131, 4, FALSE) * J4)</f>
        <v>720</v>
      </c>
      <c r="M4" s="209">
        <f>YEAR(B11)</f>
        <v>2003</v>
      </c>
      <c r="N4" s="232">
        <f>ROUNDDOWN(12*(DATE(M4,12,31)-B11)/365.25,0)/12</f>
        <v>0.33333333333333331</v>
      </c>
      <c r="O4" s="19">
        <f>IF(M4="","",VLOOKUP(M4,'Part D Calculations'!$I$3:$L$111,4, FALSE) * N4)</f>
        <v>240</v>
      </c>
    </row>
    <row r="5" spans="1:15" x14ac:dyDescent="0.25">
      <c r="A5" s="240" t="s">
        <v>95</v>
      </c>
      <c r="B5" s="235">
        <f>F4</f>
        <v>757</v>
      </c>
      <c r="C5" s="217"/>
      <c r="E5" s="234"/>
      <c r="F5" s="235"/>
      <c r="G5" s="217"/>
      <c r="I5" s="209">
        <f ca="1">IFERROR(IF(IF(DATE((I4+1),1,1)&gt;$B$6,0,I4+1)=0,"",IF(DATE((I4+1),1,1)&gt;$B$6,0,I4+1)),"")</f>
        <v>2020</v>
      </c>
      <c r="J5" s="209">
        <f t="shared" ref="J5:J68" ca="1" si="0">IF(I5="","",IF($B$6-DATE(I5-1,12,31) &gt; 365.25, 1, ROUNDDOWN(12*($B$6-DATE(I5-1,12,31))/365.25,0)/12))</f>
        <v>1</v>
      </c>
      <c r="K5" s="19">
        <f ca="1">IF(I5="","",VLOOKUP(I5,'Part D Calculations'!$D$3:$G$131, 4, FALSE) * J5)</f>
        <v>720</v>
      </c>
      <c r="M5" s="209">
        <f ca="1">IFERROR(IF(IF(M4+1&gt;=YEAR($B$1),0, M4+1) = 0, "", IF(M4+1&gt;=YEAR($B$1),0, M4+1)),"")</f>
        <v>2004</v>
      </c>
      <c r="N5" s="232">
        <f ca="1">IF(M5="","",1)</f>
        <v>1</v>
      </c>
      <c r="O5" s="19">
        <f ca="1">IF(M5="","",VLOOKUP(M5,'Part D Calculations'!$I$3:$L$111,4, FALSE) * N5)</f>
        <v>720</v>
      </c>
    </row>
    <row r="6" spans="1:15" x14ac:dyDescent="0.25">
      <c r="A6" s="240" t="s">
        <v>96</v>
      </c>
      <c r="B6" s="242">
        <f ca="1">F16</f>
        <v>49796</v>
      </c>
      <c r="C6" s="217"/>
      <c r="E6" s="241" t="s">
        <v>97</v>
      </c>
      <c r="F6" s="280">
        <v>79114.649999999994</v>
      </c>
      <c r="G6" s="217"/>
      <c r="I6" s="209">
        <f t="shared" ref="I6:I69" ca="1" si="1">IFERROR(IF(IF(DATE((I5+1),1,1)&gt;$B$6,0,I5+1)=0,"",IF(DATE((I5+1),1,1)&gt;$B$6,0,I5+1)),"")</f>
        <v>2021</v>
      </c>
      <c r="J6" s="209">
        <f t="shared" ca="1" si="0"/>
        <v>1</v>
      </c>
      <c r="K6" s="19">
        <f ca="1">IF(I6="","",VLOOKUP(I6,'Part D Calculations'!$D$3:$G$131, 4, FALSE) * J6)</f>
        <v>720</v>
      </c>
      <c r="M6" s="209">
        <f t="shared" ref="M6:M69" ca="1" si="2">IFERROR(IF(IF(M5+1&gt;=YEAR($B$1),0, M5+1) = 0, "", IF(M5+1&gt;=YEAR($B$1),0, M5+1)),"")</f>
        <v>2005</v>
      </c>
      <c r="N6" s="232">
        <f t="shared" ref="N6:N69" ca="1" si="3">IF(M6="","",1)</f>
        <v>1</v>
      </c>
      <c r="O6" s="19">
        <f ca="1">IF(M6="","",VLOOKUP(M6,'Part D Calculations'!$I$3:$L$111,4, FALSE) * N6)</f>
        <v>720</v>
      </c>
    </row>
    <row r="7" spans="1:15" x14ac:dyDescent="0.25">
      <c r="A7" s="240" t="s">
        <v>98</v>
      </c>
      <c r="B7" s="243">
        <f>F6</f>
        <v>79114.649999999994</v>
      </c>
      <c r="C7" s="217"/>
      <c r="E7" s="244"/>
      <c r="F7" s="235"/>
      <c r="G7" s="217"/>
      <c r="I7" s="209">
        <f t="shared" ca="1" si="1"/>
        <v>2022</v>
      </c>
      <c r="J7" s="209">
        <f t="shared" ca="1" si="0"/>
        <v>1</v>
      </c>
      <c r="K7" s="19">
        <f ca="1">IF(I7="","",VLOOKUP(I7,'Part D Calculations'!$D$3:$G$131, 4, FALSE) * J7)</f>
        <v>720</v>
      </c>
      <c r="M7" s="209">
        <f t="shared" ca="1" si="2"/>
        <v>2006</v>
      </c>
      <c r="N7" s="232">
        <f t="shared" ca="1" si="3"/>
        <v>1</v>
      </c>
      <c r="O7" s="19">
        <f ca="1">IF(M7="","",VLOOKUP(M7,'Part D Calculations'!$I$3:$L$111,4, FALSE) * N7)</f>
        <v>720</v>
      </c>
    </row>
    <row r="8" spans="1:15" x14ac:dyDescent="0.25">
      <c r="A8" s="240"/>
      <c r="B8" s="235"/>
      <c r="C8" s="217"/>
      <c r="E8" s="241" t="s">
        <v>99</v>
      </c>
      <c r="F8" s="235"/>
      <c r="G8" s="217"/>
      <c r="I8" s="209">
        <f t="shared" ca="1" si="1"/>
        <v>2023</v>
      </c>
      <c r="J8" s="209">
        <f t="shared" ca="1" si="0"/>
        <v>1</v>
      </c>
      <c r="K8" s="19">
        <f ca="1">IF(I8="","",VLOOKUP(I8,'Part D Calculations'!$D$3:$G$131, 4, FALSE) * J8)</f>
        <v>720</v>
      </c>
      <c r="M8" s="209">
        <f t="shared" ca="1" si="2"/>
        <v>2007</v>
      </c>
      <c r="N8" s="232">
        <f t="shared" ca="1" si="3"/>
        <v>1</v>
      </c>
      <c r="O8" s="19">
        <f ca="1">IF(M8="","",VLOOKUP(M8,'Part D Calculations'!$I$3:$L$111,4, FALSE) * N8)</f>
        <v>720</v>
      </c>
    </row>
    <row r="9" spans="1:15" x14ac:dyDescent="0.25">
      <c r="A9" s="240" t="s">
        <v>0</v>
      </c>
      <c r="B9" s="235">
        <f>VLOOKUP(B5,'Data for D '!A2:G80,2,FALSE)</f>
        <v>500</v>
      </c>
      <c r="C9" s="217"/>
      <c r="E9" s="244"/>
      <c r="F9" s="235"/>
      <c r="G9" s="217"/>
      <c r="I9" s="209">
        <f t="shared" ca="1" si="1"/>
        <v>2024</v>
      </c>
      <c r="J9" s="209">
        <f t="shared" ca="1" si="0"/>
        <v>1</v>
      </c>
      <c r="K9" s="19">
        <f ca="1">IF(I9="","",VLOOKUP(I9,'Part D Calculations'!$D$3:$G$131, 4, FALSE) * J9)</f>
        <v>720</v>
      </c>
      <c r="M9" s="209">
        <f t="shared" ca="1" si="2"/>
        <v>2008</v>
      </c>
      <c r="N9" s="232">
        <f t="shared" ca="1" si="3"/>
        <v>1</v>
      </c>
      <c r="O9" s="19">
        <f ca="1">IF(M9="","",VLOOKUP(M9,'Part D Calculations'!$I$3:$L$111,4, FALSE) * N9)</f>
        <v>720</v>
      </c>
    </row>
    <row r="10" spans="1:15" x14ac:dyDescent="0.25">
      <c r="A10" s="240" t="s">
        <v>100</v>
      </c>
      <c r="B10" s="242">
        <f>VLOOKUP(B5,'Data for D '!A2:G80,5,FALSE)</f>
        <v>26031</v>
      </c>
      <c r="C10" s="217"/>
      <c r="E10" s="240" t="s">
        <v>16</v>
      </c>
      <c r="F10" s="235"/>
      <c r="G10" s="245">
        <f ca="1">YEAR(B1) + F11 -1</f>
        <v>2036</v>
      </c>
      <c r="H10" s="246"/>
      <c r="I10" s="209">
        <f t="shared" ca="1" si="1"/>
        <v>2025</v>
      </c>
      <c r="J10" s="209">
        <f t="shared" ca="1" si="0"/>
        <v>1</v>
      </c>
      <c r="K10" s="19">
        <f ca="1">IF(I10="","",VLOOKUP(I10,'Part D Calculations'!$D$3:$G$131, 4, FALSE) * J10)</f>
        <v>720</v>
      </c>
      <c r="M10" s="209">
        <f t="shared" ca="1" si="2"/>
        <v>2009</v>
      </c>
      <c r="N10" s="232">
        <f t="shared" ca="1" si="3"/>
        <v>1</v>
      </c>
      <c r="O10" s="19">
        <f ca="1">IF(M10="","",VLOOKUP(M10,'Part D Calculations'!$I$3:$L$111,4, FALSE) * N10)</f>
        <v>720</v>
      </c>
    </row>
    <row r="11" spans="1:15" x14ac:dyDescent="0.25">
      <c r="A11" s="240" t="s">
        <v>101</v>
      </c>
      <c r="B11" s="242">
        <f>VLOOKUP(B5,'Data for D '!A2:G80,6,FALSE)</f>
        <v>37834</v>
      </c>
      <c r="C11" s="217"/>
      <c r="E11" s="244"/>
      <c r="F11" s="282">
        <v>18</v>
      </c>
      <c r="G11" s="217"/>
      <c r="I11" s="209">
        <f t="shared" ca="1" si="1"/>
        <v>2026</v>
      </c>
      <c r="J11" s="209">
        <f t="shared" ca="1" si="0"/>
        <v>1</v>
      </c>
      <c r="K11" s="19">
        <f ca="1">IF(I11="","",VLOOKUP(I11,'Part D Calculations'!$D$3:$G$131, 4, FALSE) * J11)</f>
        <v>720</v>
      </c>
      <c r="M11" s="209">
        <f t="shared" ca="1" si="2"/>
        <v>2010</v>
      </c>
      <c r="N11" s="232">
        <f t="shared" ca="1" si="3"/>
        <v>1</v>
      </c>
      <c r="O11" s="19">
        <f ca="1">IF(M11="","",VLOOKUP(M11,'Part D Calculations'!$I$3:$L$111,4, FALSE) * N11)</f>
        <v>720</v>
      </c>
    </row>
    <row r="12" spans="1:15" x14ac:dyDescent="0.25">
      <c r="A12" s="240"/>
      <c r="B12" s="235"/>
      <c r="C12" s="217"/>
      <c r="E12" s="240" t="s">
        <v>102</v>
      </c>
      <c r="F12" s="235">
        <v>6</v>
      </c>
      <c r="G12" s="283">
        <v>5</v>
      </c>
      <c r="I12" s="209">
        <f t="shared" ca="1" si="1"/>
        <v>2027</v>
      </c>
      <c r="J12" s="209">
        <f t="shared" ca="1" si="0"/>
        <v>1</v>
      </c>
      <c r="K12" s="19">
        <f ca="1">IF(I12="","",VLOOKUP(I12,'Part D Calculations'!$D$3:$G$131, 4, FALSE) * J12)</f>
        <v>720</v>
      </c>
      <c r="M12" s="209">
        <f t="shared" ca="1" si="2"/>
        <v>2011</v>
      </c>
      <c r="N12" s="232">
        <f t="shared" ca="1" si="3"/>
        <v>1</v>
      </c>
      <c r="O12" s="19">
        <f ca="1">IF(M12="","",VLOOKUP(M12,'Part D Calculations'!$I$3:$L$111,4, FALSE) * N12)</f>
        <v>720</v>
      </c>
    </row>
    <row r="13" spans="1:15" x14ac:dyDescent="0.25">
      <c r="A13" s="240" t="s">
        <v>103</v>
      </c>
      <c r="B13" s="247">
        <f ca="1">(B1-B10)/365.25</f>
        <v>47.874058863791923</v>
      </c>
      <c r="C13" s="217"/>
      <c r="E13" s="244"/>
      <c r="F13" s="235"/>
      <c r="G13" s="217"/>
      <c r="I13" s="209">
        <f t="shared" ca="1" si="1"/>
        <v>2028</v>
      </c>
      <c r="J13" s="209">
        <f t="shared" ca="1" si="0"/>
        <v>1</v>
      </c>
      <c r="K13" s="19">
        <f ca="1">IF(I13="","",VLOOKUP(I13,'Part D Calculations'!$D$3:$G$131, 4, FALSE) * J13)</f>
        <v>720</v>
      </c>
      <c r="M13" s="209">
        <f t="shared" ca="1" si="2"/>
        <v>2012</v>
      </c>
      <c r="N13" s="232">
        <f t="shared" ca="1" si="3"/>
        <v>1</v>
      </c>
      <c r="O13" s="19">
        <f ca="1">IF(M13="","",VLOOKUP(M13,'Part D Calculations'!$I$3:$L$111,4, FALSE) * N13)</f>
        <v>720</v>
      </c>
    </row>
    <row r="14" spans="1:15" x14ac:dyDescent="0.25">
      <c r="A14" s="240" t="s">
        <v>104</v>
      </c>
      <c r="B14" s="247">
        <f ca="1">(B6-B10)/365.25</f>
        <v>65.065023956194381</v>
      </c>
      <c r="C14" s="217"/>
      <c r="E14" s="240" t="s">
        <v>105</v>
      </c>
      <c r="F14" s="235"/>
      <c r="G14" s="283">
        <v>1</v>
      </c>
      <c r="I14" s="209">
        <f t="shared" ca="1" si="1"/>
        <v>2029</v>
      </c>
      <c r="J14" s="209">
        <f t="shared" ca="1" si="0"/>
        <v>1</v>
      </c>
      <c r="K14" s="19">
        <f ca="1">IF(I14="","",VLOOKUP(I14,'Part D Calculations'!$D$3:$G$131, 4, FALSE) * J14)</f>
        <v>720</v>
      </c>
      <c r="M14" s="209">
        <f t="shared" ca="1" si="2"/>
        <v>2013</v>
      </c>
      <c r="N14" s="232">
        <f t="shared" ca="1" si="3"/>
        <v>1</v>
      </c>
      <c r="O14" s="19">
        <f ca="1">IF(M14="","",VLOOKUP(M14,'Part D Calculations'!$I$3:$L$111,4, FALSE) * N14)</f>
        <v>720</v>
      </c>
    </row>
    <row r="15" spans="1:15" x14ac:dyDescent="0.25">
      <c r="A15" s="244"/>
      <c r="B15" s="247"/>
      <c r="C15" s="217"/>
      <c r="E15" s="244"/>
      <c r="F15" s="235"/>
      <c r="G15" s="217"/>
      <c r="I15" s="209">
        <f t="shared" ca="1" si="1"/>
        <v>2030</v>
      </c>
      <c r="J15" s="209">
        <f t="shared" ca="1" si="0"/>
        <v>1</v>
      </c>
      <c r="K15" s="19">
        <f ca="1">IF(I15="","",VLOOKUP(I15,'Part D Calculations'!$D$3:$G$131, 4, FALSE) * J15)</f>
        <v>720</v>
      </c>
      <c r="M15" s="209">
        <f t="shared" ca="1" si="2"/>
        <v>2014</v>
      </c>
      <c r="N15" s="232">
        <f t="shared" ca="1" si="3"/>
        <v>1</v>
      </c>
      <c r="O15" s="19">
        <f ca="1">IF(M15="","",VLOOKUP(M15,'Part D Calculations'!$I$3:$L$111,4, FALSE) * N15)</f>
        <v>720</v>
      </c>
    </row>
    <row r="16" spans="1:15" ht="13.8" thickBot="1" x14ac:dyDescent="0.3">
      <c r="A16" s="244"/>
      <c r="B16" s="248" t="s">
        <v>106</v>
      </c>
      <c r="C16" s="249" t="s">
        <v>107</v>
      </c>
      <c r="E16" s="250"/>
      <c r="F16" s="251">
        <f ca="1">DATE(G10,G12,G14)</f>
        <v>49796</v>
      </c>
      <c r="G16" s="252"/>
      <c r="I16" s="209">
        <f t="shared" ca="1" si="1"/>
        <v>2031</v>
      </c>
      <c r="J16" s="209">
        <f t="shared" ca="1" si="0"/>
        <v>1</v>
      </c>
      <c r="K16" s="19">
        <f ca="1">IF(I16="","",VLOOKUP(I16,'Part D Calculations'!$D$3:$G$131, 4, FALSE) * J16)</f>
        <v>720</v>
      </c>
      <c r="M16" s="209">
        <f t="shared" ca="1" si="2"/>
        <v>2015</v>
      </c>
      <c r="N16" s="232">
        <f t="shared" ca="1" si="3"/>
        <v>1</v>
      </c>
      <c r="O16" s="19">
        <f ca="1">IF(M16="","",VLOOKUP(M16,'Part D Calculations'!$I$3:$L$111,4, FALSE) * N16)</f>
        <v>720</v>
      </c>
    </row>
    <row r="17" spans="1:15" x14ac:dyDescent="0.25">
      <c r="A17" s="244"/>
      <c r="B17" s="253">
        <f ca="1">B1</f>
        <v>43517</v>
      </c>
      <c r="C17" s="254">
        <f ca="1">B6</f>
        <v>49796</v>
      </c>
      <c r="D17" s="210"/>
      <c r="I17" s="209">
        <f t="shared" ca="1" si="1"/>
        <v>2032</v>
      </c>
      <c r="J17" s="209">
        <f t="shared" ca="1" si="0"/>
        <v>1</v>
      </c>
      <c r="K17" s="19">
        <f ca="1">IF(I17="","",VLOOKUP(I17,'Part D Calculations'!$D$3:$G$131, 4, FALSE) * J17)</f>
        <v>720</v>
      </c>
      <c r="M17" s="209">
        <f t="shared" ca="1" si="2"/>
        <v>2016</v>
      </c>
      <c r="N17" s="232">
        <f t="shared" ca="1" si="3"/>
        <v>1</v>
      </c>
      <c r="O17" s="19">
        <f ca="1">IF(M17="","",VLOOKUP(M17,'Part D Calculations'!$I$3:$L$111,4, FALSE) * N17)</f>
        <v>720</v>
      </c>
    </row>
    <row r="18" spans="1:15" x14ac:dyDescent="0.25">
      <c r="A18" s="240" t="s">
        <v>108</v>
      </c>
      <c r="B18" s="255">
        <f ca="1">ROUNDDOWN(12*(B17-B11)/365.25,0)/12</f>
        <v>15.5</v>
      </c>
      <c r="C18" s="256">
        <f ca="1">ROUNDDOWN(12*(C17-B11)/365.25,0)/12</f>
        <v>32.75</v>
      </c>
      <c r="D18" s="232"/>
      <c r="E18" s="257" t="str">
        <f ca="1">IF(B14&lt;55, "Error: Please enter a valid retirement date", IF(AND(B14&gt;55,B14&lt;65), "Warning: You have entered an early retirement date", IF(AND(B14&gt;65,B14&lt;70),"", "Error: Please enter a valid retirement date")))</f>
        <v/>
      </c>
      <c r="I18" s="209">
        <f t="shared" ca="1" si="1"/>
        <v>2033</v>
      </c>
      <c r="J18" s="209">
        <f t="shared" ca="1" si="0"/>
        <v>1</v>
      </c>
      <c r="K18" s="19">
        <f ca="1">IF(I18="","",VLOOKUP(I18,'Part D Calculations'!$D$3:$G$131, 4, FALSE) * J18)</f>
        <v>720</v>
      </c>
      <c r="M18" s="209">
        <f t="shared" ca="1" si="2"/>
        <v>2017</v>
      </c>
      <c r="N18" s="232">
        <f t="shared" ca="1" si="3"/>
        <v>1</v>
      </c>
      <c r="O18" s="19">
        <f ca="1">IF(M18="","",VLOOKUP(M18,'Part D Calculations'!$I$3:$L$111,4, FALSE) * N18)</f>
        <v>720</v>
      </c>
    </row>
    <row r="19" spans="1:15" x14ac:dyDescent="0.25">
      <c r="A19" s="244"/>
      <c r="B19" s="235"/>
      <c r="C19" s="217"/>
      <c r="E19" s="257" t="str">
        <f ca="1">IF(E18="","",IF(E18="Error: Please enter a valid retirement date","","A penalty will apply"))</f>
        <v/>
      </c>
      <c r="I19" s="209">
        <f t="shared" ca="1" si="1"/>
        <v>2034</v>
      </c>
      <c r="J19" s="209">
        <f t="shared" ca="1" si="0"/>
        <v>1</v>
      </c>
      <c r="K19" s="19">
        <f ca="1">IF(I19="","",VLOOKUP(I19,'Part D Calculations'!$D$3:$G$131, 4, FALSE) * J19)</f>
        <v>720</v>
      </c>
      <c r="M19" s="209">
        <f t="shared" ca="1" si="2"/>
        <v>2018</v>
      </c>
      <c r="N19" s="232">
        <f t="shared" ca="1" si="3"/>
        <v>1</v>
      </c>
      <c r="O19" s="19">
        <f ca="1">IF(M19="","",VLOOKUP(M19,'Part D Calculations'!$I$3:$L$111,4, FALSE) * N19)</f>
        <v>720</v>
      </c>
    </row>
    <row r="20" spans="1:15" x14ac:dyDescent="0.25">
      <c r="A20" s="216" t="s">
        <v>109</v>
      </c>
      <c r="B20" s="235">
        <f ca="1">'Part D Calculations'!A8</f>
        <v>8.3333333333333329E-2</v>
      </c>
      <c r="C20" s="256" t="s">
        <v>110</v>
      </c>
      <c r="D20" s="232"/>
      <c r="G20" s="209" t="s">
        <v>75</v>
      </c>
      <c r="I20" s="209">
        <f t="shared" ca="1" si="1"/>
        <v>2035</v>
      </c>
      <c r="J20" s="209">
        <f t="shared" ca="1" si="0"/>
        <v>1</v>
      </c>
      <c r="K20" s="19">
        <f ca="1">IF(I20="","",VLOOKUP(I20,'Part D Calculations'!$D$3:$G$131, 4, FALSE) * J20)</f>
        <v>720</v>
      </c>
      <c r="M20" s="209" t="str">
        <f t="shared" ca="1" si="2"/>
        <v/>
      </c>
      <c r="N20" s="232" t="str">
        <f t="shared" ca="1" si="3"/>
        <v/>
      </c>
      <c r="O20" s="19" t="str">
        <f ca="1">IF(M20="","",VLOOKUP(M20,'Part D Calculations'!$I$3:$L$111,4, FALSE) * N20)</f>
        <v/>
      </c>
    </row>
    <row r="21" spans="1:15" x14ac:dyDescent="0.25">
      <c r="A21" s="240" t="s">
        <v>111</v>
      </c>
      <c r="B21" s="243">
        <f ca="1">IF($B$9=600,VLOOKUP(YEAR($B$1),'Part D Calculations'!D3:G132,4,FALSE)*$B$20, B20*12*Assumptions!B7)</f>
        <v>60</v>
      </c>
      <c r="C21" s="217" t="s">
        <v>110</v>
      </c>
      <c r="E21" s="258" t="str">
        <f ca="1">IF(E19="","","Number of Penalized Months:")</f>
        <v/>
      </c>
      <c r="G21" s="209" t="s">
        <v>75</v>
      </c>
      <c r="I21" s="209">
        <f t="shared" ca="1" si="1"/>
        <v>2036</v>
      </c>
      <c r="J21" s="209">
        <f t="shared" ca="1" si="0"/>
        <v>0.33333333333333331</v>
      </c>
      <c r="K21" s="19">
        <f ca="1">IF(I21="","",VLOOKUP(I21,'Part D Calculations'!$D$3:$G$131, 4, FALSE) * J21)</f>
        <v>240</v>
      </c>
      <c r="M21" s="209" t="str">
        <f t="shared" ca="1" si="2"/>
        <v/>
      </c>
      <c r="N21" s="232" t="str">
        <f t="shared" ca="1" si="3"/>
        <v/>
      </c>
      <c r="O21" s="19" t="str">
        <f ca="1">IF(M21="","",VLOOKUP(M21,'Part D Calculations'!$I$3:$L$111,4, FALSE) * N21)</f>
        <v/>
      </c>
    </row>
    <row r="22" spans="1:15" ht="13.8" thickBot="1" x14ac:dyDescent="0.3">
      <c r="A22" s="259"/>
      <c r="B22" s="260"/>
      <c r="C22" s="252"/>
      <c r="E22" s="269" t="str">
        <f ca="1">IF(E21="","",IF(B14&lt;65,12*(65-B14), "Not Applicable"))</f>
        <v/>
      </c>
      <c r="I22" s="209" t="str">
        <f t="shared" ca="1" si="1"/>
        <v/>
      </c>
      <c r="J22" s="209" t="str">
        <f t="shared" ca="1" si="0"/>
        <v/>
      </c>
      <c r="K22" s="19" t="str">
        <f ca="1">IF(I22="","",VLOOKUP(I22,'Part D Calculations'!$D$3:$G$131, 4, FALSE) * J22)</f>
        <v/>
      </c>
      <c r="M22" s="209" t="str">
        <f t="shared" ca="1" si="2"/>
        <v/>
      </c>
      <c r="N22" s="232" t="str">
        <f t="shared" ca="1" si="3"/>
        <v/>
      </c>
      <c r="O22" s="19" t="str">
        <f ca="1">IF(M22="","",VLOOKUP(M22,'Part D Calculations'!$I$3:$L$111,4, FALSE) * N22)</f>
        <v/>
      </c>
    </row>
    <row r="23" spans="1:15" x14ac:dyDescent="0.25">
      <c r="E23" s="258" t="str">
        <f ca="1">IF(E19="","","Early Retirement Penalty:")</f>
        <v/>
      </c>
      <c r="I23" s="209" t="str">
        <f t="shared" ca="1" si="1"/>
        <v/>
      </c>
      <c r="J23" s="209" t="str">
        <f t="shared" ca="1" si="0"/>
        <v/>
      </c>
      <c r="K23" s="19" t="str">
        <f ca="1">IF(I23="","",VLOOKUP(I23,'Part D Calculations'!$D$3:$G$131, 4, FALSE) * J23)</f>
        <v/>
      </c>
      <c r="M23" s="209" t="str">
        <f t="shared" ca="1" si="2"/>
        <v/>
      </c>
      <c r="N23" s="232" t="str">
        <f t="shared" ca="1" si="3"/>
        <v/>
      </c>
      <c r="O23" s="19" t="str">
        <f ca="1">IF(M23="","",VLOOKUP(M23,'Part D Calculations'!$I$3:$L$111,4, FALSE) * N23)</f>
        <v/>
      </c>
    </row>
    <row r="24" spans="1:15" x14ac:dyDescent="0.25">
      <c r="B24" s="261"/>
      <c r="E24" s="262" t="str">
        <f ca="1">IF(E23="","",IF(B14 &lt; 65, (SUM(K4:K188) + SUM(O4:O188))*((E22*(Assumptions!D7))), "Not Applicable"))</f>
        <v/>
      </c>
      <c r="I24" s="209" t="str">
        <f t="shared" ca="1" si="1"/>
        <v/>
      </c>
      <c r="J24" s="209" t="str">
        <f t="shared" ca="1" si="0"/>
        <v/>
      </c>
      <c r="K24" s="19" t="str">
        <f ca="1">IF(I24="","",VLOOKUP(I24,'Part D Calculations'!$D$3:$G$131, 4, FALSE) * J24)</f>
        <v/>
      </c>
      <c r="M24" s="209" t="str">
        <f t="shared" ca="1" si="2"/>
        <v/>
      </c>
      <c r="N24" s="232" t="str">
        <f t="shared" ca="1" si="3"/>
        <v/>
      </c>
      <c r="O24" s="19" t="str">
        <f ca="1">IF(M24="","",VLOOKUP(M24,'Part D Calculations'!$I$3:$L$111,4, FALSE) * N24)</f>
        <v/>
      </c>
    </row>
    <row r="25" spans="1:15" ht="13.8" thickBot="1" x14ac:dyDescent="0.3">
      <c r="E25" s="263"/>
      <c r="I25" s="209" t="str">
        <f t="shared" ca="1" si="1"/>
        <v/>
      </c>
      <c r="J25" s="209" t="str">
        <f t="shared" ca="1" si="0"/>
        <v/>
      </c>
      <c r="K25" s="19" t="str">
        <f ca="1">IF(I25="","",VLOOKUP(I25,'Part D Calculations'!$D$3:$G$131, 4, FALSE) * J25)</f>
        <v/>
      </c>
      <c r="M25" s="209" t="str">
        <f t="shared" ca="1" si="2"/>
        <v/>
      </c>
      <c r="N25" s="232" t="str">
        <f t="shared" ca="1" si="3"/>
        <v/>
      </c>
      <c r="O25" s="19" t="str">
        <f ca="1">IF(M25="","",VLOOKUP(M25,'Part D Calculations'!$I$3:$L$111,4, FALSE) * N25)</f>
        <v/>
      </c>
    </row>
    <row r="26" spans="1:15" x14ac:dyDescent="0.25">
      <c r="B26" s="261"/>
      <c r="E26" s="264"/>
      <c r="F26" s="231"/>
      <c r="G26" s="231"/>
      <c r="H26" s="212"/>
      <c r="I26" s="209" t="str">
        <f t="shared" ca="1" si="1"/>
        <v/>
      </c>
      <c r="J26" s="209" t="str">
        <f t="shared" ca="1" si="0"/>
        <v/>
      </c>
      <c r="K26" s="19" t="str">
        <f ca="1">IF(I26="","",VLOOKUP(I26,'Part D Calculations'!$D$3:$G$131, 4, FALSE) * J26)</f>
        <v/>
      </c>
      <c r="M26" s="209" t="str">
        <f t="shared" ca="1" si="2"/>
        <v/>
      </c>
      <c r="N26" s="232" t="str">
        <f t="shared" ca="1" si="3"/>
        <v/>
      </c>
      <c r="O26" s="19" t="str">
        <f ca="1">IF(M26="","",VLOOKUP(M26,'Part D Calculations'!$I$3:$L$111,4, FALSE) * N26)</f>
        <v/>
      </c>
    </row>
    <row r="27" spans="1:15" ht="15" x14ac:dyDescent="0.4">
      <c r="E27" s="241" t="s">
        <v>112</v>
      </c>
      <c r="F27" s="235"/>
      <c r="G27" s="265">
        <f ca="1">SUM(O4:O190) +B21</f>
        <v>11100</v>
      </c>
      <c r="H27" s="217"/>
      <c r="I27" s="209" t="str">
        <f t="shared" ca="1" si="1"/>
        <v/>
      </c>
      <c r="J27" s="209" t="str">
        <f t="shared" ca="1" si="0"/>
        <v/>
      </c>
      <c r="K27" s="19" t="str">
        <f ca="1">IF(I27="","",VLOOKUP(I27,'Part D Calculations'!$D$3:$G$131, 4, FALSE) * J27)</f>
        <v/>
      </c>
      <c r="M27" s="209" t="str">
        <f t="shared" ca="1" si="2"/>
        <v/>
      </c>
      <c r="N27" s="232" t="str">
        <f t="shared" ca="1" si="3"/>
        <v/>
      </c>
      <c r="O27" s="19" t="str">
        <f ca="1">IF(M27="","",VLOOKUP(M27,'Part D Calculations'!$I$3:$L$111,4, FALSE) * N27)</f>
        <v/>
      </c>
    </row>
    <row r="28" spans="1:15" x14ac:dyDescent="0.25">
      <c r="E28" s="244"/>
      <c r="F28" s="235"/>
      <c r="G28" s="243"/>
      <c r="H28" s="217"/>
      <c r="I28" s="209" t="str">
        <f t="shared" ca="1" si="1"/>
        <v/>
      </c>
      <c r="J28" s="209" t="str">
        <f t="shared" ca="1" si="0"/>
        <v/>
      </c>
      <c r="K28" s="19" t="str">
        <f ca="1">IF(I28="","",VLOOKUP(I28,'Part D Calculations'!$D$3:$G$131, 4, FALSE) * J28)</f>
        <v/>
      </c>
      <c r="M28" s="209" t="str">
        <f t="shared" ca="1" si="2"/>
        <v/>
      </c>
      <c r="N28" s="232" t="str">
        <f t="shared" ca="1" si="3"/>
        <v/>
      </c>
      <c r="O28" s="19" t="str">
        <f ca="1">IF(M28="","",VLOOKUP(M28,'Part D Calculations'!$I$3:$L$111,4, FALSE) * N28)</f>
        <v/>
      </c>
    </row>
    <row r="29" spans="1:15" ht="15" x14ac:dyDescent="0.4">
      <c r="B29" s="263"/>
      <c r="E29" s="241" t="s">
        <v>113</v>
      </c>
      <c r="F29" s="235"/>
      <c r="G29" s="266">
        <f ca="1">IF(AND(B14&gt;65,B14&lt;70), SUM(K4:K188) + SUM(O4:O188), IF(AND(B14&gt;55,B14&lt;65), SUM(K4:K188) + SUM(O4:O188) -E24, "See Error Message"))</f>
        <v>23520</v>
      </c>
      <c r="H29" s="217"/>
      <c r="I29" s="209" t="str">
        <f t="shared" ca="1" si="1"/>
        <v/>
      </c>
      <c r="J29" s="209" t="str">
        <f ca="1">IF(I29="","",IF($B$6-DATE(I29-1,12,31) &gt; 365.25, 1, ROUNDDOWN(12*($B$6-DATE(I29-1,12,31))/365.25,0)/12))</f>
        <v/>
      </c>
      <c r="K29" s="19" t="str">
        <f ca="1">IF(I29="","",VLOOKUP(I29,'Part D Calculations'!$D$3:$G$131, 4, FALSE) * J29)</f>
        <v/>
      </c>
      <c r="M29" s="209" t="str">
        <f t="shared" ca="1" si="2"/>
        <v/>
      </c>
      <c r="N29" s="232" t="str">
        <f t="shared" ca="1" si="3"/>
        <v/>
      </c>
      <c r="O29" s="19" t="str">
        <f ca="1">IF(M29="","",VLOOKUP(M29,'Part D Calculations'!$I$3:$L$111,4, FALSE) * N29)</f>
        <v/>
      </c>
    </row>
    <row r="30" spans="1:15" ht="13.8" thickBot="1" x14ac:dyDescent="0.3">
      <c r="E30" s="267"/>
      <c r="F30" s="260"/>
      <c r="G30" s="260"/>
      <c r="H30" s="252"/>
      <c r="I30" s="209" t="str">
        <f t="shared" ca="1" si="1"/>
        <v/>
      </c>
      <c r="J30" s="209" t="str">
        <f t="shared" ca="1" si="0"/>
        <v/>
      </c>
      <c r="K30" s="19" t="str">
        <f ca="1">IF(I30="","",VLOOKUP(I30,'Part D Calculations'!$D$3:$G$131, 4, FALSE) * J30)</f>
        <v/>
      </c>
      <c r="M30" s="209" t="str">
        <f t="shared" ca="1" si="2"/>
        <v/>
      </c>
      <c r="N30" s="232" t="str">
        <f t="shared" ca="1" si="3"/>
        <v/>
      </c>
      <c r="O30" s="19" t="str">
        <f ca="1">IF(M30="","",VLOOKUP(M30,'Part D Calculations'!$I$3:$L$111,4, FALSE) * N30)</f>
        <v/>
      </c>
    </row>
    <row r="31" spans="1:15" x14ac:dyDescent="0.25">
      <c r="B31" s="261"/>
      <c r="E31" s="210"/>
      <c r="I31" s="209" t="str">
        <f t="shared" ca="1" si="1"/>
        <v/>
      </c>
      <c r="J31" s="209" t="str">
        <f t="shared" ca="1" si="0"/>
        <v/>
      </c>
      <c r="K31" s="19" t="str">
        <f ca="1">IF(I31="","",VLOOKUP(I31,'Part D Calculations'!$D$3:$G$131, 4, FALSE) * J31)</f>
        <v/>
      </c>
      <c r="M31" s="209" t="str">
        <f t="shared" ca="1" si="2"/>
        <v/>
      </c>
      <c r="N31" s="232" t="str">
        <f t="shared" ca="1" si="3"/>
        <v/>
      </c>
      <c r="O31" s="19" t="str">
        <f ca="1">IF(M31="","",VLOOKUP(M31,'Part D Calculations'!$I$3:$L$111,4, FALSE) * N31)</f>
        <v/>
      </c>
    </row>
    <row r="32" spans="1:15" x14ac:dyDescent="0.25">
      <c r="E32" s="268" t="s">
        <v>114</v>
      </c>
      <c r="I32" s="209" t="str">
        <f t="shared" ca="1" si="1"/>
        <v/>
      </c>
      <c r="J32" s="209" t="str">
        <f t="shared" ca="1" si="0"/>
        <v/>
      </c>
      <c r="K32" s="19" t="str">
        <f ca="1">IF(I32="","",VLOOKUP(I32,'Part D Calculations'!$D$3:$G$131, 4, FALSE) * J32)</f>
        <v/>
      </c>
      <c r="M32" s="209" t="str">
        <f t="shared" ca="1" si="2"/>
        <v/>
      </c>
      <c r="N32" s="232" t="str">
        <f t="shared" ca="1" si="3"/>
        <v/>
      </c>
      <c r="O32" s="19" t="str">
        <f ca="1">IF(M32="","",VLOOKUP(M32,'Part D Calculations'!$I$3:$L$111,4, FALSE) * N32)</f>
        <v/>
      </c>
    </row>
    <row r="33" spans="1:15" x14ac:dyDescent="0.25">
      <c r="I33" s="209" t="str">
        <f t="shared" ca="1" si="1"/>
        <v/>
      </c>
      <c r="J33" s="209" t="str">
        <f t="shared" ca="1" si="0"/>
        <v/>
      </c>
      <c r="K33" s="19" t="str">
        <f ca="1">IF(I33="","",VLOOKUP(I33,'Part D Calculations'!$D$3:$G$131, 4, FALSE) * J33)</f>
        <v/>
      </c>
      <c r="M33" s="209" t="str">
        <f t="shared" ca="1" si="2"/>
        <v/>
      </c>
      <c r="N33" s="232" t="str">
        <f t="shared" ca="1" si="3"/>
        <v/>
      </c>
      <c r="O33" s="19" t="str">
        <f ca="1">IF(M33="","",VLOOKUP(M33,'Part D Calculations'!$I$3:$L$111,4, FALSE) * N33)</f>
        <v/>
      </c>
    </row>
    <row r="34" spans="1:15" x14ac:dyDescent="0.25">
      <c r="E34" s="232"/>
      <c r="I34" s="209" t="str">
        <f t="shared" ca="1" si="1"/>
        <v/>
      </c>
      <c r="J34" s="209" t="str">
        <f t="shared" ca="1" si="0"/>
        <v/>
      </c>
      <c r="K34" s="19" t="str">
        <f ca="1">IF(I34="","",VLOOKUP(I34,'Part D Calculations'!$D$3:$G$131, 4, FALSE) * J34)</f>
        <v/>
      </c>
      <c r="M34" s="209" t="str">
        <f t="shared" ca="1" si="2"/>
        <v/>
      </c>
      <c r="N34" s="232" t="str">
        <f t="shared" ca="1" si="3"/>
        <v/>
      </c>
      <c r="O34" s="19" t="str">
        <f ca="1">IF(M34="","",VLOOKUP(M34,'Part D Calculations'!$I$3:$L$111,4, FALSE) * N34)</f>
        <v/>
      </c>
    </row>
    <row r="35" spans="1:15" x14ac:dyDescent="0.25">
      <c r="A35" s="209" t="str">
        <f ca="1">IF(MOD(YEAR(TODAY())-2016,4)=0, 29,"")</f>
        <v/>
      </c>
      <c r="I35" s="209" t="str">
        <f t="shared" ca="1" si="1"/>
        <v/>
      </c>
      <c r="J35" s="209" t="str">
        <f t="shared" ca="1" si="0"/>
        <v/>
      </c>
      <c r="K35" s="19" t="str">
        <f ca="1">IF(I35="","",VLOOKUP(I35,'Part D Calculations'!$D$3:$G$131, 4, FALSE) * J35)</f>
        <v/>
      </c>
      <c r="M35" s="209" t="str">
        <f t="shared" ca="1" si="2"/>
        <v/>
      </c>
      <c r="N35" s="232" t="str">
        <f t="shared" ca="1" si="3"/>
        <v/>
      </c>
      <c r="O35" s="19" t="str">
        <f ca="1">IF(M35="","",VLOOKUP(M35,'Part D Calculations'!$I$3:$L$111,4, FALSE) * N35)</f>
        <v/>
      </c>
    </row>
    <row r="36" spans="1:15" x14ac:dyDescent="0.25">
      <c r="I36" s="209" t="str">
        <f t="shared" ca="1" si="1"/>
        <v/>
      </c>
      <c r="J36" s="209" t="str">
        <f t="shared" ca="1" si="0"/>
        <v/>
      </c>
      <c r="K36" s="19" t="str">
        <f ca="1">IF(I36="","",VLOOKUP(I36,'Part D Calculations'!$D$3:$G$131, 4, FALSE) * J36)</f>
        <v/>
      </c>
      <c r="M36" s="209" t="str">
        <f t="shared" ca="1" si="2"/>
        <v/>
      </c>
      <c r="N36" s="232" t="str">
        <f t="shared" ca="1" si="3"/>
        <v/>
      </c>
      <c r="O36" s="19" t="str">
        <f ca="1">IF(M36="","",VLOOKUP(M36,'Part D Calculations'!$I$3:$L$111,4, FALSE) * N36)</f>
        <v/>
      </c>
    </row>
    <row r="37" spans="1:15" x14ac:dyDescent="0.25">
      <c r="I37" s="209" t="str">
        <f t="shared" ca="1" si="1"/>
        <v/>
      </c>
      <c r="J37" s="209" t="str">
        <f t="shared" ca="1" si="0"/>
        <v/>
      </c>
      <c r="K37" s="19" t="str">
        <f ca="1">IF(I37="","",VLOOKUP(I37,'Part D Calculations'!$D$3:$G$131, 4, FALSE) * J37)</f>
        <v/>
      </c>
      <c r="M37" s="209" t="str">
        <f t="shared" ca="1" si="2"/>
        <v/>
      </c>
      <c r="N37" s="232" t="str">
        <f t="shared" ca="1" si="3"/>
        <v/>
      </c>
      <c r="O37" s="19" t="str">
        <f ca="1">IF(M37="","",VLOOKUP(M37,'Part D Calculations'!$I$3:$L$111,4, FALSE) * N37)</f>
        <v/>
      </c>
    </row>
    <row r="38" spans="1:15" x14ac:dyDescent="0.25">
      <c r="I38" s="209" t="str">
        <f t="shared" ca="1" si="1"/>
        <v/>
      </c>
      <c r="J38" s="209" t="str">
        <f t="shared" ca="1" si="0"/>
        <v/>
      </c>
      <c r="K38" s="19" t="str">
        <f ca="1">IF(I38="","",VLOOKUP(I38,'Part D Calculations'!$D$3:$G$131, 4, FALSE) * J38)</f>
        <v/>
      </c>
      <c r="M38" s="209" t="str">
        <f t="shared" ca="1" si="2"/>
        <v/>
      </c>
      <c r="N38" s="232" t="str">
        <f t="shared" ca="1" si="3"/>
        <v/>
      </c>
      <c r="O38" s="19" t="str">
        <f ca="1">IF(M38="","",VLOOKUP(M38,'Part D Calculations'!$I$3:$L$111,4, FALSE) * N38)</f>
        <v/>
      </c>
    </row>
    <row r="39" spans="1:15" x14ac:dyDescent="0.25">
      <c r="I39" s="209" t="str">
        <f t="shared" ca="1" si="1"/>
        <v/>
      </c>
      <c r="J39" s="209" t="str">
        <f t="shared" ca="1" si="0"/>
        <v/>
      </c>
      <c r="K39" s="19" t="str">
        <f ca="1">IF(I39="","",VLOOKUP(I39,'Part D Calculations'!$D$3:$G$131, 4, FALSE) * J39)</f>
        <v/>
      </c>
      <c r="M39" s="209" t="str">
        <f t="shared" ca="1" si="2"/>
        <v/>
      </c>
      <c r="N39" s="232" t="str">
        <f t="shared" ca="1" si="3"/>
        <v/>
      </c>
      <c r="O39" s="19" t="str">
        <f ca="1">IF(M39="","",VLOOKUP(M39,'Part D Calculations'!$I$3:$L$111,4, FALSE) * N39)</f>
        <v/>
      </c>
    </row>
    <row r="40" spans="1:15" x14ac:dyDescent="0.25">
      <c r="I40" s="209" t="str">
        <f t="shared" ca="1" si="1"/>
        <v/>
      </c>
      <c r="J40" s="209" t="str">
        <f t="shared" ca="1" si="0"/>
        <v/>
      </c>
      <c r="K40" s="19" t="str">
        <f ca="1">IF(I40="","",VLOOKUP(I40,'Part D Calculations'!$D$3:$G$131, 4, FALSE) * J40)</f>
        <v/>
      </c>
      <c r="M40" s="209" t="str">
        <f t="shared" ca="1" si="2"/>
        <v/>
      </c>
      <c r="N40" s="232" t="str">
        <f t="shared" ca="1" si="3"/>
        <v/>
      </c>
      <c r="O40" s="19" t="str">
        <f ca="1">IF(M40="","",VLOOKUP(M40,'Part D Calculations'!$I$3:$L$111,4, FALSE) * N40)</f>
        <v/>
      </c>
    </row>
    <row r="41" spans="1:15" x14ac:dyDescent="0.25">
      <c r="I41" s="209" t="str">
        <f t="shared" ca="1" si="1"/>
        <v/>
      </c>
      <c r="J41" s="209" t="str">
        <f t="shared" ca="1" si="0"/>
        <v/>
      </c>
      <c r="K41" s="19" t="str">
        <f ca="1">IF(I41="","",VLOOKUP(I41,'Part D Calculations'!$D$3:$G$131, 4, FALSE) * J41)</f>
        <v/>
      </c>
      <c r="M41" s="209" t="str">
        <f t="shared" ca="1" si="2"/>
        <v/>
      </c>
      <c r="N41" s="232" t="str">
        <f t="shared" ca="1" si="3"/>
        <v/>
      </c>
      <c r="O41" s="19" t="str">
        <f ca="1">IF(M41="","",VLOOKUP(M41,'Part D Calculations'!$I$3:$L$111,4, FALSE) * N41)</f>
        <v/>
      </c>
    </row>
    <row r="42" spans="1:15" x14ac:dyDescent="0.25">
      <c r="I42" s="209" t="str">
        <f t="shared" ca="1" si="1"/>
        <v/>
      </c>
      <c r="J42" s="209" t="str">
        <f t="shared" ca="1" si="0"/>
        <v/>
      </c>
      <c r="K42" s="19" t="str">
        <f ca="1">IF(I42="","",VLOOKUP(I42,'Part D Calculations'!$D$3:$G$131, 4, FALSE) * J42)</f>
        <v/>
      </c>
      <c r="M42" s="209" t="str">
        <f t="shared" ca="1" si="2"/>
        <v/>
      </c>
      <c r="N42" s="232" t="str">
        <f t="shared" ca="1" si="3"/>
        <v/>
      </c>
      <c r="O42" s="19" t="str">
        <f ca="1">IF(M42="","",VLOOKUP(M42,'Part D Calculations'!$I$3:$L$111,4, FALSE) * N42)</f>
        <v/>
      </c>
    </row>
    <row r="43" spans="1:15" x14ac:dyDescent="0.25">
      <c r="I43" s="209" t="str">
        <f t="shared" ca="1" si="1"/>
        <v/>
      </c>
      <c r="J43" s="209" t="str">
        <f t="shared" ca="1" si="0"/>
        <v/>
      </c>
      <c r="K43" s="19" t="str">
        <f ca="1">IF(I43="","",VLOOKUP(I43,'Part D Calculations'!$D$3:$G$131, 4, FALSE) * J43)</f>
        <v/>
      </c>
      <c r="M43" s="209" t="str">
        <f t="shared" ca="1" si="2"/>
        <v/>
      </c>
      <c r="N43" s="232" t="str">
        <f t="shared" ca="1" si="3"/>
        <v/>
      </c>
      <c r="O43" s="19" t="str">
        <f ca="1">IF(M43="","",VLOOKUP(M43,'Part D Calculations'!$I$3:$L$111,4, FALSE) * N43)</f>
        <v/>
      </c>
    </row>
    <row r="44" spans="1:15" x14ac:dyDescent="0.25">
      <c r="I44" s="209" t="str">
        <f t="shared" ca="1" si="1"/>
        <v/>
      </c>
      <c r="J44" s="209" t="str">
        <f t="shared" ca="1" si="0"/>
        <v/>
      </c>
      <c r="K44" s="19" t="str">
        <f ca="1">IF(I44="","",VLOOKUP(I44,'Part D Calculations'!$D$3:$G$131, 4, FALSE) * J44)</f>
        <v/>
      </c>
      <c r="M44" s="209" t="str">
        <f t="shared" ca="1" si="2"/>
        <v/>
      </c>
      <c r="N44" s="232" t="str">
        <f t="shared" ca="1" si="3"/>
        <v/>
      </c>
      <c r="O44" s="19" t="str">
        <f ca="1">IF(M44="","",VLOOKUP(M44,'Part D Calculations'!$I$3:$L$111,4, FALSE) * N44)</f>
        <v/>
      </c>
    </row>
    <row r="45" spans="1:15" x14ac:dyDescent="0.25">
      <c r="I45" s="209" t="str">
        <f t="shared" ca="1" si="1"/>
        <v/>
      </c>
      <c r="J45" s="209" t="str">
        <f t="shared" ca="1" si="0"/>
        <v/>
      </c>
      <c r="K45" s="19" t="str">
        <f ca="1">IF(I45="","",VLOOKUP(I45,'Part D Calculations'!$D$3:$G$131, 4, FALSE) * J45)</f>
        <v/>
      </c>
      <c r="M45" s="209" t="str">
        <f t="shared" ca="1" si="2"/>
        <v/>
      </c>
      <c r="N45" s="232" t="str">
        <f t="shared" ca="1" si="3"/>
        <v/>
      </c>
      <c r="O45" s="19" t="str">
        <f ca="1">IF(M45="","",VLOOKUP(M45,'Part D Calculations'!$I$3:$L$111,4, FALSE) * N45)</f>
        <v/>
      </c>
    </row>
    <row r="46" spans="1:15" x14ac:dyDescent="0.25">
      <c r="I46" s="209" t="str">
        <f t="shared" ca="1" si="1"/>
        <v/>
      </c>
      <c r="J46" s="209" t="str">
        <f t="shared" ca="1" si="0"/>
        <v/>
      </c>
      <c r="K46" s="19" t="str">
        <f ca="1">IF(I46="","",VLOOKUP(I46,'Part D Calculations'!$D$3:$G$131, 4, FALSE) * J46)</f>
        <v/>
      </c>
      <c r="M46" s="209" t="str">
        <f t="shared" ca="1" si="2"/>
        <v/>
      </c>
      <c r="N46" s="232" t="str">
        <f t="shared" ca="1" si="3"/>
        <v/>
      </c>
      <c r="O46" s="19" t="str">
        <f ca="1">IF(M46="","",VLOOKUP(M46,'Part D Calculations'!$I$3:$L$111,4, FALSE) * N46)</f>
        <v/>
      </c>
    </row>
    <row r="47" spans="1:15" x14ac:dyDescent="0.25">
      <c r="I47" s="209" t="str">
        <f t="shared" ca="1" si="1"/>
        <v/>
      </c>
      <c r="J47" s="209" t="str">
        <f t="shared" ca="1" si="0"/>
        <v/>
      </c>
      <c r="K47" s="19" t="str">
        <f ca="1">IF(I47="","",VLOOKUP(I47,'Part D Calculations'!$D$3:$G$131, 4, FALSE) * J47)</f>
        <v/>
      </c>
      <c r="M47" s="209" t="str">
        <f t="shared" ca="1" si="2"/>
        <v/>
      </c>
      <c r="N47" s="232" t="str">
        <f t="shared" ca="1" si="3"/>
        <v/>
      </c>
      <c r="O47" s="19" t="str">
        <f ca="1">IF(M47="","",VLOOKUP(M47,'Part D Calculations'!$I$3:$L$111,4, FALSE) * N47)</f>
        <v/>
      </c>
    </row>
    <row r="48" spans="1:15" x14ac:dyDescent="0.25">
      <c r="I48" s="209" t="str">
        <f t="shared" ca="1" si="1"/>
        <v/>
      </c>
      <c r="J48" s="209" t="str">
        <f t="shared" ca="1" si="0"/>
        <v/>
      </c>
      <c r="K48" s="19" t="str">
        <f ca="1">IF(I48="","",VLOOKUP(I48,'Part D Calculations'!$D$3:$G$131, 4, FALSE) * J48)</f>
        <v/>
      </c>
      <c r="M48" s="209" t="str">
        <f t="shared" ca="1" si="2"/>
        <v/>
      </c>
      <c r="N48" s="232" t="str">
        <f t="shared" ca="1" si="3"/>
        <v/>
      </c>
      <c r="O48" s="19" t="str">
        <f ca="1">IF(M48="","",VLOOKUP(M48,'Part D Calculations'!$I$3:$L$111,4, FALSE) * N48)</f>
        <v/>
      </c>
    </row>
    <row r="49" spans="9:15" x14ac:dyDescent="0.25">
      <c r="I49" s="209" t="str">
        <f t="shared" ca="1" si="1"/>
        <v/>
      </c>
      <c r="J49" s="209" t="str">
        <f t="shared" ca="1" si="0"/>
        <v/>
      </c>
      <c r="K49" s="19" t="str">
        <f ca="1">IF(I49="","",VLOOKUP(I49,'Part D Calculations'!$D$3:$G$131, 4, FALSE) * J49)</f>
        <v/>
      </c>
      <c r="M49" s="209" t="str">
        <f t="shared" ca="1" si="2"/>
        <v/>
      </c>
      <c r="N49" s="232" t="str">
        <f t="shared" ca="1" si="3"/>
        <v/>
      </c>
      <c r="O49" s="19" t="str">
        <f ca="1">IF(M49="","",VLOOKUP(M49,'Part D Calculations'!$I$3:$L$111,4, FALSE) * N49)</f>
        <v/>
      </c>
    </row>
    <row r="50" spans="9:15" x14ac:dyDescent="0.25">
      <c r="I50" s="209" t="str">
        <f t="shared" ca="1" si="1"/>
        <v/>
      </c>
      <c r="J50" s="209" t="str">
        <f t="shared" ca="1" si="0"/>
        <v/>
      </c>
      <c r="K50" s="19" t="str">
        <f ca="1">IF(I50="","",VLOOKUP(I50,'Part D Calculations'!$D$3:$G$131, 4, FALSE) * J50)</f>
        <v/>
      </c>
      <c r="M50" s="209" t="str">
        <f t="shared" ca="1" si="2"/>
        <v/>
      </c>
      <c r="N50" s="232" t="str">
        <f t="shared" ca="1" si="3"/>
        <v/>
      </c>
      <c r="O50" s="19" t="str">
        <f ca="1">IF(M50="","",VLOOKUP(M50,'Part D Calculations'!$I$3:$L$111,4, FALSE) * N50)</f>
        <v/>
      </c>
    </row>
    <row r="51" spans="9:15" x14ac:dyDescent="0.25">
      <c r="I51" s="209" t="str">
        <f t="shared" ca="1" si="1"/>
        <v/>
      </c>
      <c r="J51" s="209" t="str">
        <f t="shared" ca="1" si="0"/>
        <v/>
      </c>
      <c r="K51" s="19" t="str">
        <f ca="1">IF(I51="","",VLOOKUP(I51,'Part D Calculations'!$D$3:$G$131, 4, FALSE) * J51)</f>
        <v/>
      </c>
      <c r="M51" s="209" t="str">
        <f t="shared" ca="1" si="2"/>
        <v/>
      </c>
      <c r="N51" s="232" t="str">
        <f t="shared" ca="1" si="3"/>
        <v/>
      </c>
      <c r="O51" s="19" t="str">
        <f ca="1">IF(M51="","",VLOOKUP(M51,'Part D Calculations'!$I$3:$L$111,4, FALSE) * N51)</f>
        <v/>
      </c>
    </row>
    <row r="52" spans="9:15" x14ac:dyDescent="0.25">
      <c r="I52" s="209" t="str">
        <f t="shared" ca="1" si="1"/>
        <v/>
      </c>
      <c r="J52" s="209" t="str">
        <f t="shared" ca="1" si="0"/>
        <v/>
      </c>
      <c r="K52" s="19" t="str">
        <f ca="1">IF(I52="","",VLOOKUP(I52,'Part D Calculations'!$D$3:$G$131, 4, FALSE) * J52)</f>
        <v/>
      </c>
      <c r="M52" s="209" t="str">
        <f t="shared" ca="1" si="2"/>
        <v/>
      </c>
      <c r="N52" s="232" t="str">
        <f t="shared" ca="1" si="3"/>
        <v/>
      </c>
      <c r="O52" s="19" t="str">
        <f ca="1">IF(M52="","",VLOOKUP(M52,'Part D Calculations'!$I$3:$L$111,4, FALSE) * N52)</f>
        <v/>
      </c>
    </row>
    <row r="53" spans="9:15" x14ac:dyDescent="0.25">
      <c r="I53" s="209" t="str">
        <f t="shared" ca="1" si="1"/>
        <v/>
      </c>
      <c r="J53" s="209" t="str">
        <f t="shared" ca="1" si="0"/>
        <v/>
      </c>
      <c r="K53" s="19" t="str">
        <f ca="1">IF(I53="","",VLOOKUP(I53,'Part D Calculations'!$D$3:$G$131, 4, FALSE) * J53)</f>
        <v/>
      </c>
      <c r="M53" s="209" t="str">
        <f t="shared" ca="1" si="2"/>
        <v/>
      </c>
      <c r="N53" s="232" t="str">
        <f t="shared" ca="1" si="3"/>
        <v/>
      </c>
      <c r="O53" s="19" t="str">
        <f ca="1">IF(M53="","",VLOOKUP(M53,'Part D Calculations'!$I$3:$L$111,4, FALSE) * N53)</f>
        <v/>
      </c>
    </row>
    <row r="54" spans="9:15" x14ac:dyDescent="0.25">
      <c r="I54" s="209" t="str">
        <f t="shared" ca="1" si="1"/>
        <v/>
      </c>
      <c r="J54" s="209" t="str">
        <f t="shared" ca="1" si="0"/>
        <v/>
      </c>
      <c r="K54" s="19" t="str">
        <f ca="1">IF(I54="","",VLOOKUP(I54,'Part D Calculations'!$D$3:$G$131, 4, FALSE) * J54)</f>
        <v/>
      </c>
      <c r="M54" s="209" t="str">
        <f t="shared" ca="1" si="2"/>
        <v/>
      </c>
      <c r="N54" s="232" t="str">
        <f t="shared" ca="1" si="3"/>
        <v/>
      </c>
      <c r="O54" s="19" t="str">
        <f ca="1">IF(M54="","",VLOOKUP(M54,'Part D Calculations'!$I$3:$L$111,4, FALSE) * N54)</f>
        <v/>
      </c>
    </row>
    <row r="55" spans="9:15" x14ac:dyDescent="0.25">
      <c r="I55" s="209" t="str">
        <f t="shared" ca="1" si="1"/>
        <v/>
      </c>
      <c r="J55" s="209" t="str">
        <f t="shared" ca="1" si="0"/>
        <v/>
      </c>
      <c r="K55" s="19" t="str">
        <f ca="1">IF(I55="","",VLOOKUP(I55,'Part D Calculations'!$D$3:$G$131, 4, FALSE) * J55)</f>
        <v/>
      </c>
      <c r="M55" s="209" t="str">
        <f t="shared" ca="1" si="2"/>
        <v/>
      </c>
      <c r="N55" s="232" t="str">
        <f t="shared" ca="1" si="3"/>
        <v/>
      </c>
      <c r="O55" s="19" t="str">
        <f ca="1">IF(M55="","",VLOOKUP(M55,'Part D Calculations'!$I$3:$L$111,4, FALSE) * N55)</f>
        <v/>
      </c>
    </row>
    <row r="56" spans="9:15" x14ac:dyDescent="0.25">
      <c r="I56" s="209" t="str">
        <f t="shared" ca="1" si="1"/>
        <v/>
      </c>
      <c r="J56" s="209" t="str">
        <f t="shared" ca="1" si="0"/>
        <v/>
      </c>
      <c r="K56" s="19" t="str">
        <f ca="1">IF(I56="","",VLOOKUP(I56,'Part D Calculations'!$D$3:$G$131, 4, FALSE) * J56)</f>
        <v/>
      </c>
      <c r="M56" s="209" t="str">
        <f t="shared" ca="1" si="2"/>
        <v/>
      </c>
      <c r="N56" s="232" t="str">
        <f t="shared" ca="1" si="3"/>
        <v/>
      </c>
      <c r="O56" s="19" t="str">
        <f ca="1">IF(M56="","",VLOOKUP(M56,'Part D Calculations'!$I$3:$L$111,4, FALSE) * N56)</f>
        <v/>
      </c>
    </row>
    <row r="57" spans="9:15" x14ac:dyDescent="0.25">
      <c r="I57" s="209" t="str">
        <f t="shared" ca="1" si="1"/>
        <v/>
      </c>
      <c r="J57" s="209" t="str">
        <f t="shared" ca="1" si="0"/>
        <v/>
      </c>
      <c r="K57" s="19" t="str">
        <f ca="1">IF(I57="","",VLOOKUP(I57,'Part D Calculations'!$D$3:$G$131, 4, FALSE) * J57)</f>
        <v/>
      </c>
      <c r="M57" s="209" t="str">
        <f t="shared" ca="1" si="2"/>
        <v/>
      </c>
      <c r="N57" s="232" t="str">
        <f t="shared" ca="1" si="3"/>
        <v/>
      </c>
      <c r="O57" s="19" t="str">
        <f ca="1">IF(M57="","",VLOOKUP(M57,'Part D Calculations'!$I$3:$L$111,4, FALSE) * N57)</f>
        <v/>
      </c>
    </row>
    <row r="58" spans="9:15" x14ac:dyDescent="0.25">
      <c r="I58" s="209" t="str">
        <f t="shared" ca="1" si="1"/>
        <v/>
      </c>
      <c r="J58" s="209" t="str">
        <f t="shared" ca="1" si="0"/>
        <v/>
      </c>
      <c r="K58" s="19" t="str">
        <f ca="1">IF(I58="","",VLOOKUP(I58,'Part D Calculations'!$D$3:$G$131, 4, FALSE) * J58)</f>
        <v/>
      </c>
      <c r="M58" s="209" t="str">
        <f t="shared" ca="1" si="2"/>
        <v/>
      </c>
      <c r="N58" s="232" t="str">
        <f t="shared" ca="1" si="3"/>
        <v/>
      </c>
      <c r="O58" s="19" t="str">
        <f ca="1">IF(M58="","",VLOOKUP(M58,'Part D Calculations'!$I$3:$L$111,4, FALSE) * N58)</f>
        <v/>
      </c>
    </row>
    <row r="59" spans="9:15" x14ac:dyDescent="0.25">
      <c r="I59" s="209" t="str">
        <f t="shared" ca="1" si="1"/>
        <v/>
      </c>
      <c r="J59" s="209" t="str">
        <f t="shared" ca="1" si="0"/>
        <v/>
      </c>
      <c r="K59" s="19" t="str">
        <f ca="1">IF(I59="","",VLOOKUP(I59,'Part D Calculations'!$D$3:$G$131, 4, FALSE) * J59)</f>
        <v/>
      </c>
      <c r="M59" s="209" t="str">
        <f t="shared" ca="1" si="2"/>
        <v/>
      </c>
      <c r="N59" s="232" t="str">
        <f t="shared" ca="1" si="3"/>
        <v/>
      </c>
      <c r="O59" s="19" t="str">
        <f ca="1">IF(M59="","",VLOOKUP(M59,'Part D Calculations'!$I$3:$L$111,4, FALSE) * N59)</f>
        <v/>
      </c>
    </row>
    <row r="60" spans="9:15" x14ac:dyDescent="0.25">
      <c r="I60" s="209" t="str">
        <f t="shared" ca="1" si="1"/>
        <v/>
      </c>
      <c r="J60" s="209" t="str">
        <f t="shared" ca="1" si="0"/>
        <v/>
      </c>
      <c r="K60" s="19" t="str">
        <f ca="1">IF(I60="","",VLOOKUP(I60,'Part D Calculations'!$D$3:$G$131, 4, FALSE) * J60)</f>
        <v/>
      </c>
      <c r="M60" s="209" t="str">
        <f t="shared" ca="1" si="2"/>
        <v/>
      </c>
      <c r="N60" s="232" t="str">
        <f t="shared" ca="1" si="3"/>
        <v/>
      </c>
      <c r="O60" s="19" t="str">
        <f ca="1">IF(M60="","",VLOOKUP(M60,'Part D Calculations'!$I$3:$L$111,4, FALSE) * N60)</f>
        <v/>
      </c>
    </row>
    <row r="61" spans="9:15" x14ac:dyDescent="0.25">
      <c r="I61" s="209" t="str">
        <f t="shared" ca="1" si="1"/>
        <v/>
      </c>
      <c r="J61" s="209" t="str">
        <f t="shared" ca="1" si="0"/>
        <v/>
      </c>
      <c r="K61" s="19" t="str">
        <f ca="1">IF(I61="","",VLOOKUP(I61,'Part D Calculations'!$D$3:$G$131, 4, FALSE) * J61)</f>
        <v/>
      </c>
      <c r="M61" s="209" t="str">
        <f t="shared" ca="1" si="2"/>
        <v/>
      </c>
      <c r="N61" s="232" t="str">
        <f t="shared" ca="1" si="3"/>
        <v/>
      </c>
      <c r="O61" s="19" t="str">
        <f ca="1">IF(M61="","",VLOOKUP(M61,'Part D Calculations'!$I$3:$L$111,4, FALSE) * N61)</f>
        <v/>
      </c>
    </row>
    <row r="62" spans="9:15" x14ac:dyDescent="0.25">
      <c r="I62" s="209" t="str">
        <f t="shared" ca="1" si="1"/>
        <v/>
      </c>
      <c r="J62" s="209" t="str">
        <f t="shared" ca="1" si="0"/>
        <v/>
      </c>
      <c r="K62" s="19" t="str">
        <f ca="1">IF(I62="","",VLOOKUP(I62,'Part D Calculations'!$D$3:$G$131, 4, FALSE) * J62)</f>
        <v/>
      </c>
      <c r="M62" s="209" t="str">
        <f t="shared" ca="1" si="2"/>
        <v/>
      </c>
      <c r="N62" s="232" t="str">
        <f t="shared" ca="1" si="3"/>
        <v/>
      </c>
      <c r="O62" s="19" t="str">
        <f ca="1">IF(M62="","",VLOOKUP(M62,'Part D Calculations'!$I$3:$L$111,4, FALSE) * N62)</f>
        <v/>
      </c>
    </row>
    <row r="63" spans="9:15" x14ac:dyDescent="0.25">
      <c r="I63" s="209" t="str">
        <f t="shared" ca="1" si="1"/>
        <v/>
      </c>
      <c r="J63" s="209" t="str">
        <f t="shared" ca="1" si="0"/>
        <v/>
      </c>
      <c r="K63" s="19" t="str">
        <f ca="1">IF(I63="","",VLOOKUP(I63,'Part D Calculations'!$D$3:$G$131, 4, FALSE) * J63)</f>
        <v/>
      </c>
      <c r="M63" s="209" t="str">
        <f t="shared" ca="1" si="2"/>
        <v/>
      </c>
      <c r="N63" s="232" t="str">
        <f t="shared" ca="1" si="3"/>
        <v/>
      </c>
      <c r="O63" s="19" t="str">
        <f ca="1">IF(M63="","",VLOOKUP(M63,'Part D Calculations'!$I$3:$L$111,4, FALSE) * N63)</f>
        <v/>
      </c>
    </row>
    <row r="64" spans="9:15" x14ac:dyDescent="0.25">
      <c r="I64" s="209" t="str">
        <f t="shared" ca="1" si="1"/>
        <v/>
      </c>
      <c r="J64" s="209" t="str">
        <f t="shared" ca="1" si="0"/>
        <v/>
      </c>
      <c r="K64" s="19" t="str">
        <f ca="1">IF(I64="","",VLOOKUP(I64,'Part D Calculations'!$D$3:$G$131, 4, FALSE) * J64)</f>
        <v/>
      </c>
      <c r="M64" s="209" t="str">
        <f t="shared" ca="1" si="2"/>
        <v/>
      </c>
      <c r="N64" s="232" t="str">
        <f t="shared" ca="1" si="3"/>
        <v/>
      </c>
      <c r="O64" s="19" t="str">
        <f ca="1">IF(M64="","",VLOOKUP(M64,'Part D Calculations'!$I$3:$L$111,4, FALSE) * N64)</f>
        <v/>
      </c>
    </row>
    <row r="65" spans="9:15" x14ac:dyDescent="0.25">
      <c r="I65" s="209" t="str">
        <f t="shared" ca="1" si="1"/>
        <v/>
      </c>
      <c r="J65" s="209" t="str">
        <f t="shared" ca="1" si="0"/>
        <v/>
      </c>
      <c r="K65" s="19" t="str">
        <f ca="1">IF(I65="","",VLOOKUP(I65,'Part D Calculations'!$D$3:$G$131, 4, FALSE) * J65)</f>
        <v/>
      </c>
      <c r="M65" s="209" t="str">
        <f t="shared" ca="1" si="2"/>
        <v/>
      </c>
      <c r="N65" s="232" t="str">
        <f t="shared" ca="1" si="3"/>
        <v/>
      </c>
      <c r="O65" s="19" t="str">
        <f ca="1">IF(M65="","",VLOOKUP(M65,'Part D Calculations'!$I$3:$L$111,4, FALSE) * N65)</f>
        <v/>
      </c>
    </row>
    <row r="66" spans="9:15" x14ac:dyDescent="0.25">
      <c r="I66" s="209" t="str">
        <f t="shared" ca="1" si="1"/>
        <v/>
      </c>
      <c r="J66" s="209" t="str">
        <f t="shared" ca="1" si="0"/>
        <v/>
      </c>
      <c r="K66" s="19" t="str">
        <f ca="1">IF(I66="","",VLOOKUP(I66,'Part D Calculations'!$D$3:$G$131, 4, FALSE) * J66)</f>
        <v/>
      </c>
      <c r="M66" s="209" t="str">
        <f t="shared" ca="1" si="2"/>
        <v/>
      </c>
      <c r="N66" s="232" t="str">
        <f t="shared" ca="1" si="3"/>
        <v/>
      </c>
      <c r="O66" s="19" t="str">
        <f ca="1">IF(M66="","",VLOOKUP(M66,'Part D Calculations'!$I$3:$L$111,4, FALSE) * N66)</f>
        <v/>
      </c>
    </row>
    <row r="67" spans="9:15" x14ac:dyDescent="0.25">
      <c r="I67" s="209" t="str">
        <f t="shared" ca="1" si="1"/>
        <v/>
      </c>
      <c r="J67" s="209" t="str">
        <f t="shared" ca="1" si="0"/>
        <v/>
      </c>
      <c r="K67" s="19" t="str">
        <f ca="1">IF(I67="","",VLOOKUP(I67,'Part D Calculations'!$D$3:$G$131, 4, FALSE) * J67)</f>
        <v/>
      </c>
      <c r="M67" s="209" t="str">
        <f t="shared" ca="1" si="2"/>
        <v/>
      </c>
      <c r="N67" s="232" t="str">
        <f t="shared" ca="1" si="3"/>
        <v/>
      </c>
      <c r="O67" s="19" t="str">
        <f ca="1">IF(M67="","",VLOOKUP(M67,'Part D Calculations'!$I$3:$L$111,4, FALSE) * N67)</f>
        <v/>
      </c>
    </row>
    <row r="68" spans="9:15" x14ac:dyDescent="0.25">
      <c r="I68" s="209" t="str">
        <f t="shared" ca="1" si="1"/>
        <v/>
      </c>
      <c r="J68" s="209" t="str">
        <f t="shared" ca="1" si="0"/>
        <v/>
      </c>
      <c r="K68" s="19" t="str">
        <f ca="1">IF(I68="","",VLOOKUP(I68,'Part D Calculations'!$D$3:$G$131, 4, FALSE) * J68)</f>
        <v/>
      </c>
      <c r="M68" s="209" t="str">
        <f t="shared" ca="1" si="2"/>
        <v/>
      </c>
      <c r="N68" s="232" t="str">
        <f t="shared" ca="1" si="3"/>
        <v/>
      </c>
      <c r="O68" s="19" t="str">
        <f ca="1">IF(M68="","",VLOOKUP(M68,'Part D Calculations'!$I$3:$L$111,4, FALSE) * N68)</f>
        <v/>
      </c>
    </row>
    <row r="69" spans="9:15" x14ac:dyDescent="0.25">
      <c r="I69" s="209" t="str">
        <f t="shared" ca="1" si="1"/>
        <v/>
      </c>
      <c r="J69" s="209" t="str">
        <f t="shared" ref="J69:J132" ca="1" si="4">IF(I69="","",IF($B$6-DATE(I69-1,12,31) &gt; 365.25, 1, ROUNDDOWN(12*($B$6-DATE(I69-1,12,31))/365.25,0)/12))</f>
        <v/>
      </c>
      <c r="K69" s="19" t="str">
        <f ca="1">IF(I69="","",VLOOKUP(I69,'Part D Calculations'!$D$3:$G$131, 4, FALSE) * J69)</f>
        <v/>
      </c>
      <c r="M69" s="209" t="str">
        <f t="shared" ca="1" si="2"/>
        <v/>
      </c>
      <c r="N69" s="232" t="str">
        <f t="shared" ca="1" si="3"/>
        <v/>
      </c>
      <c r="O69" s="19" t="str">
        <f ca="1">IF(M69="","",VLOOKUP(M69,'Part D Calculations'!$I$3:$L$111,4, FALSE) * N69)</f>
        <v/>
      </c>
    </row>
    <row r="70" spans="9:15" x14ac:dyDescent="0.25">
      <c r="I70" s="209" t="str">
        <f t="shared" ref="I70:I133" ca="1" si="5">IFERROR(IF(IF(DATE((I69+1),1,1)&gt;$B$6,0,I69+1)=0,"",IF(DATE((I69+1),1,1)&gt;$B$6,0,I69+1)),"")</f>
        <v/>
      </c>
      <c r="J70" s="209" t="str">
        <f t="shared" ca="1" si="4"/>
        <v/>
      </c>
      <c r="K70" s="19" t="str">
        <f ca="1">IF(I70="","",VLOOKUP(I70,'Part D Calculations'!$D$3:$G$131, 4, FALSE) * J70)</f>
        <v/>
      </c>
      <c r="M70" s="209" t="str">
        <f t="shared" ref="M70:M133" ca="1" si="6">IFERROR(IF(IF(M69+1&gt;=YEAR($B$1),0, M69+1) = 0, "", IF(M69+1&gt;=YEAR($B$1),0, M69+1)),"")</f>
        <v/>
      </c>
      <c r="N70" s="232" t="str">
        <f t="shared" ref="N70:N133" ca="1" si="7">IF(M70="","",1)</f>
        <v/>
      </c>
      <c r="O70" s="19" t="str">
        <f ca="1">IF(M70="","",VLOOKUP(M70,'Part D Calculations'!$I$3:$L$111,4, FALSE) * N70)</f>
        <v/>
      </c>
    </row>
    <row r="71" spans="9:15" x14ac:dyDescent="0.25">
      <c r="I71" s="209" t="str">
        <f t="shared" ca="1" si="5"/>
        <v/>
      </c>
      <c r="J71" s="209" t="str">
        <f t="shared" ca="1" si="4"/>
        <v/>
      </c>
      <c r="K71" s="19" t="str">
        <f ca="1">IF(I71="","",VLOOKUP(I71,'Part D Calculations'!$D$3:$G$131, 4, FALSE) * J71)</f>
        <v/>
      </c>
      <c r="M71" s="209" t="str">
        <f t="shared" ca="1" si="6"/>
        <v/>
      </c>
      <c r="N71" s="232" t="str">
        <f t="shared" ca="1" si="7"/>
        <v/>
      </c>
      <c r="O71" s="19" t="str">
        <f ca="1">IF(M71="","",VLOOKUP(M71,'Part D Calculations'!$I$3:$L$111,4, FALSE) * N71)</f>
        <v/>
      </c>
    </row>
    <row r="72" spans="9:15" x14ac:dyDescent="0.25">
      <c r="I72" s="209" t="str">
        <f t="shared" ca="1" si="5"/>
        <v/>
      </c>
      <c r="J72" s="209" t="str">
        <f t="shared" ca="1" si="4"/>
        <v/>
      </c>
      <c r="K72" s="19" t="str">
        <f ca="1">IF(I72="","",VLOOKUP(I72,'Part D Calculations'!$D$3:$G$131, 4, FALSE) * J72)</f>
        <v/>
      </c>
      <c r="M72" s="209" t="str">
        <f t="shared" ca="1" si="6"/>
        <v/>
      </c>
      <c r="N72" s="232" t="str">
        <f t="shared" ca="1" si="7"/>
        <v/>
      </c>
      <c r="O72" s="19" t="str">
        <f ca="1">IF(M72="","",VLOOKUP(M72,'Part D Calculations'!$I$3:$L$111,4, FALSE) * N72)</f>
        <v/>
      </c>
    </row>
    <row r="73" spans="9:15" x14ac:dyDescent="0.25">
      <c r="I73" s="209" t="str">
        <f t="shared" ca="1" si="5"/>
        <v/>
      </c>
      <c r="J73" s="209" t="str">
        <f t="shared" ca="1" si="4"/>
        <v/>
      </c>
      <c r="K73" s="19" t="str">
        <f ca="1">IF(I73="","",VLOOKUP(I73,'Part D Calculations'!$D$3:$G$131, 4, FALSE) * J73)</f>
        <v/>
      </c>
      <c r="M73" s="209" t="str">
        <f t="shared" ca="1" si="6"/>
        <v/>
      </c>
      <c r="N73" s="232" t="str">
        <f t="shared" ca="1" si="7"/>
        <v/>
      </c>
      <c r="O73" s="19" t="str">
        <f ca="1">IF(M73="","",VLOOKUP(M73,'Part D Calculations'!$I$3:$L$111,4, FALSE) * N73)</f>
        <v/>
      </c>
    </row>
    <row r="74" spans="9:15" x14ac:dyDescent="0.25">
      <c r="I74" s="209" t="str">
        <f t="shared" ca="1" si="5"/>
        <v/>
      </c>
      <c r="J74" s="209" t="str">
        <f t="shared" ca="1" si="4"/>
        <v/>
      </c>
      <c r="K74" s="19" t="str">
        <f ca="1">IF(I74="","",VLOOKUP(I74,'Part D Calculations'!$D$3:$G$131, 4, FALSE) * J74)</f>
        <v/>
      </c>
      <c r="M74" s="209" t="str">
        <f t="shared" ca="1" si="6"/>
        <v/>
      </c>
      <c r="N74" s="232" t="str">
        <f t="shared" ca="1" si="7"/>
        <v/>
      </c>
      <c r="O74" s="19" t="str">
        <f ca="1">IF(M74="","",VLOOKUP(M74,'Part D Calculations'!$I$3:$L$111,4, FALSE) * N74)</f>
        <v/>
      </c>
    </row>
    <row r="75" spans="9:15" x14ac:dyDescent="0.25">
      <c r="I75" s="209" t="str">
        <f t="shared" ca="1" si="5"/>
        <v/>
      </c>
      <c r="J75" s="209" t="str">
        <f t="shared" ca="1" si="4"/>
        <v/>
      </c>
      <c r="K75" s="19" t="str">
        <f ca="1">IF(I75="","",VLOOKUP(I75,'Part D Calculations'!$D$3:$G$131, 4, FALSE) * J75)</f>
        <v/>
      </c>
      <c r="M75" s="209" t="str">
        <f t="shared" ca="1" si="6"/>
        <v/>
      </c>
      <c r="N75" s="232" t="str">
        <f t="shared" ca="1" si="7"/>
        <v/>
      </c>
      <c r="O75" s="19" t="str">
        <f ca="1">IF(M75="","",VLOOKUP(M75,'Part D Calculations'!$I$3:$L$111,4, FALSE) * N75)</f>
        <v/>
      </c>
    </row>
    <row r="76" spans="9:15" x14ac:dyDescent="0.25">
      <c r="I76" s="209" t="str">
        <f t="shared" ca="1" si="5"/>
        <v/>
      </c>
      <c r="J76" s="209" t="str">
        <f t="shared" ca="1" si="4"/>
        <v/>
      </c>
      <c r="K76" s="19" t="str">
        <f ca="1">IF(I76="","",VLOOKUP(I76,'Part D Calculations'!$D$3:$G$131, 4, FALSE) * J76)</f>
        <v/>
      </c>
      <c r="M76" s="209" t="str">
        <f t="shared" ca="1" si="6"/>
        <v/>
      </c>
      <c r="N76" s="232" t="str">
        <f t="shared" ca="1" si="7"/>
        <v/>
      </c>
      <c r="O76" s="19" t="str">
        <f ca="1">IF(M76="","",VLOOKUP(M76,'Part D Calculations'!$I$3:$L$111,4, FALSE) * N76)</f>
        <v/>
      </c>
    </row>
    <row r="77" spans="9:15" x14ac:dyDescent="0.25">
      <c r="I77" s="209" t="str">
        <f t="shared" ca="1" si="5"/>
        <v/>
      </c>
      <c r="J77" s="209" t="str">
        <f t="shared" ca="1" si="4"/>
        <v/>
      </c>
      <c r="K77" s="19" t="str">
        <f ca="1">IF(I77="","",VLOOKUP(I77,'Part D Calculations'!$D$3:$G$131, 4, FALSE) * J77)</f>
        <v/>
      </c>
      <c r="M77" s="209" t="str">
        <f t="shared" ca="1" si="6"/>
        <v/>
      </c>
      <c r="N77" s="232" t="str">
        <f t="shared" ca="1" si="7"/>
        <v/>
      </c>
      <c r="O77" s="19" t="str">
        <f ca="1">IF(M77="","",VLOOKUP(M77,'Part D Calculations'!$I$3:$L$111,4, FALSE) * N77)</f>
        <v/>
      </c>
    </row>
    <row r="78" spans="9:15" x14ac:dyDescent="0.25">
      <c r="I78" s="209" t="str">
        <f t="shared" ca="1" si="5"/>
        <v/>
      </c>
      <c r="J78" s="209" t="str">
        <f t="shared" ca="1" si="4"/>
        <v/>
      </c>
      <c r="K78" s="19" t="str">
        <f ca="1">IF(I78="","",VLOOKUP(I78,'Part D Calculations'!$D$3:$G$131, 4, FALSE) * J78)</f>
        <v/>
      </c>
      <c r="M78" s="209" t="str">
        <f t="shared" ca="1" si="6"/>
        <v/>
      </c>
      <c r="N78" s="232" t="str">
        <f t="shared" ca="1" si="7"/>
        <v/>
      </c>
      <c r="O78" s="19" t="str">
        <f ca="1">IF(M78="","",VLOOKUP(M78,'Part D Calculations'!$I$3:$L$111,4, FALSE) * N78)</f>
        <v/>
      </c>
    </row>
    <row r="79" spans="9:15" x14ac:dyDescent="0.25">
      <c r="I79" s="209" t="str">
        <f t="shared" ca="1" si="5"/>
        <v/>
      </c>
      <c r="J79" s="209" t="str">
        <f t="shared" ca="1" si="4"/>
        <v/>
      </c>
      <c r="K79" s="19" t="str">
        <f ca="1">IF(I79="","",VLOOKUP(I79,'Part D Calculations'!$D$3:$G$131, 4, FALSE) * J79)</f>
        <v/>
      </c>
      <c r="M79" s="209" t="str">
        <f t="shared" ca="1" si="6"/>
        <v/>
      </c>
      <c r="N79" s="232" t="str">
        <f t="shared" ca="1" si="7"/>
        <v/>
      </c>
      <c r="O79" s="19" t="str">
        <f ca="1">IF(M79="","",VLOOKUP(M79,'Part D Calculations'!$I$3:$L$111,4, FALSE) * N79)</f>
        <v/>
      </c>
    </row>
    <row r="80" spans="9:15" x14ac:dyDescent="0.25">
      <c r="I80" s="209" t="str">
        <f t="shared" ca="1" si="5"/>
        <v/>
      </c>
      <c r="J80" s="209" t="str">
        <f t="shared" ca="1" si="4"/>
        <v/>
      </c>
      <c r="K80" s="19" t="str">
        <f ca="1">IF(I80="","",VLOOKUP(I80,'Part D Calculations'!$D$3:$G$131, 4, FALSE) * J80)</f>
        <v/>
      </c>
      <c r="M80" s="209" t="str">
        <f t="shared" ca="1" si="6"/>
        <v/>
      </c>
      <c r="N80" s="232" t="str">
        <f t="shared" ca="1" si="7"/>
        <v/>
      </c>
      <c r="O80" s="19" t="str">
        <f ca="1">IF(M80="","",VLOOKUP(M80,'Part D Calculations'!$I$3:$L$111,4, FALSE) * N80)</f>
        <v/>
      </c>
    </row>
    <row r="81" spans="9:15" x14ac:dyDescent="0.25">
      <c r="I81" s="209" t="str">
        <f t="shared" ca="1" si="5"/>
        <v/>
      </c>
      <c r="J81" s="209" t="str">
        <f t="shared" ca="1" si="4"/>
        <v/>
      </c>
      <c r="K81" s="19" t="str">
        <f ca="1">IF(I81="","",VLOOKUP(I81,'Part D Calculations'!$D$3:$G$131, 4, FALSE) * J81)</f>
        <v/>
      </c>
      <c r="M81" s="209" t="str">
        <f t="shared" ca="1" si="6"/>
        <v/>
      </c>
      <c r="N81" s="232" t="str">
        <f t="shared" ca="1" si="7"/>
        <v/>
      </c>
      <c r="O81" s="19" t="str">
        <f ca="1">IF(M81="","",VLOOKUP(M81,'Part D Calculations'!$I$3:$L$111,4, FALSE) * N81)</f>
        <v/>
      </c>
    </row>
    <row r="82" spans="9:15" x14ac:dyDescent="0.25">
      <c r="I82" s="209" t="str">
        <f t="shared" ca="1" si="5"/>
        <v/>
      </c>
      <c r="J82" s="209" t="str">
        <f t="shared" ca="1" si="4"/>
        <v/>
      </c>
      <c r="K82" s="19" t="str">
        <f ca="1">IF(I82="","",VLOOKUP(I82,'Part D Calculations'!$D$3:$G$131, 4, FALSE) * J82)</f>
        <v/>
      </c>
      <c r="M82" s="209" t="str">
        <f t="shared" ca="1" si="6"/>
        <v/>
      </c>
      <c r="N82" s="232" t="str">
        <f t="shared" ca="1" si="7"/>
        <v/>
      </c>
      <c r="O82" s="19" t="str">
        <f ca="1">IF(M82="","",VLOOKUP(M82,'Part D Calculations'!$I$3:$L$111,4, FALSE) * N82)</f>
        <v/>
      </c>
    </row>
    <row r="83" spans="9:15" x14ac:dyDescent="0.25">
      <c r="I83" s="209" t="str">
        <f t="shared" ca="1" si="5"/>
        <v/>
      </c>
      <c r="J83" s="209" t="str">
        <f t="shared" ca="1" si="4"/>
        <v/>
      </c>
      <c r="K83" s="19" t="str">
        <f ca="1">IF(I83="","",VLOOKUP(I83,'Part D Calculations'!$D$3:$G$131, 4, FALSE) * J83)</f>
        <v/>
      </c>
      <c r="M83" s="209" t="str">
        <f t="shared" ca="1" si="6"/>
        <v/>
      </c>
      <c r="N83" s="232" t="str">
        <f t="shared" ca="1" si="7"/>
        <v/>
      </c>
      <c r="O83" s="19" t="str">
        <f ca="1">IF(M83="","",VLOOKUP(M83,'Part D Calculations'!$I$3:$L$111,4, FALSE) * N83)</f>
        <v/>
      </c>
    </row>
    <row r="84" spans="9:15" x14ac:dyDescent="0.25">
      <c r="I84" s="209" t="str">
        <f t="shared" ca="1" si="5"/>
        <v/>
      </c>
      <c r="J84" s="209" t="str">
        <f t="shared" ca="1" si="4"/>
        <v/>
      </c>
      <c r="K84" s="19" t="str">
        <f ca="1">IF(I84="","",VLOOKUP(I84,'Part D Calculations'!$D$3:$G$131, 4, FALSE) * J84)</f>
        <v/>
      </c>
      <c r="M84" s="209" t="str">
        <f t="shared" ca="1" si="6"/>
        <v/>
      </c>
      <c r="N84" s="232" t="str">
        <f t="shared" ca="1" si="7"/>
        <v/>
      </c>
      <c r="O84" s="19" t="str">
        <f ca="1">IF(M84="","",VLOOKUP(M84,'Part D Calculations'!$I$3:$L$111,4, FALSE) * N84)</f>
        <v/>
      </c>
    </row>
    <row r="85" spans="9:15" x14ac:dyDescent="0.25">
      <c r="I85" s="209" t="str">
        <f t="shared" ca="1" si="5"/>
        <v/>
      </c>
      <c r="J85" s="209" t="str">
        <f t="shared" ca="1" si="4"/>
        <v/>
      </c>
      <c r="K85" s="19" t="str">
        <f ca="1">IF(I85="","",VLOOKUP(I85,'Part D Calculations'!$D$3:$G$131, 4, FALSE) * J85)</f>
        <v/>
      </c>
      <c r="M85" s="209" t="str">
        <f t="shared" ca="1" si="6"/>
        <v/>
      </c>
      <c r="N85" s="232" t="str">
        <f t="shared" ca="1" si="7"/>
        <v/>
      </c>
      <c r="O85" s="19" t="str">
        <f ca="1">IF(M85="","",VLOOKUP(M85,'Part D Calculations'!$I$3:$L$111,4, FALSE) * N85)</f>
        <v/>
      </c>
    </row>
    <row r="86" spans="9:15" x14ac:dyDescent="0.25">
      <c r="I86" s="209" t="str">
        <f t="shared" ca="1" si="5"/>
        <v/>
      </c>
      <c r="J86" s="209" t="str">
        <f t="shared" ca="1" si="4"/>
        <v/>
      </c>
      <c r="K86" s="19" t="str">
        <f ca="1">IF(I86="","",VLOOKUP(I86,'Part D Calculations'!$D$3:$G$131, 4, FALSE) * J86)</f>
        <v/>
      </c>
      <c r="M86" s="209" t="str">
        <f t="shared" ca="1" si="6"/>
        <v/>
      </c>
      <c r="N86" s="232" t="str">
        <f t="shared" ca="1" si="7"/>
        <v/>
      </c>
      <c r="O86" s="19" t="str">
        <f ca="1">IF(M86="","",VLOOKUP(M86,'Part D Calculations'!$I$3:$L$111,4, FALSE) * N86)</f>
        <v/>
      </c>
    </row>
    <row r="87" spans="9:15" x14ac:dyDescent="0.25">
      <c r="I87" s="209" t="str">
        <f t="shared" ca="1" si="5"/>
        <v/>
      </c>
      <c r="J87" s="209" t="str">
        <f t="shared" ca="1" si="4"/>
        <v/>
      </c>
      <c r="K87" s="19" t="str">
        <f ca="1">IF(I87="","",VLOOKUP(I87,'Part D Calculations'!$D$3:$G$131, 4, FALSE) * J87)</f>
        <v/>
      </c>
      <c r="M87" s="209" t="str">
        <f t="shared" ca="1" si="6"/>
        <v/>
      </c>
      <c r="N87" s="232" t="str">
        <f t="shared" ca="1" si="7"/>
        <v/>
      </c>
      <c r="O87" s="19" t="str">
        <f ca="1">IF(M87="","",VLOOKUP(M87,'Part D Calculations'!$I$3:$L$111,4, FALSE) * N87)</f>
        <v/>
      </c>
    </row>
    <row r="88" spans="9:15" x14ac:dyDescent="0.25">
      <c r="I88" s="209" t="str">
        <f t="shared" ca="1" si="5"/>
        <v/>
      </c>
      <c r="J88" s="209" t="str">
        <f t="shared" ca="1" si="4"/>
        <v/>
      </c>
      <c r="K88" s="19" t="str">
        <f ca="1">IF(I88="","",VLOOKUP(I88,'Part D Calculations'!$D$3:$G$131, 4, FALSE) * J88)</f>
        <v/>
      </c>
      <c r="M88" s="209" t="str">
        <f t="shared" ca="1" si="6"/>
        <v/>
      </c>
      <c r="N88" s="232" t="str">
        <f t="shared" ca="1" si="7"/>
        <v/>
      </c>
      <c r="O88" s="19" t="str">
        <f ca="1">IF(M88="","",VLOOKUP(M88,'Part D Calculations'!$I$3:$L$111,4, FALSE) * N88)</f>
        <v/>
      </c>
    </row>
    <row r="89" spans="9:15" x14ac:dyDescent="0.25">
      <c r="I89" s="209" t="str">
        <f t="shared" ca="1" si="5"/>
        <v/>
      </c>
      <c r="J89" s="209" t="str">
        <f t="shared" ca="1" si="4"/>
        <v/>
      </c>
      <c r="K89" s="19" t="str">
        <f ca="1">IF(I89="","",VLOOKUP(I89,'Part D Calculations'!$D$3:$G$131, 4, FALSE) * J89)</f>
        <v/>
      </c>
      <c r="M89" s="209" t="str">
        <f t="shared" ca="1" si="6"/>
        <v/>
      </c>
      <c r="N89" s="232" t="str">
        <f t="shared" ca="1" si="7"/>
        <v/>
      </c>
      <c r="O89" s="19" t="str">
        <f ca="1">IF(M89="","",VLOOKUP(M89,'Part D Calculations'!$I$3:$L$111,4, FALSE) * N89)</f>
        <v/>
      </c>
    </row>
    <row r="90" spans="9:15" x14ac:dyDescent="0.25">
      <c r="I90" s="209" t="str">
        <f t="shared" ca="1" si="5"/>
        <v/>
      </c>
      <c r="J90" s="209" t="str">
        <f t="shared" ca="1" si="4"/>
        <v/>
      </c>
      <c r="K90" s="19" t="str">
        <f ca="1">IF(I90="","",VLOOKUP(I90,'Part D Calculations'!$D$3:$G$131, 4, FALSE) * J90)</f>
        <v/>
      </c>
      <c r="M90" s="209" t="str">
        <f t="shared" ca="1" si="6"/>
        <v/>
      </c>
      <c r="N90" s="232" t="str">
        <f t="shared" ca="1" si="7"/>
        <v/>
      </c>
      <c r="O90" s="19" t="str">
        <f ca="1">IF(M90="","",VLOOKUP(M90,'Part D Calculations'!$I$3:$L$111,4, FALSE) * N90)</f>
        <v/>
      </c>
    </row>
    <row r="91" spans="9:15" x14ac:dyDescent="0.25">
      <c r="I91" s="209" t="str">
        <f t="shared" ca="1" si="5"/>
        <v/>
      </c>
      <c r="J91" s="209" t="str">
        <f t="shared" ca="1" si="4"/>
        <v/>
      </c>
      <c r="K91" s="19" t="str">
        <f ca="1">IF(I91="","",VLOOKUP(I91,'Part D Calculations'!$D$3:$G$131, 4, FALSE) * J91)</f>
        <v/>
      </c>
      <c r="M91" s="209" t="str">
        <f t="shared" ca="1" si="6"/>
        <v/>
      </c>
      <c r="N91" s="232" t="str">
        <f t="shared" ca="1" si="7"/>
        <v/>
      </c>
      <c r="O91" s="19" t="str">
        <f ca="1">IF(M91="","",VLOOKUP(M91,'Part D Calculations'!$I$3:$L$111,4, FALSE) * N91)</f>
        <v/>
      </c>
    </row>
    <row r="92" spans="9:15" x14ac:dyDescent="0.25">
      <c r="I92" s="209" t="str">
        <f t="shared" ca="1" si="5"/>
        <v/>
      </c>
      <c r="J92" s="209" t="str">
        <f t="shared" ca="1" si="4"/>
        <v/>
      </c>
      <c r="K92" s="19" t="str">
        <f ca="1">IF(I92="","",VLOOKUP(I92,'Part D Calculations'!$D$3:$G$131, 4, FALSE) * J92)</f>
        <v/>
      </c>
      <c r="M92" s="209" t="str">
        <f t="shared" ca="1" si="6"/>
        <v/>
      </c>
      <c r="N92" s="232" t="str">
        <f t="shared" ca="1" si="7"/>
        <v/>
      </c>
      <c r="O92" s="19" t="str">
        <f ca="1">IF(M92="","",VLOOKUP(M92,'Part D Calculations'!$I$3:$L$111,4, FALSE) * N92)</f>
        <v/>
      </c>
    </row>
    <row r="93" spans="9:15" x14ac:dyDescent="0.25">
      <c r="I93" s="209" t="str">
        <f t="shared" ca="1" si="5"/>
        <v/>
      </c>
      <c r="J93" s="209" t="str">
        <f t="shared" ca="1" si="4"/>
        <v/>
      </c>
      <c r="K93" s="19" t="str">
        <f ca="1">IF(I93="","",VLOOKUP(I93,'Part D Calculations'!$D$3:$G$131, 4, FALSE) * J93)</f>
        <v/>
      </c>
      <c r="M93" s="209" t="str">
        <f t="shared" ca="1" si="6"/>
        <v/>
      </c>
      <c r="N93" s="232" t="str">
        <f t="shared" ca="1" si="7"/>
        <v/>
      </c>
      <c r="O93" s="19" t="str">
        <f ca="1">IF(M93="","",VLOOKUP(M93,'Part D Calculations'!$I$3:$L$111,4, FALSE) * N93)</f>
        <v/>
      </c>
    </row>
    <row r="94" spans="9:15" x14ac:dyDescent="0.25">
      <c r="I94" s="209" t="str">
        <f t="shared" ca="1" si="5"/>
        <v/>
      </c>
      <c r="J94" s="209" t="str">
        <f t="shared" ca="1" si="4"/>
        <v/>
      </c>
      <c r="K94" s="19" t="str">
        <f ca="1">IF(I94="","",VLOOKUP(I94,'Part D Calculations'!$D$3:$G$131, 4, FALSE) * J94)</f>
        <v/>
      </c>
      <c r="M94" s="209" t="str">
        <f t="shared" ca="1" si="6"/>
        <v/>
      </c>
      <c r="N94" s="232" t="str">
        <f t="shared" ca="1" si="7"/>
        <v/>
      </c>
      <c r="O94" s="19" t="str">
        <f ca="1">IF(M94="","",VLOOKUP(M94,'Part D Calculations'!$I$3:$L$111,4, FALSE) * N94)</f>
        <v/>
      </c>
    </row>
    <row r="95" spans="9:15" x14ac:dyDescent="0.25">
      <c r="I95" s="209" t="str">
        <f t="shared" ca="1" si="5"/>
        <v/>
      </c>
      <c r="J95" s="209" t="str">
        <f t="shared" ca="1" si="4"/>
        <v/>
      </c>
      <c r="K95" s="19" t="str">
        <f ca="1">IF(I95="","",VLOOKUP(I95,'Part D Calculations'!$D$3:$G$131, 4, FALSE) * J95)</f>
        <v/>
      </c>
      <c r="M95" s="209" t="str">
        <f t="shared" ca="1" si="6"/>
        <v/>
      </c>
      <c r="N95" s="232" t="str">
        <f t="shared" ca="1" si="7"/>
        <v/>
      </c>
      <c r="O95" s="19" t="str">
        <f ca="1">IF(M95="","",VLOOKUP(M95,'Part D Calculations'!$I$3:$L$111,4, FALSE) * N95)</f>
        <v/>
      </c>
    </row>
    <row r="96" spans="9:15" x14ac:dyDescent="0.25">
      <c r="I96" s="209" t="str">
        <f t="shared" ca="1" si="5"/>
        <v/>
      </c>
      <c r="J96" s="209" t="str">
        <f t="shared" ca="1" si="4"/>
        <v/>
      </c>
      <c r="K96" s="19" t="str">
        <f ca="1">IF(I96="","",VLOOKUP(I96,'Part D Calculations'!$D$3:$G$131, 4, FALSE) * J96)</f>
        <v/>
      </c>
      <c r="M96" s="209" t="str">
        <f t="shared" ca="1" si="6"/>
        <v/>
      </c>
      <c r="N96" s="232" t="str">
        <f t="shared" ca="1" si="7"/>
        <v/>
      </c>
      <c r="O96" s="19" t="str">
        <f ca="1">IF(M96="","",VLOOKUP(M96,'Part D Calculations'!$I$3:$L$111,4, FALSE) * N96)</f>
        <v/>
      </c>
    </row>
    <row r="97" spans="9:15" x14ac:dyDescent="0.25">
      <c r="I97" s="209" t="str">
        <f t="shared" ca="1" si="5"/>
        <v/>
      </c>
      <c r="J97" s="209" t="str">
        <f t="shared" ca="1" si="4"/>
        <v/>
      </c>
      <c r="K97" s="19" t="str">
        <f ca="1">IF(I97="","",VLOOKUP(I97,'Part D Calculations'!$D$3:$G$131, 4, FALSE) * J97)</f>
        <v/>
      </c>
      <c r="M97" s="209" t="str">
        <f t="shared" ca="1" si="6"/>
        <v/>
      </c>
      <c r="N97" s="232" t="str">
        <f t="shared" ca="1" si="7"/>
        <v/>
      </c>
      <c r="O97" s="19" t="str">
        <f ca="1">IF(M97="","",VLOOKUP(M97,'Part D Calculations'!$I$3:$L$111,4, FALSE) * N97)</f>
        <v/>
      </c>
    </row>
    <row r="98" spans="9:15" x14ac:dyDescent="0.25">
      <c r="I98" s="209" t="str">
        <f t="shared" ca="1" si="5"/>
        <v/>
      </c>
      <c r="J98" s="209" t="str">
        <f t="shared" ca="1" si="4"/>
        <v/>
      </c>
      <c r="K98" s="19" t="str">
        <f ca="1">IF(I98="","",VLOOKUP(I98,'Part D Calculations'!$D$3:$G$131, 4, FALSE) * J98)</f>
        <v/>
      </c>
      <c r="M98" s="209" t="str">
        <f t="shared" ca="1" si="6"/>
        <v/>
      </c>
      <c r="N98" s="232" t="str">
        <f t="shared" ca="1" si="7"/>
        <v/>
      </c>
      <c r="O98" s="19" t="str">
        <f ca="1">IF(M98="","",VLOOKUP(M98,'Part D Calculations'!$I$3:$L$111,4, FALSE) * N98)</f>
        <v/>
      </c>
    </row>
    <row r="99" spans="9:15" x14ac:dyDescent="0.25">
      <c r="I99" s="209" t="str">
        <f t="shared" ca="1" si="5"/>
        <v/>
      </c>
      <c r="J99" s="209" t="str">
        <f t="shared" ca="1" si="4"/>
        <v/>
      </c>
      <c r="K99" s="19" t="str">
        <f ca="1">IF(I99="","",VLOOKUP(I99,'Part D Calculations'!$D$3:$G$131, 4, FALSE) * J99)</f>
        <v/>
      </c>
      <c r="M99" s="209" t="str">
        <f t="shared" ca="1" si="6"/>
        <v/>
      </c>
      <c r="N99" s="232" t="str">
        <f t="shared" ca="1" si="7"/>
        <v/>
      </c>
      <c r="O99" s="19" t="str">
        <f ca="1">IF(M99="","",VLOOKUP(M99,'Part D Calculations'!$I$3:$L$111,4, FALSE) * N99)</f>
        <v/>
      </c>
    </row>
    <row r="100" spans="9:15" x14ac:dyDescent="0.25">
      <c r="I100" s="209" t="str">
        <f t="shared" ca="1" si="5"/>
        <v/>
      </c>
      <c r="J100" s="209" t="str">
        <f t="shared" ca="1" si="4"/>
        <v/>
      </c>
      <c r="K100" s="19" t="str">
        <f ca="1">IF(I100="","",VLOOKUP(I100,'Part D Calculations'!$D$3:$G$131, 4, FALSE) * J100)</f>
        <v/>
      </c>
      <c r="M100" s="209" t="str">
        <f t="shared" ca="1" si="6"/>
        <v/>
      </c>
      <c r="N100" s="232" t="str">
        <f t="shared" ca="1" si="7"/>
        <v/>
      </c>
      <c r="O100" s="19" t="str">
        <f ca="1">IF(M100="","",VLOOKUP(M100,'Part D Calculations'!$I$3:$L$111,4, FALSE) * N100)</f>
        <v/>
      </c>
    </row>
    <row r="101" spans="9:15" x14ac:dyDescent="0.25">
      <c r="I101" s="209" t="str">
        <f t="shared" ca="1" si="5"/>
        <v/>
      </c>
      <c r="J101" s="209" t="str">
        <f t="shared" ca="1" si="4"/>
        <v/>
      </c>
      <c r="K101" s="19" t="str">
        <f ca="1">IF(I101="","",VLOOKUP(I101,'Part D Calculations'!$D$3:$G$131, 4, FALSE) * J101)</f>
        <v/>
      </c>
      <c r="M101" s="209" t="str">
        <f t="shared" ca="1" si="6"/>
        <v/>
      </c>
      <c r="N101" s="232" t="str">
        <f t="shared" ca="1" si="7"/>
        <v/>
      </c>
      <c r="O101" s="19" t="str">
        <f ca="1">IF(M101="","",VLOOKUP(M101,'Part D Calculations'!$I$3:$L$111,4, FALSE) * N101)</f>
        <v/>
      </c>
    </row>
    <row r="102" spans="9:15" x14ac:dyDescent="0.25">
      <c r="I102" s="209" t="str">
        <f t="shared" ca="1" si="5"/>
        <v/>
      </c>
      <c r="J102" s="209" t="str">
        <f t="shared" ca="1" si="4"/>
        <v/>
      </c>
      <c r="K102" s="19" t="str">
        <f ca="1">IF(I102="","",VLOOKUP(I102,'Part D Calculations'!$D$3:$G$131, 4, FALSE) * J102)</f>
        <v/>
      </c>
      <c r="M102" s="209" t="str">
        <f t="shared" ca="1" si="6"/>
        <v/>
      </c>
      <c r="N102" s="232" t="str">
        <f t="shared" ca="1" si="7"/>
        <v/>
      </c>
      <c r="O102" s="19" t="str">
        <f ca="1">IF(M102="","",VLOOKUP(M102,'Part D Calculations'!$I$3:$L$111,4, FALSE) * N102)</f>
        <v/>
      </c>
    </row>
    <row r="103" spans="9:15" x14ac:dyDescent="0.25">
      <c r="I103" s="209" t="str">
        <f t="shared" ca="1" si="5"/>
        <v/>
      </c>
      <c r="J103" s="209" t="str">
        <f t="shared" ca="1" si="4"/>
        <v/>
      </c>
      <c r="K103" s="19" t="str">
        <f ca="1">IF(I103="","",VLOOKUP(I103,'Part D Calculations'!$D$3:$G$131, 4, FALSE) * J103)</f>
        <v/>
      </c>
      <c r="M103" s="209" t="str">
        <f t="shared" ca="1" si="6"/>
        <v/>
      </c>
      <c r="N103" s="232" t="str">
        <f t="shared" ca="1" si="7"/>
        <v/>
      </c>
      <c r="O103" s="19" t="str">
        <f ca="1">IF(M103="","",VLOOKUP(M103,'Part D Calculations'!$I$3:$L$111,4, FALSE) * N103)</f>
        <v/>
      </c>
    </row>
    <row r="104" spans="9:15" x14ac:dyDescent="0.25">
      <c r="I104" s="209" t="str">
        <f t="shared" ca="1" si="5"/>
        <v/>
      </c>
      <c r="J104" s="209" t="str">
        <f t="shared" ca="1" si="4"/>
        <v/>
      </c>
      <c r="K104" s="19" t="str">
        <f ca="1">IF(I104="","",VLOOKUP(I104,'Part D Calculations'!$D$3:$G$131, 4, FALSE) * J104)</f>
        <v/>
      </c>
      <c r="M104" s="209" t="str">
        <f t="shared" ca="1" si="6"/>
        <v/>
      </c>
      <c r="N104" s="232" t="str">
        <f t="shared" ca="1" si="7"/>
        <v/>
      </c>
      <c r="O104" s="19" t="str">
        <f ca="1">IF(M104="","",VLOOKUP(M104,'Part D Calculations'!$I$3:$L$111,4, FALSE) * N104)</f>
        <v/>
      </c>
    </row>
    <row r="105" spans="9:15" x14ac:dyDescent="0.25">
      <c r="I105" s="209" t="str">
        <f t="shared" ca="1" si="5"/>
        <v/>
      </c>
      <c r="J105" s="209" t="str">
        <f t="shared" ca="1" si="4"/>
        <v/>
      </c>
      <c r="K105" s="19" t="str">
        <f ca="1">IF(I105="","",VLOOKUP(I105,'Part D Calculations'!$D$3:$G$131, 4, FALSE) * J105)</f>
        <v/>
      </c>
      <c r="M105" s="209" t="str">
        <f t="shared" ca="1" si="6"/>
        <v/>
      </c>
      <c r="N105" s="232" t="str">
        <f t="shared" ca="1" si="7"/>
        <v/>
      </c>
      <c r="O105" s="19" t="str">
        <f ca="1">IF(M105="","",VLOOKUP(M105,'Part D Calculations'!$I$3:$L$111,4, FALSE) * N105)</f>
        <v/>
      </c>
    </row>
    <row r="106" spans="9:15" x14ac:dyDescent="0.25">
      <c r="I106" s="209" t="str">
        <f t="shared" ca="1" si="5"/>
        <v/>
      </c>
      <c r="J106" s="209" t="str">
        <f t="shared" ca="1" si="4"/>
        <v/>
      </c>
      <c r="K106" s="19" t="str">
        <f ca="1">IF(I106="","",VLOOKUP(I106,'Part D Calculations'!$D$3:$G$131, 4, FALSE) * J106)</f>
        <v/>
      </c>
      <c r="M106" s="209" t="str">
        <f t="shared" ca="1" si="6"/>
        <v/>
      </c>
      <c r="N106" s="232" t="str">
        <f t="shared" ca="1" si="7"/>
        <v/>
      </c>
      <c r="O106" s="19" t="str">
        <f ca="1">IF(M106="","",VLOOKUP(M106,'Part D Calculations'!$I$3:$L$111,4, FALSE) * N106)</f>
        <v/>
      </c>
    </row>
    <row r="107" spans="9:15" x14ac:dyDescent="0.25">
      <c r="I107" s="209" t="str">
        <f t="shared" ca="1" si="5"/>
        <v/>
      </c>
      <c r="J107" s="209" t="str">
        <f t="shared" ca="1" si="4"/>
        <v/>
      </c>
      <c r="K107" s="19" t="str">
        <f ca="1">IF(I107="","",VLOOKUP(I107,'Part D Calculations'!$D$3:$G$131, 4, FALSE) * J107)</f>
        <v/>
      </c>
      <c r="M107" s="209" t="str">
        <f t="shared" ca="1" si="6"/>
        <v/>
      </c>
      <c r="N107" s="232" t="str">
        <f t="shared" ca="1" si="7"/>
        <v/>
      </c>
      <c r="O107" s="19" t="str">
        <f ca="1">IF(M107="","",VLOOKUP(M107,'Part D Calculations'!$I$3:$L$111,4, FALSE) * N107)</f>
        <v/>
      </c>
    </row>
    <row r="108" spans="9:15" x14ac:dyDescent="0.25">
      <c r="I108" s="209" t="str">
        <f t="shared" ca="1" si="5"/>
        <v/>
      </c>
      <c r="J108" s="209" t="str">
        <f t="shared" ca="1" si="4"/>
        <v/>
      </c>
      <c r="K108" s="19" t="str">
        <f ca="1">IF(I108="","",VLOOKUP(I108,'Part D Calculations'!$D$3:$G$131, 4, FALSE) * J108)</f>
        <v/>
      </c>
      <c r="M108" s="209" t="str">
        <f t="shared" ca="1" si="6"/>
        <v/>
      </c>
      <c r="N108" s="232" t="str">
        <f t="shared" ca="1" si="7"/>
        <v/>
      </c>
      <c r="O108" s="19" t="str">
        <f ca="1">IF(M108="","",VLOOKUP(M108,'Part D Calculations'!$I$3:$L$111,4, FALSE) * N108)</f>
        <v/>
      </c>
    </row>
    <row r="109" spans="9:15" x14ac:dyDescent="0.25">
      <c r="I109" s="209" t="str">
        <f t="shared" ca="1" si="5"/>
        <v/>
      </c>
      <c r="J109" s="209" t="str">
        <f t="shared" ca="1" si="4"/>
        <v/>
      </c>
      <c r="K109" s="19" t="str">
        <f ca="1">IF(I109="","",VLOOKUP(I109,'Part D Calculations'!$D$3:$G$131, 4, FALSE) * J109)</f>
        <v/>
      </c>
      <c r="M109" s="209" t="str">
        <f t="shared" ca="1" si="6"/>
        <v/>
      </c>
      <c r="N109" s="232" t="str">
        <f t="shared" ca="1" si="7"/>
        <v/>
      </c>
      <c r="O109" s="19" t="str">
        <f ca="1">IF(M109="","",VLOOKUP(M109,'Part D Calculations'!$I$3:$L$111,4, FALSE) * N109)</f>
        <v/>
      </c>
    </row>
    <row r="110" spans="9:15" x14ac:dyDescent="0.25">
      <c r="I110" s="209" t="str">
        <f t="shared" ca="1" si="5"/>
        <v/>
      </c>
      <c r="J110" s="209" t="str">
        <f t="shared" ca="1" si="4"/>
        <v/>
      </c>
      <c r="K110" s="19" t="str">
        <f ca="1">IF(I110="","",VLOOKUP(I110,'Part D Calculations'!$D$3:$G$131, 4, FALSE) * J110)</f>
        <v/>
      </c>
      <c r="M110" s="209" t="str">
        <f t="shared" ca="1" si="6"/>
        <v/>
      </c>
      <c r="N110" s="232" t="str">
        <f t="shared" ca="1" si="7"/>
        <v/>
      </c>
      <c r="O110" s="19" t="str">
        <f ca="1">IF(M110="","",VLOOKUP(M110,'Part D Calculations'!$I$3:$L$111,4, FALSE) * N110)</f>
        <v/>
      </c>
    </row>
    <row r="111" spans="9:15" x14ac:dyDescent="0.25">
      <c r="I111" s="209" t="str">
        <f t="shared" ca="1" si="5"/>
        <v/>
      </c>
      <c r="J111" s="209" t="str">
        <f t="shared" ca="1" si="4"/>
        <v/>
      </c>
      <c r="K111" s="19" t="str">
        <f ca="1">IF(I111="","",VLOOKUP(I111,'Part D Calculations'!$D$3:$G$131, 4, FALSE) * J111)</f>
        <v/>
      </c>
      <c r="M111" s="209" t="str">
        <f t="shared" ca="1" si="6"/>
        <v/>
      </c>
      <c r="N111" s="232" t="str">
        <f t="shared" ca="1" si="7"/>
        <v/>
      </c>
      <c r="O111" s="19" t="str">
        <f ca="1">IF(M111="","",VLOOKUP(M111,'Part D Calculations'!$I$3:$L$111,4, FALSE) * N111)</f>
        <v/>
      </c>
    </row>
    <row r="112" spans="9:15" x14ac:dyDescent="0.25">
      <c r="I112" s="209" t="str">
        <f t="shared" ca="1" si="5"/>
        <v/>
      </c>
      <c r="J112" s="209" t="str">
        <f t="shared" ca="1" si="4"/>
        <v/>
      </c>
      <c r="K112" s="19" t="str">
        <f ca="1">IF(I112="","",VLOOKUP(I112,'Part D Calculations'!$D$3:$G$131, 4, FALSE) * J112)</f>
        <v/>
      </c>
      <c r="M112" s="209" t="str">
        <f t="shared" ca="1" si="6"/>
        <v/>
      </c>
      <c r="N112" s="232" t="str">
        <f t="shared" ca="1" si="7"/>
        <v/>
      </c>
      <c r="O112" s="19" t="str">
        <f ca="1">IF(M112="","",VLOOKUP(M112,'Part D Calculations'!$I$3:$L$111,4, FALSE) * N112)</f>
        <v/>
      </c>
    </row>
    <row r="113" spans="9:15" x14ac:dyDescent="0.25">
      <c r="I113" s="209" t="str">
        <f t="shared" ca="1" si="5"/>
        <v/>
      </c>
      <c r="J113" s="209" t="str">
        <f t="shared" ca="1" si="4"/>
        <v/>
      </c>
      <c r="K113" s="19" t="str">
        <f ca="1">IF(I113="","",VLOOKUP(I113,'Part D Calculations'!$D$3:$G$131, 4, FALSE) * J113)</f>
        <v/>
      </c>
      <c r="M113" s="209" t="str">
        <f t="shared" ca="1" si="6"/>
        <v/>
      </c>
      <c r="N113" s="232" t="str">
        <f t="shared" ca="1" si="7"/>
        <v/>
      </c>
      <c r="O113" s="19" t="str">
        <f ca="1">IF(M113="","",VLOOKUP(M113,'Part D Calculations'!$I$3:$L$111,4, FALSE) * N113)</f>
        <v/>
      </c>
    </row>
    <row r="114" spans="9:15" x14ac:dyDescent="0.25">
      <c r="I114" s="209" t="str">
        <f t="shared" ca="1" si="5"/>
        <v/>
      </c>
      <c r="J114" s="209" t="str">
        <f t="shared" ca="1" si="4"/>
        <v/>
      </c>
      <c r="K114" s="19" t="str">
        <f ca="1">IF(I114="","",VLOOKUP(I114,'Part D Calculations'!$D$3:$G$131, 4, FALSE) * J114)</f>
        <v/>
      </c>
      <c r="M114" s="209" t="str">
        <f t="shared" ca="1" si="6"/>
        <v/>
      </c>
      <c r="N114" s="232" t="str">
        <f t="shared" ca="1" si="7"/>
        <v/>
      </c>
      <c r="O114" s="19" t="str">
        <f ca="1">IF(M114="","",VLOOKUP(M114,'Part D Calculations'!$I$3:$L$111,4, FALSE) * N114)</f>
        <v/>
      </c>
    </row>
    <row r="115" spans="9:15" x14ac:dyDescent="0.25">
      <c r="I115" s="209" t="str">
        <f t="shared" ca="1" si="5"/>
        <v/>
      </c>
      <c r="J115" s="209" t="str">
        <f t="shared" ca="1" si="4"/>
        <v/>
      </c>
      <c r="K115" s="19" t="str">
        <f ca="1">IF(I115="","",VLOOKUP(I115,'Part D Calculations'!$D$3:$G$131, 4, FALSE) * J115)</f>
        <v/>
      </c>
      <c r="M115" s="209" t="str">
        <f t="shared" ca="1" si="6"/>
        <v/>
      </c>
      <c r="N115" s="232" t="str">
        <f t="shared" ca="1" si="7"/>
        <v/>
      </c>
      <c r="O115" s="19" t="str">
        <f ca="1">IF(M115="","",VLOOKUP(M115,'Part D Calculations'!$I$3:$L$111,4, FALSE) * N115)</f>
        <v/>
      </c>
    </row>
    <row r="116" spans="9:15" x14ac:dyDescent="0.25">
      <c r="I116" s="209" t="str">
        <f t="shared" ca="1" si="5"/>
        <v/>
      </c>
      <c r="J116" s="209" t="str">
        <f t="shared" ca="1" si="4"/>
        <v/>
      </c>
      <c r="K116" s="19" t="str">
        <f ca="1">IF(I116="","",VLOOKUP(I116,'Part D Calculations'!$D$3:$G$131, 4, FALSE) * J116)</f>
        <v/>
      </c>
      <c r="M116" s="209" t="str">
        <f t="shared" ca="1" si="6"/>
        <v/>
      </c>
      <c r="N116" s="232" t="str">
        <f t="shared" ca="1" si="7"/>
        <v/>
      </c>
      <c r="O116" s="19" t="str">
        <f ca="1">IF(M116="","",VLOOKUP(M116,'Part D Calculations'!$I$3:$L$111,4, FALSE) * N116)</f>
        <v/>
      </c>
    </row>
    <row r="117" spans="9:15" x14ac:dyDescent="0.25">
      <c r="I117" s="209" t="str">
        <f t="shared" ca="1" si="5"/>
        <v/>
      </c>
      <c r="J117" s="209" t="str">
        <f t="shared" ca="1" si="4"/>
        <v/>
      </c>
      <c r="K117" s="19" t="str">
        <f ca="1">IF(I117="","",VLOOKUP(I117,'Part D Calculations'!$D$3:$G$131, 4, FALSE) * J117)</f>
        <v/>
      </c>
      <c r="M117" s="209" t="str">
        <f t="shared" ca="1" si="6"/>
        <v/>
      </c>
      <c r="N117" s="232" t="str">
        <f t="shared" ca="1" si="7"/>
        <v/>
      </c>
      <c r="O117" s="19" t="str">
        <f ca="1">IF(M117="","",VLOOKUP(M117,'Part D Calculations'!$I$3:$L$111,4, FALSE) * N117)</f>
        <v/>
      </c>
    </row>
    <row r="118" spans="9:15" x14ac:dyDescent="0.25">
      <c r="I118" s="209" t="str">
        <f t="shared" ca="1" si="5"/>
        <v/>
      </c>
      <c r="J118" s="209" t="str">
        <f t="shared" ca="1" si="4"/>
        <v/>
      </c>
      <c r="K118" s="19" t="str">
        <f ca="1">IF(I118="","",VLOOKUP(I118,'Part D Calculations'!$D$3:$G$131, 4, FALSE) * J118)</f>
        <v/>
      </c>
      <c r="M118" s="209" t="str">
        <f t="shared" ca="1" si="6"/>
        <v/>
      </c>
      <c r="N118" s="232" t="str">
        <f t="shared" ca="1" si="7"/>
        <v/>
      </c>
      <c r="O118" s="19" t="str">
        <f ca="1">IF(M118="","",VLOOKUP(M118,'Part D Calculations'!$I$3:$L$111,4, FALSE) * N118)</f>
        <v/>
      </c>
    </row>
    <row r="119" spans="9:15" x14ac:dyDescent="0.25">
      <c r="I119" s="209" t="str">
        <f t="shared" ca="1" si="5"/>
        <v/>
      </c>
      <c r="J119" s="209" t="str">
        <f t="shared" ca="1" si="4"/>
        <v/>
      </c>
      <c r="K119" s="19" t="str">
        <f ca="1">IF(I119="","",VLOOKUP(I119,'Part D Calculations'!$D$3:$G$131, 4, FALSE) * J119)</f>
        <v/>
      </c>
      <c r="M119" s="209" t="str">
        <f t="shared" ca="1" si="6"/>
        <v/>
      </c>
      <c r="N119" s="232" t="str">
        <f t="shared" ca="1" si="7"/>
        <v/>
      </c>
      <c r="O119" s="19" t="str">
        <f ca="1">IF(M119="","",VLOOKUP(M119,'Part D Calculations'!$I$3:$L$111,4, FALSE) * N119)</f>
        <v/>
      </c>
    </row>
    <row r="120" spans="9:15" x14ac:dyDescent="0.25">
      <c r="I120" s="209" t="str">
        <f t="shared" ca="1" si="5"/>
        <v/>
      </c>
      <c r="J120" s="209" t="str">
        <f t="shared" ca="1" si="4"/>
        <v/>
      </c>
      <c r="K120" s="19" t="str">
        <f ca="1">IF(I120="","",VLOOKUP(I120,'Part D Calculations'!$D$3:$G$131, 4, FALSE) * J120)</f>
        <v/>
      </c>
      <c r="M120" s="209" t="str">
        <f t="shared" ca="1" si="6"/>
        <v/>
      </c>
      <c r="N120" s="232" t="str">
        <f t="shared" ca="1" si="7"/>
        <v/>
      </c>
      <c r="O120" s="19" t="str">
        <f ca="1">IF(M120="","",VLOOKUP(M120,'Part D Calculations'!$I$3:$L$111,4, FALSE) * N120)</f>
        <v/>
      </c>
    </row>
    <row r="121" spans="9:15" x14ac:dyDescent="0.25">
      <c r="I121" s="209" t="str">
        <f t="shared" ca="1" si="5"/>
        <v/>
      </c>
      <c r="J121" s="209" t="str">
        <f t="shared" ca="1" si="4"/>
        <v/>
      </c>
      <c r="K121" s="19" t="str">
        <f ca="1">IF(I121="","",VLOOKUP(I121,'Part D Calculations'!$D$3:$G$131, 4, FALSE) * J121)</f>
        <v/>
      </c>
      <c r="M121" s="209" t="str">
        <f t="shared" ca="1" si="6"/>
        <v/>
      </c>
      <c r="N121" s="232" t="str">
        <f t="shared" ca="1" si="7"/>
        <v/>
      </c>
      <c r="O121" s="19" t="str">
        <f ca="1">IF(M121="","",VLOOKUP(M121,'Part D Calculations'!$I$3:$L$111,4, FALSE) * N121)</f>
        <v/>
      </c>
    </row>
    <row r="122" spans="9:15" x14ac:dyDescent="0.25">
      <c r="I122" s="209" t="str">
        <f t="shared" ca="1" si="5"/>
        <v/>
      </c>
      <c r="J122" s="209" t="str">
        <f t="shared" ca="1" si="4"/>
        <v/>
      </c>
      <c r="K122" s="19" t="str">
        <f ca="1">IF(I122="","",VLOOKUP(I122,'Part D Calculations'!$D$3:$G$131, 4, FALSE) * J122)</f>
        <v/>
      </c>
      <c r="M122" s="209" t="str">
        <f t="shared" ca="1" si="6"/>
        <v/>
      </c>
      <c r="N122" s="232" t="str">
        <f t="shared" ca="1" si="7"/>
        <v/>
      </c>
      <c r="O122" s="19" t="str">
        <f ca="1">IF(M122="","",VLOOKUP(M122,'Part D Calculations'!$I$3:$L$111,4, FALSE) * N122)</f>
        <v/>
      </c>
    </row>
    <row r="123" spans="9:15" x14ac:dyDescent="0.25">
      <c r="I123" s="209" t="str">
        <f t="shared" ca="1" si="5"/>
        <v/>
      </c>
      <c r="J123" s="209" t="str">
        <f t="shared" ca="1" si="4"/>
        <v/>
      </c>
      <c r="K123" s="19" t="str">
        <f ca="1">IF(I123="","",VLOOKUP(I123,'Part D Calculations'!$D$3:$G$131, 4, FALSE) * J123)</f>
        <v/>
      </c>
      <c r="M123" s="209" t="str">
        <f t="shared" ca="1" si="6"/>
        <v/>
      </c>
      <c r="N123" s="232" t="str">
        <f t="shared" ca="1" si="7"/>
        <v/>
      </c>
      <c r="O123" s="19" t="str">
        <f ca="1">IF(M123="","",VLOOKUP(M123,'Part D Calculations'!$I$3:$L$111,4, FALSE) * N123)</f>
        <v/>
      </c>
    </row>
    <row r="124" spans="9:15" x14ac:dyDescent="0.25">
      <c r="I124" s="209" t="str">
        <f t="shared" ca="1" si="5"/>
        <v/>
      </c>
      <c r="J124" s="209" t="str">
        <f t="shared" ca="1" si="4"/>
        <v/>
      </c>
      <c r="K124" s="19" t="str">
        <f ca="1">IF(I124="","",VLOOKUP(I124,'Part D Calculations'!$D$3:$G$131, 4, FALSE) * J124)</f>
        <v/>
      </c>
      <c r="M124" s="209" t="str">
        <f t="shared" ca="1" si="6"/>
        <v/>
      </c>
      <c r="N124" s="232" t="str">
        <f t="shared" ca="1" si="7"/>
        <v/>
      </c>
      <c r="O124" s="19" t="str">
        <f ca="1">IF(M124="","",VLOOKUP(M124,'Part D Calculations'!$I$3:$L$111,4, FALSE) * N124)</f>
        <v/>
      </c>
    </row>
    <row r="125" spans="9:15" x14ac:dyDescent="0.25">
      <c r="I125" s="209" t="str">
        <f t="shared" ca="1" si="5"/>
        <v/>
      </c>
      <c r="J125" s="209" t="str">
        <f t="shared" ca="1" si="4"/>
        <v/>
      </c>
      <c r="K125" s="19" t="str">
        <f ca="1">IF(I125="","",VLOOKUP(I125,'Part D Calculations'!$D$3:$G$131, 4, FALSE) * J125)</f>
        <v/>
      </c>
      <c r="M125" s="209" t="str">
        <f t="shared" ca="1" si="6"/>
        <v/>
      </c>
      <c r="N125" s="232" t="str">
        <f t="shared" ca="1" si="7"/>
        <v/>
      </c>
      <c r="O125" s="19" t="str">
        <f ca="1">IF(M125="","",VLOOKUP(M125,'Part D Calculations'!$I$3:$L$111,4, FALSE) * N125)</f>
        <v/>
      </c>
    </row>
    <row r="126" spans="9:15" x14ac:dyDescent="0.25">
      <c r="I126" s="209" t="str">
        <f t="shared" ca="1" si="5"/>
        <v/>
      </c>
      <c r="J126" s="209" t="str">
        <f t="shared" ca="1" si="4"/>
        <v/>
      </c>
      <c r="K126" s="19" t="str">
        <f ca="1">IF(I126="","",VLOOKUP(I126,'Part D Calculations'!$D$3:$G$131, 4, FALSE) * J126)</f>
        <v/>
      </c>
      <c r="M126" s="209" t="str">
        <f t="shared" ca="1" si="6"/>
        <v/>
      </c>
      <c r="N126" s="232" t="str">
        <f t="shared" ca="1" si="7"/>
        <v/>
      </c>
      <c r="O126" s="19" t="str">
        <f ca="1">IF(M126="","",VLOOKUP(M126,'Part D Calculations'!$I$3:$L$111,4, FALSE) * N126)</f>
        <v/>
      </c>
    </row>
    <row r="127" spans="9:15" x14ac:dyDescent="0.25">
      <c r="I127" s="209" t="str">
        <f t="shared" ca="1" si="5"/>
        <v/>
      </c>
      <c r="J127" s="209" t="str">
        <f t="shared" ca="1" si="4"/>
        <v/>
      </c>
      <c r="K127" s="19" t="str">
        <f ca="1">IF(I127="","",VLOOKUP(I127,'Part D Calculations'!$D$3:$G$131, 4, FALSE) * J127)</f>
        <v/>
      </c>
      <c r="M127" s="209" t="str">
        <f t="shared" ca="1" si="6"/>
        <v/>
      </c>
      <c r="N127" s="232" t="str">
        <f t="shared" ca="1" si="7"/>
        <v/>
      </c>
      <c r="O127" s="19" t="str">
        <f ca="1">IF(M127="","",VLOOKUP(M127,'Part D Calculations'!$I$3:$L$111,4, FALSE) * N127)</f>
        <v/>
      </c>
    </row>
    <row r="128" spans="9:15" x14ac:dyDescent="0.25">
      <c r="I128" s="209" t="str">
        <f t="shared" ca="1" si="5"/>
        <v/>
      </c>
      <c r="J128" s="209" t="str">
        <f t="shared" ca="1" si="4"/>
        <v/>
      </c>
      <c r="K128" s="19" t="str">
        <f ca="1">IF(I128="","",VLOOKUP(I128,'Part D Calculations'!$D$3:$G$131, 4, FALSE) * J128)</f>
        <v/>
      </c>
      <c r="M128" s="209" t="str">
        <f t="shared" ca="1" si="6"/>
        <v/>
      </c>
      <c r="N128" s="232" t="str">
        <f t="shared" ca="1" si="7"/>
        <v/>
      </c>
      <c r="O128" s="19" t="str">
        <f ca="1">IF(M128="","",VLOOKUP(M128,'Part D Calculations'!$I$3:$L$111,4, FALSE) * N128)</f>
        <v/>
      </c>
    </row>
    <row r="129" spans="9:15" x14ac:dyDescent="0.25">
      <c r="I129" s="209" t="str">
        <f t="shared" ca="1" si="5"/>
        <v/>
      </c>
      <c r="J129" s="209" t="str">
        <f t="shared" ca="1" si="4"/>
        <v/>
      </c>
      <c r="K129" s="19" t="str">
        <f ca="1">IF(I129="","",VLOOKUP(I129,'Part D Calculations'!$D$3:$G$131, 4, FALSE) * J129)</f>
        <v/>
      </c>
      <c r="M129" s="209" t="str">
        <f t="shared" ca="1" si="6"/>
        <v/>
      </c>
      <c r="N129" s="232" t="str">
        <f t="shared" ca="1" si="7"/>
        <v/>
      </c>
      <c r="O129" s="19" t="str">
        <f ca="1">IF(M129="","",VLOOKUP(M129,'Part D Calculations'!$I$3:$L$111,4, FALSE) * N129)</f>
        <v/>
      </c>
    </row>
    <row r="130" spans="9:15" x14ac:dyDescent="0.25">
      <c r="I130" s="209" t="str">
        <f t="shared" ca="1" si="5"/>
        <v/>
      </c>
      <c r="J130" s="209" t="str">
        <f t="shared" ca="1" si="4"/>
        <v/>
      </c>
      <c r="K130" s="19" t="str">
        <f ca="1">IF(I130="","",VLOOKUP(I130,'Part D Calculations'!$D$3:$G$131, 4, FALSE) * J130)</f>
        <v/>
      </c>
      <c r="M130" s="209" t="str">
        <f t="shared" ca="1" si="6"/>
        <v/>
      </c>
      <c r="N130" s="232" t="str">
        <f t="shared" ca="1" si="7"/>
        <v/>
      </c>
      <c r="O130" s="19" t="str">
        <f ca="1">IF(M130="","",VLOOKUP(M130,'Part D Calculations'!$I$3:$L$111,4, FALSE) * N130)</f>
        <v/>
      </c>
    </row>
    <row r="131" spans="9:15" x14ac:dyDescent="0.25">
      <c r="I131" s="209" t="str">
        <f t="shared" ca="1" si="5"/>
        <v/>
      </c>
      <c r="J131" s="209" t="str">
        <f t="shared" ca="1" si="4"/>
        <v/>
      </c>
      <c r="K131" s="19" t="str">
        <f ca="1">IF(I131="","",VLOOKUP(I131,'Part D Calculations'!$D$3:$G$131, 4, FALSE) * J131)</f>
        <v/>
      </c>
      <c r="M131" s="209" t="str">
        <f t="shared" ca="1" si="6"/>
        <v/>
      </c>
      <c r="N131" s="232" t="str">
        <f t="shared" ca="1" si="7"/>
        <v/>
      </c>
      <c r="O131" s="19" t="str">
        <f ca="1">IF(M131="","",VLOOKUP(M131,'Part D Calculations'!$I$3:$L$111,4, FALSE) * N131)</f>
        <v/>
      </c>
    </row>
    <row r="132" spans="9:15" x14ac:dyDescent="0.25">
      <c r="I132" s="209" t="str">
        <f t="shared" ca="1" si="5"/>
        <v/>
      </c>
      <c r="J132" s="209" t="str">
        <f t="shared" ca="1" si="4"/>
        <v/>
      </c>
      <c r="K132" s="19" t="str">
        <f ca="1">IF(I132="","",VLOOKUP(I132,'Part D Calculations'!$D$3:$G$131, 4, FALSE) * J132)</f>
        <v/>
      </c>
      <c r="M132" s="209" t="str">
        <f t="shared" ca="1" si="6"/>
        <v/>
      </c>
      <c r="N132" s="232" t="str">
        <f t="shared" ca="1" si="7"/>
        <v/>
      </c>
      <c r="O132" s="19" t="str">
        <f ca="1">IF(M132="","",VLOOKUP(M132,'Part D Calculations'!$I$3:$L$111,4, FALSE) * N132)</f>
        <v/>
      </c>
    </row>
    <row r="133" spans="9:15" x14ac:dyDescent="0.25">
      <c r="I133" s="209" t="str">
        <f t="shared" ca="1" si="5"/>
        <v/>
      </c>
      <c r="J133" s="209" t="str">
        <f t="shared" ref="J133:J183" ca="1" si="8">IF(I133="","",IF($B$6-DATE(I133-1,12,31) &gt; 365.25, 1, ROUNDDOWN(12*($B$6-DATE(I133-1,12,31))/365.25,0)/12))</f>
        <v/>
      </c>
      <c r="K133" s="19" t="str">
        <f ca="1">IF(I133="","",VLOOKUP(I133,'Part D Calculations'!$D$3:$G$131, 4, FALSE) * J133)</f>
        <v/>
      </c>
      <c r="M133" s="209" t="str">
        <f t="shared" ca="1" si="6"/>
        <v/>
      </c>
      <c r="N133" s="232" t="str">
        <f t="shared" ca="1" si="7"/>
        <v/>
      </c>
      <c r="O133" s="19" t="str">
        <f ca="1">IF(M133="","",VLOOKUP(M133,'Part D Calculations'!$I$3:$L$111,4, FALSE) * N133)</f>
        <v/>
      </c>
    </row>
    <row r="134" spans="9:15" x14ac:dyDescent="0.25">
      <c r="I134" s="209" t="str">
        <f t="shared" ref="I134:I179" ca="1" si="9">IFERROR(IF(IF(DATE((I133+1),1,1)&gt;$B$6,0,I133+1)=0,"",IF(DATE((I133+1),1,1)&gt;$B$6,0,I133+1)),"")</f>
        <v/>
      </c>
      <c r="J134" s="209" t="str">
        <f t="shared" ca="1" si="8"/>
        <v/>
      </c>
      <c r="K134" s="19" t="str">
        <f ca="1">IF(I134="","",VLOOKUP(I134,'Part D Calculations'!$D$3:$G$131, 4, FALSE) * J134)</f>
        <v/>
      </c>
      <c r="M134" s="209" t="str">
        <f t="shared" ref="M134:M197" ca="1" si="10">IFERROR(IF(IF(M133+1&gt;=YEAR($B$1),0, M133+1) = 0, "", IF(M133+1&gt;=YEAR($B$1),0, M133+1)),"")</f>
        <v/>
      </c>
      <c r="N134" s="232" t="str">
        <f t="shared" ref="N134:N190" ca="1" si="11">IF(M134="","",1)</f>
        <v/>
      </c>
      <c r="O134" s="19" t="str">
        <f ca="1">IF(M134="","",VLOOKUP(M134,'Part D Calculations'!$I$3:$L$111,4, FALSE) * N134)</f>
        <v/>
      </c>
    </row>
    <row r="135" spans="9:15" x14ac:dyDescent="0.25">
      <c r="I135" s="209" t="str">
        <f t="shared" ca="1" si="9"/>
        <v/>
      </c>
      <c r="J135" s="209" t="str">
        <f t="shared" ca="1" si="8"/>
        <v/>
      </c>
      <c r="K135" s="19" t="str">
        <f ca="1">IF(I135="","",VLOOKUP(I135,'Part D Calculations'!$D$3:$G$131, 4, FALSE) * J135)</f>
        <v/>
      </c>
      <c r="M135" s="209" t="str">
        <f t="shared" ca="1" si="10"/>
        <v/>
      </c>
      <c r="N135" s="232" t="str">
        <f t="shared" ca="1" si="11"/>
        <v/>
      </c>
      <c r="O135" s="19" t="str">
        <f ca="1">IF(M135="","",VLOOKUP(M135,'Part D Calculations'!$I$3:$L$111,4, FALSE) * N135)</f>
        <v/>
      </c>
    </row>
    <row r="136" spans="9:15" x14ac:dyDescent="0.25">
      <c r="I136" s="209" t="str">
        <f t="shared" ca="1" si="9"/>
        <v/>
      </c>
      <c r="J136" s="209" t="str">
        <f t="shared" ca="1" si="8"/>
        <v/>
      </c>
      <c r="K136" s="19" t="str">
        <f ca="1">IF(I136="","",VLOOKUP(I136,'Part D Calculations'!$D$3:$G$131, 4, FALSE) * J136)</f>
        <v/>
      </c>
      <c r="M136" s="209" t="str">
        <f t="shared" ca="1" si="10"/>
        <v/>
      </c>
      <c r="N136" s="232" t="str">
        <f t="shared" ca="1" si="11"/>
        <v/>
      </c>
      <c r="O136" s="19" t="str">
        <f ca="1">IF(M136="","",VLOOKUP(M136,'Part D Calculations'!$I$3:$L$111,4, FALSE) * N136)</f>
        <v/>
      </c>
    </row>
    <row r="137" spans="9:15" x14ac:dyDescent="0.25">
      <c r="I137" s="209" t="str">
        <f t="shared" ca="1" si="9"/>
        <v/>
      </c>
      <c r="J137" s="209" t="str">
        <f t="shared" ca="1" si="8"/>
        <v/>
      </c>
      <c r="K137" s="19" t="str">
        <f ca="1">IF(I137="","",VLOOKUP(I137,'Part D Calculations'!$D$3:$G$131, 4, FALSE) * J137)</f>
        <v/>
      </c>
      <c r="M137" s="209" t="str">
        <f t="shared" ca="1" si="10"/>
        <v/>
      </c>
      <c r="N137" s="232" t="str">
        <f t="shared" ca="1" si="11"/>
        <v/>
      </c>
      <c r="O137" s="19" t="str">
        <f ca="1">IF(M137="","",VLOOKUP(M137,'Part D Calculations'!$I$3:$L$111,4, FALSE) * N137)</f>
        <v/>
      </c>
    </row>
    <row r="138" spans="9:15" x14ac:dyDescent="0.25">
      <c r="I138" s="209" t="str">
        <f t="shared" ca="1" si="9"/>
        <v/>
      </c>
      <c r="J138" s="209" t="str">
        <f t="shared" ca="1" si="8"/>
        <v/>
      </c>
      <c r="K138" s="19" t="str">
        <f ca="1">IF(I138="","",VLOOKUP(I138,'Part D Calculations'!$D$3:$G$131, 4, FALSE) * J138)</f>
        <v/>
      </c>
      <c r="M138" s="209" t="str">
        <f t="shared" ca="1" si="10"/>
        <v/>
      </c>
      <c r="N138" s="232" t="str">
        <f t="shared" ca="1" si="11"/>
        <v/>
      </c>
      <c r="O138" s="19" t="str">
        <f ca="1">IF(M138="","",VLOOKUP(M138,'Part D Calculations'!$I$3:$L$111,4, FALSE) * N138)</f>
        <v/>
      </c>
    </row>
    <row r="139" spans="9:15" x14ac:dyDescent="0.25">
      <c r="I139" s="209" t="str">
        <f t="shared" ca="1" si="9"/>
        <v/>
      </c>
      <c r="J139" s="209" t="str">
        <f t="shared" ca="1" si="8"/>
        <v/>
      </c>
      <c r="K139" s="19" t="str">
        <f ca="1">IF(I139="","",VLOOKUP(I139,'Part D Calculations'!$D$3:$G$131, 4, FALSE) * J139)</f>
        <v/>
      </c>
      <c r="M139" s="209" t="str">
        <f t="shared" ca="1" si="10"/>
        <v/>
      </c>
      <c r="N139" s="232" t="str">
        <f t="shared" ca="1" si="11"/>
        <v/>
      </c>
      <c r="O139" s="19" t="str">
        <f ca="1">IF(M139="","",VLOOKUP(M139,'Part D Calculations'!$I$3:$L$111,4, FALSE) * N139)</f>
        <v/>
      </c>
    </row>
    <row r="140" spans="9:15" x14ac:dyDescent="0.25">
      <c r="I140" s="209" t="str">
        <f t="shared" ca="1" si="9"/>
        <v/>
      </c>
      <c r="J140" s="209" t="str">
        <f t="shared" ca="1" si="8"/>
        <v/>
      </c>
      <c r="K140" s="19" t="str">
        <f ca="1">IF(I140="","",VLOOKUP(I140,'Part D Calculations'!$D$3:$G$131, 4, FALSE) * J140)</f>
        <v/>
      </c>
      <c r="M140" s="209" t="str">
        <f t="shared" ca="1" si="10"/>
        <v/>
      </c>
      <c r="N140" s="232" t="str">
        <f t="shared" ca="1" si="11"/>
        <v/>
      </c>
      <c r="O140" s="19" t="str">
        <f ca="1">IF(M140="","",VLOOKUP(M140,'Part D Calculations'!$I$3:$L$111,4, FALSE) * N140)</f>
        <v/>
      </c>
    </row>
    <row r="141" spans="9:15" x14ac:dyDescent="0.25">
      <c r="I141" s="209" t="str">
        <f t="shared" ca="1" si="9"/>
        <v/>
      </c>
      <c r="J141" s="209" t="str">
        <f t="shared" ca="1" si="8"/>
        <v/>
      </c>
      <c r="K141" s="19" t="str">
        <f ca="1">IF(I141="","",VLOOKUP(I141,'Part D Calculations'!$D$3:$G$131, 4, FALSE) * J141)</f>
        <v/>
      </c>
      <c r="M141" s="209" t="str">
        <f t="shared" ca="1" si="10"/>
        <v/>
      </c>
      <c r="N141" s="232" t="str">
        <f t="shared" ca="1" si="11"/>
        <v/>
      </c>
      <c r="O141" s="19" t="str">
        <f ca="1">IF(M141="","",VLOOKUP(M141,'Part D Calculations'!$I$3:$L$111,4, FALSE) * N141)</f>
        <v/>
      </c>
    </row>
    <row r="142" spans="9:15" x14ac:dyDescent="0.25">
      <c r="I142" s="209" t="str">
        <f t="shared" ca="1" si="9"/>
        <v/>
      </c>
      <c r="J142" s="209" t="str">
        <f t="shared" ca="1" si="8"/>
        <v/>
      </c>
      <c r="K142" s="19" t="str">
        <f ca="1">IF(I142="","",VLOOKUP(I142,'Part D Calculations'!$D$3:$G$131, 4, FALSE) * J142)</f>
        <v/>
      </c>
      <c r="M142" s="209" t="str">
        <f t="shared" ca="1" si="10"/>
        <v/>
      </c>
      <c r="N142" s="232" t="str">
        <f t="shared" ca="1" si="11"/>
        <v/>
      </c>
      <c r="O142" s="19" t="str">
        <f ca="1">IF(M142="","",VLOOKUP(M142,'Part D Calculations'!$I$3:$L$111,4, FALSE) * N142)</f>
        <v/>
      </c>
    </row>
    <row r="143" spans="9:15" x14ac:dyDescent="0.25">
      <c r="I143" s="209" t="str">
        <f t="shared" ca="1" si="9"/>
        <v/>
      </c>
      <c r="J143" s="209" t="str">
        <f t="shared" ca="1" si="8"/>
        <v/>
      </c>
      <c r="K143" s="19" t="str">
        <f ca="1">IF(I143="","",VLOOKUP(I143,'Part D Calculations'!$D$3:$G$131, 4, FALSE) * J143)</f>
        <v/>
      </c>
      <c r="M143" s="209" t="str">
        <f t="shared" ca="1" si="10"/>
        <v/>
      </c>
      <c r="N143" s="232" t="str">
        <f t="shared" ca="1" si="11"/>
        <v/>
      </c>
      <c r="O143" s="19" t="str">
        <f ca="1">IF(M143="","",VLOOKUP(M143,'Part D Calculations'!$I$3:$L$111,4, FALSE) * N143)</f>
        <v/>
      </c>
    </row>
    <row r="144" spans="9:15" x14ac:dyDescent="0.25">
      <c r="I144" s="209" t="str">
        <f t="shared" ca="1" si="9"/>
        <v/>
      </c>
      <c r="J144" s="209" t="str">
        <f t="shared" ca="1" si="8"/>
        <v/>
      </c>
      <c r="K144" s="19" t="str">
        <f ca="1">IF(I144="","",VLOOKUP(I144,'Part D Calculations'!$D$3:$G$131, 4, FALSE) * J144)</f>
        <v/>
      </c>
      <c r="M144" s="209" t="str">
        <f t="shared" ca="1" si="10"/>
        <v/>
      </c>
      <c r="N144" s="232" t="str">
        <f t="shared" ca="1" si="11"/>
        <v/>
      </c>
      <c r="O144" s="19" t="str">
        <f ca="1">IF(M144="","",VLOOKUP(M144,'Part D Calculations'!$I$3:$L$111,4, FALSE) * N144)</f>
        <v/>
      </c>
    </row>
    <row r="145" spans="9:15" x14ac:dyDescent="0.25">
      <c r="I145" s="209" t="str">
        <f t="shared" ca="1" si="9"/>
        <v/>
      </c>
      <c r="J145" s="209" t="str">
        <f t="shared" ca="1" si="8"/>
        <v/>
      </c>
      <c r="K145" s="19" t="str">
        <f ca="1">IF(I145="","",VLOOKUP(I145,'Part D Calculations'!$D$3:$G$131, 4, FALSE) * J145)</f>
        <v/>
      </c>
      <c r="M145" s="209" t="str">
        <f t="shared" ca="1" si="10"/>
        <v/>
      </c>
      <c r="N145" s="232" t="str">
        <f t="shared" ca="1" si="11"/>
        <v/>
      </c>
      <c r="O145" s="19" t="str">
        <f ca="1">IF(M145="","",VLOOKUP(M145,'Part D Calculations'!$I$3:$L$111,4, FALSE) * N145)</f>
        <v/>
      </c>
    </row>
    <row r="146" spans="9:15" x14ac:dyDescent="0.25">
      <c r="I146" s="209" t="str">
        <f t="shared" ca="1" si="9"/>
        <v/>
      </c>
      <c r="J146" s="209" t="str">
        <f t="shared" ca="1" si="8"/>
        <v/>
      </c>
      <c r="K146" s="19" t="str">
        <f ca="1">IF(I146="","",VLOOKUP(I146,'Part D Calculations'!$D$3:$G$131, 4, FALSE) * J146)</f>
        <v/>
      </c>
      <c r="M146" s="209" t="str">
        <f t="shared" ca="1" si="10"/>
        <v/>
      </c>
      <c r="N146" s="232" t="str">
        <f t="shared" ca="1" si="11"/>
        <v/>
      </c>
      <c r="O146" s="19" t="str">
        <f ca="1">IF(M146="","",VLOOKUP(M146,'Part D Calculations'!$I$3:$L$111,4, FALSE) * N146)</f>
        <v/>
      </c>
    </row>
    <row r="147" spans="9:15" x14ac:dyDescent="0.25">
      <c r="I147" s="209" t="str">
        <f t="shared" ca="1" si="9"/>
        <v/>
      </c>
      <c r="J147" s="209" t="str">
        <f t="shared" ca="1" si="8"/>
        <v/>
      </c>
      <c r="K147" s="19" t="str">
        <f ca="1">IF(I147="","",VLOOKUP(I147,'Part D Calculations'!$D$3:$G$131, 4, FALSE) * J147)</f>
        <v/>
      </c>
      <c r="M147" s="209" t="str">
        <f t="shared" ca="1" si="10"/>
        <v/>
      </c>
      <c r="N147" s="232" t="str">
        <f t="shared" ca="1" si="11"/>
        <v/>
      </c>
      <c r="O147" s="19" t="str">
        <f ca="1">IF(M147="","",VLOOKUP(M147,'Part D Calculations'!$I$3:$L$111,4, FALSE) * N147)</f>
        <v/>
      </c>
    </row>
    <row r="148" spans="9:15" x14ac:dyDescent="0.25">
      <c r="I148" s="209" t="str">
        <f t="shared" ca="1" si="9"/>
        <v/>
      </c>
      <c r="J148" s="209" t="str">
        <f t="shared" ca="1" si="8"/>
        <v/>
      </c>
      <c r="K148" s="19" t="str">
        <f ca="1">IF(I148="","",VLOOKUP(I148,'Part D Calculations'!$D$3:$G$131, 4, FALSE) * J148)</f>
        <v/>
      </c>
      <c r="M148" s="209" t="str">
        <f t="shared" ca="1" si="10"/>
        <v/>
      </c>
      <c r="N148" s="232" t="str">
        <f t="shared" ca="1" si="11"/>
        <v/>
      </c>
      <c r="O148" s="19" t="str">
        <f ca="1">IF(M148="","",VLOOKUP(M148,'Part D Calculations'!$I$3:$L$111,4, FALSE) * N148)</f>
        <v/>
      </c>
    </row>
    <row r="149" spans="9:15" x14ac:dyDescent="0.25">
      <c r="I149" s="209" t="str">
        <f t="shared" ca="1" si="9"/>
        <v/>
      </c>
      <c r="J149" s="209" t="str">
        <f t="shared" ca="1" si="8"/>
        <v/>
      </c>
      <c r="K149" s="19" t="str">
        <f ca="1">IF(I149="","",VLOOKUP(I149,'Part D Calculations'!$D$3:$G$131, 4, FALSE) * J149)</f>
        <v/>
      </c>
      <c r="M149" s="209" t="str">
        <f t="shared" ca="1" si="10"/>
        <v/>
      </c>
      <c r="N149" s="232" t="str">
        <f t="shared" ca="1" si="11"/>
        <v/>
      </c>
      <c r="O149" s="19" t="str">
        <f ca="1">IF(M149="","",VLOOKUP(M149,'Part D Calculations'!$I$3:$L$111,4, FALSE) * N149)</f>
        <v/>
      </c>
    </row>
    <row r="150" spans="9:15" x14ac:dyDescent="0.25">
      <c r="I150" s="209" t="str">
        <f t="shared" ca="1" si="9"/>
        <v/>
      </c>
      <c r="J150" s="209" t="str">
        <f t="shared" ca="1" si="8"/>
        <v/>
      </c>
      <c r="K150" s="19" t="str">
        <f ca="1">IF(I150="","",VLOOKUP(I150,'Part D Calculations'!$D$3:$G$131, 4, FALSE) * J150)</f>
        <v/>
      </c>
      <c r="M150" s="209" t="str">
        <f t="shared" ca="1" si="10"/>
        <v/>
      </c>
      <c r="N150" s="232" t="str">
        <f t="shared" ca="1" si="11"/>
        <v/>
      </c>
      <c r="O150" s="19" t="str">
        <f ca="1">IF(M150="","",VLOOKUP(M150,'Part D Calculations'!$I$3:$L$111,4, FALSE) * N150)</f>
        <v/>
      </c>
    </row>
    <row r="151" spans="9:15" x14ac:dyDescent="0.25">
      <c r="I151" s="209" t="str">
        <f t="shared" ca="1" si="9"/>
        <v/>
      </c>
      <c r="J151" s="209" t="str">
        <f t="shared" ca="1" si="8"/>
        <v/>
      </c>
      <c r="K151" s="19" t="str">
        <f ca="1">IF(I151="","",VLOOKUP(I151,'Part D Calculations'!$D$3:$G$131, 4, FALSE) * J151)</f>
        <v/>
      </c>
      <c r="M151" s="209" t="str">
        <f t="shared" ca="1" si="10"/>
        <v/>
      </c>
      <c r="N151" s="232" t="str">
        <f t="shared" ca="1" si="11"/>
        <v/>
      </c>
      <c r="O151" s="19" t="str">
        <f ca="1">IF(M151="","",VLOOKUP(M151,'Part D Calculations'!$I$3:$L$111,4, FALSE) * N151)</f>
        <v/>
      </c>
    </row>
    <row r="152" spans="9:15" x14ac:dyDescent="0.25">
      <c r="I152" s="209" t="str">
        <f t="shared" ca="1" si="9"/>
        <v/>
      </c>
      <c r="J152" s="209" t="str">
        <f t="shared" ca="1" si="8"/>
        <v/>
      </c>
      <c r="K152" s="19" t="str">
        <f ca="1">IF(I152="","",VLOOKUP(I152,'Part D Calculations'!$D$3:$G$131, 4, FALSE) * J152)</f>
        <v/>
      </c>
      <c r="M152" s="209" t="str">
        <f t="shared" ca="1" si="10"/>
        <v/>
      </c>
      <c r="N152" s="232" t="str">
        <f t="shared" ca="1" si="11"/>
        <v/>
      </c>
      <c r="O152" s="19" t="str">
        <f ca="1">IF(M152="","",VLOOKUP(M152,'Part D Calculations'!$I$3:$L$111,4, FALSE) * N152)</f>
        <v/>
      </c>
    </row>
    <row r="153" spans="9:15" x14ac:dyDescent="0.25">
      <c r="I153" s="209" t="str">
        <f t="shared" ca="1" si="9"/>
        <v/>
      </c>
      <c r="J153" s="209" t="str">
        <f t="shared" ca="1" si="8"/>
        <v/>
      </c>
      <c r="K153" s="19" t="str">
        <f ca="1">IF(I153="","",VLOOKUP(I153,'Part D Calculations'!$D$3:$G$131, 4, FALSE) * J153)</f>
        <v/>
      </c>
      <c r="M153" s="209" t="str">
        <f t="shared" ca="1" si="10"/>
        <v/>
      </c>
      <c r="N153" s="232" t="str">
        <f t="shared" ca="1" si="11"/>
        <v/>
      </c>
      <c r="O153" s="19" t="str">
        <f ca="1">IF(M153="","",VLOOKUP(M153,'Part D Calculations'!$I$3:$L$111,4, FALSE) * N153)</f>
        <v/>
      </c>
    </row>
    <row r="154" spans="9:15" x14ac:dyDescent="0.25">
      <c r="I154" s="209" t="str">
        <f t="shared" ca="1" si="9"/>
        <v/>
      </c>
      <c r="J154" s="209" t="str">
        <f t="shared" ca="1" si="8"/>
        <v/>
      </c>
      <c r="K154" s="19" t="str">
        <f ca="1">IF(I154="","",VLOOKUP(I154,'Part D Calculations'!$D$3:$G$131, 4, FALSE) * J154)</f>
        <v/>
      </c>
      <c r="M154" s="209" t="str">
        <f t="shared" ca="1" si="10"/>
        <v/>
      </c>
      <c r="N154" s="232" t="str">
        <f t="shared" ca="1" si="11"/>
        <v/>
      </c>
      <c r="O154" s="19" t="str">
        <f ca="1">IF(M154="","",VLOOKUP(M154,'Part D Calculations'!$I$3:$L$111,4, FALSE) * N154)</f>
        <v/>
      </c>
    </row>
    <row r="155" spans="9:15" x14ac:dyDescent="0.25">
      <c r="I155" s="209" t="str">
        <f t="shared" ca="1" si="9"/>
        <v/>
      </c>
      <c r="J155" s="209" t="str">
        <f t="shared" ca="1" si="8"/>
        <v/>
      </c>
      <c r="K155" s="19" t="str">
        <f ca="1">IF(I155="","",VLOOKUP(I155,'Part D Calculations'!$D$3:$G$131, 4, FALSE) * J155)</f>
        <v/>
      </c>
      <c r="M155" s="209" t="str">
        <f t="shared" ca="1" si="10"/>
        <v/>
      </c>
      <c r="N155" s="232" t="str">
        <f t="shared" ca="1" si="11"/>
        <v/>
      </c>
      <c r="O155" s="19" t="str">
        <f ca="1">IF(M155="","",VLOOKUP(M155,'Part D Calculations'!$I$3:$L$111,4, FALSE) * N155)</f>
        <v/>
      </c>
    </row>
    <row r="156" spans="9:15" x14ac:dyDescent="0.25">
      <c r="I156" s="209" t="str">
        <f t="shared" ca="1" si="9"/>
        <v/>
      </c>
      <c r="J156" s="209" t="str">
        <f t="shared" ca="1" si="8"/>
        <v/>
      </c>
      <c r="K156" s="19" t="str">
        <f ca="1">IF(I156="","",VLOOKUP(I156,'Part D Calculations'!$D$3:$G$131, 4, FALSE) * J156)</f>
        <v/>
      </c>
      <c r="M156" s="209" t="str">
        <f t="shared" ca="1" si="10"/>
        <v/>
      </c>
      <c r="N156" s="232" t="str">
        <f t="shared" ca="1" si="11"/>
        <v/>
      </c>
      <c r="O156" s="19" t="str">
        <f ca="1">IF(M156="","",VLOOKUP(M156,'Part D Calculations'!$I$3:$L$111,4, FALSE) * N156)</f>
        <v/>
      </c>
    </row>
    <row r="157" spans="9:15" x14ac:dyDescent="0.25">
      <c r="I157" s="209" t="str">
        <f t="shared" ca="1" si="9"/>
        <v/>
      </c>
      <c r="J157" s="209" t="str">
        <f t="shared" ca="1" si="8"/>
        <v/>
      </c>
      <c r="K157" s="19" t="str">
        <f ca="1">IF(I157="","",VLOOKUP(I157,'Part D Calculations'!$D$3:$G$131, 4, FALSE) * J157)</f>
        <v/>
      </c>
      <c r="M157" s="209" t="str">
        <f t="shared" ca="1" si="10"/>
        <v/>
      </c>
      <c r="N157" s="232" t="str">
        <f t="shared" ca="1" si="11"/>
        <v/>
      </c>
      <c r="O157" s="19" t="str">
        <f ca="1">IF(M157="","",VLOOKUP(M157,'Part D Calculations'!$I$3:$L$111,4, FALSE) * N157)</f>
        <v/>
      </c>
    </row>
    <row r="158" spans="9:15" x14ac:dyDescent="0.25">
      <c r="I158" s="209" t="str">
        <f t="shared" ca="1" si="9"/>
        <v/>
      </c>
      <c r="J158" s="209" t="str">
        <f t="shared" ca="1" si="8"/>
        <v/>
      </c>
      <c r="K158" s="19" t="str">
        <f ca="1">IF(I158="","",VLOOKUP(I158,'Part D Calculations'!$D$3:$G$131, 4, FALSE) * J158)</f>
        <v/>
      </c>
      <c r="M158" s="209" t="str">
        <f t="shared" ca="1" si="10"/>
        <v/>
      </c>
      <c r="N158" s="232" t="str">
        <f t="shared" ca="1" si="11"/>
        <v/>
      </c>
      <c r="O158" s="19" t="str">
        <f ca="1">IF(M158="","",VLOOKUP(M158,'Part D Calculations'!$I$3:$L$111,4, FALSE) * N158)</f>
        <v/>
      </c>
    </row>
    <row r="159" spans="9:15" x14ac:dyDescent="0.25">
      <c r="I159" s="209" t="str">
        <f t="shared" ca="1" si="9"/>
        <v/>
      </c>
      <c r="J159" s="209" t="str">
        <f t="shared" ca="1" si="8"/>
        <v/>
      </c>
      <c r="K159" s="19" t="str">
        <f ca="1">IF(I159="","",VLOOKUP(I159,'Part D Calculations'!$D$3:$G$131, 4, FALSE) * J159)</f>
        <v/>
      </c>
      <c r="M159" s="209" t="str">
        <f t="shared" ca="1" si="10"/>
        <v/>
      </c>
      <c r="N159" s="232" t="str">
        <f t="shared" ca="1" si="11"/>
        <v/>
      </c>
      <c r="O159" s="19" t="str">
        <f ca="1">IF(M159="","",VLOOKUP(M159,'Part D Calculations'!$I$3:$L$111,4, FALSE) * N159)</f>
        <v/>
      </c>
    </row>
    <row r="160" spans="9:15" x14ac:dyDescent="0.25">
      <c r="I160" s="209" t="str">
        <f t="shared" ca="1" si="9"/>
        <v/>
      </c>
      <c r="J160" s="209" t="str">
        <f t="shared" ca="1" si="8"/>
        <v/>
      </c>
      <c r="K160" s="19" t="str">
        <f ca="1">IF(I160="","",VLOOKUP(I160,'Part D Calculations'!$D$3:$G$131, 4, FALSE) * J160)</f>
        <v/>
      </c>
      <c r="M160" s="209" t="str">
        <f t="shared" ca="1" si="10"/>
        <v/>
      </c>
      <c r="N160" s="232" t="str">
        <f t="shared" ca="1" si="11"/>
        <v/>
      </c>
      <c r="O160" s="19" t="str">
        <f ca="1">IF(M160="","",VLOOKUP(M160,'Part D Calculations'!$I$3:$L$111,4, FALSE) * N160)</f>
        <v/>
      </c>
    </row>
    <row r="161" spans="9:15" x14ac:dyDescent="0.25">
      <c r="I161" s="209" t="str">
        <f t="shared" ca="1" si="9"/>
        <v/>
      </c>
      <c r="J161" s="209" t="str">
        <f t="shared" ca="1" si="8"/>
        <v/>
      </c>
      <c r="K161" s="19" t="str">
        <f ca="1">IF(I161="","",VLOOKUP(I161,'Part D Calculations'!$D$3:$G$131, 4, FALSE) * J161)</f>
        <v/>
      </c>
      <c r="M161" s="209" t="str">
        <f t="shared" ca="1" si="10"/>
        <v/>
      </c>
      <c r="N161" s="232" t="str">
        <f t="shared" ca="1" si="11"/>
        <v/>
      </c>
      <c r="O161" s="19" t="str">
        <f ca="1">IF(M161="","",VLOOKUP(M161,'Part D Calculations'!$I$3:$L$111,4, FALSE) * N161)</f>
        <v/>
      </c>
    </row>
    <row r="162" spans="9:15" x14ac:dyDescent="0.25">
      <c r="I162" s="209" t="str">
        <f t="shared" ca="1" si="9"/>
        <v/>
      </c>
      <c r="J162" s="209" t="str">
        <f t="shared" ca="1" si="8"/>
        <v/>
      </c>
      <c r="K162" s="19" t="str">
        <f ca="1">IF(I162="","",VLOOKUP(I162,'Part D Calculations'!$D$3:$G$131, 4, FALSE) * J162)</f>
        <v/>
      </c>
      <c r="M162" s="209" t="str">
        <f t="shared" ca="1" si="10"/>
        <v/>
      </c>
      <c r="N162" s="232" t="str">
        <f t="shared" ca="1" si="11"/>
        <v/>
      </c>
      <c r="O162" s="19" t="str">
        <f ca="1">IF(M162="","",VLOOKUP(M162,'Part D Calculations'!$I$3:$L$111,4, FALSE) * N162)</f>
        <v/>
      </c>
    </row>
    <row r="163" spans="9:15" x14ac:dyDescent="0.25">
      <c r="I163" s="209" t="str">
        <f t="shared" ca="1" si="9"/>
        <v/>
      </c>
      <c r="J163" s="209" t="str">
        <f t="shared" ca="1" si="8"/>
        <v/>
      </c>
      <c r="K163" s="19" t="str">
        <f ca="1">IF(I163="","",VLOOKUP(I163,'Part D Calculations'!$D$3:$G$131, 4, FALSE) * J163)</f>
        <v/>
      </c>
      <c r="M163" s="209" t="str">
        <f t="shared" ca="1" si="10"/>
        <v/>
      </c>
      <c r="N163" s="232" t="str">
        <f t="shared" ca="1" si="11"/>
        <v/>
      </c>
      <c r="O163" s="19" t="str">
        <f ca="1">IF(M163="","",VLOOKUP(M163,'Part D Calculations'!$I$3:$L$111,4, FALSE) * N163)</f>
        <v/>
      </c>
    </row>
    <row r="164" spans="9:15" x14ac:dyDescent="0.25">
      <c r="I164" s="209" t="str">
        <f t="shared" ca="1" si="9"/>
        <v/>
      </c>
      <c r="J164" s="209" t="str">
        <f t="shared" ca="1" si="8"/>
        <v/>
      </c>
      <c r="K164" s="19" t="str">
        <f ca="1">IF(I164="","",VLOOKUP(I164,'Part D Calculations'!$D$3:$G$131, 4, FALSE) * J164)</f>
        <v/>
      </c>
      <c r="M164" s="209" t="str">
        <f t="shared" ca="1" si="10"/>
        <v/>
      </c>
      <c r="N164" s="232" t="str">
        <f t="shared" ca="1" si="11"/>
        <v/>
      </c>
      <c r="O164" s="19" t="str">
        <f ca="1">IF(M164="","",VLOOKUP(M164,'Part D Calculations'!$I$3:$L$111,4, FALSE) * N164)</f>
        <v/>
      </c>
    </row>
    <row r="165" spans="9:15" x14ac:dyDescent="0.25">
      <c r="I165" s="209" t="str">
        <f t="shared" ca="1" si="9"/>
        <v/>
      </c>
      <c r="J165" s="209" t="str">
        <f t="shared" ca="1" si="8"/>
        <v/>
      </c>
      <c r="K165" s="19" t="str">
        <f ca="1">IF(I165="","",VLOOKUP(I165,'Part D Calculations'!$D$3:$G$131, 4, FALSE) * J165)</f>
        <v/>
      </c>
      <c r="M165" s="209" t="str">
        <f t="shared" ca="1" si="10"/>
        <v/>
      </c>
      <c r="N165" s="232" t="str">
        <f t="shared" ca="1" si="11"/>
        <v/>
      </c>
      <c r="O165" s="19" t="str">
        <f ca="1">IF(M165="","",VLOOKUP(M165,'Part D Calculations'!$I$3:$L$111,4, FALSE) * N165)</f>
        <v/>
      </c>
    </row>
    <row r="166" spans="9:15" x14ac:dyDescent="0.25">
      <c r="I166" s="209" t="str">
        <f t="shared" ca="1" si="9"/>
        <v/>
      </c>
      <c r="J166" s="209" t="str">
        <f t="shared" ca="1" si="8"/>
        <v/>
      </c>
      <c r="K166" s="19" t="str">
        <f ca="1">IF(I166="","",VLOOKUP(I166,'Part D Calculations'!$D$3:$G$131, 4, FALSE) * J166)</f>
        <v/>
      </c>
      <c r="M166" s="209" t="str">
        <f t="shared" ca="1" si="10"/>
        <v/>
      </c>
      <c r="N166" s="232" t="str">
        <f t="shared" ca="1" si="11"/>
        <v/>
      </c>
      <c r="O166" s="19" t="str">
        <f ca="1">IF(M166="","",VLOOKUP(M166,'Part D Calculations'!$I$3:$L$111,4, FALSE) * N166)</f>
        <v/>
      </c>
    </row>
    <row r="167" spans="9:15" x14ac:dyDescent="0.25">
      <c r="I167" s="209" t="str">
        <f t="shared" ca="1" si="9"/>
        <v/>
      </c>
      <c r="J167" s="209" t="str">
        <f t="shared" ca="1" si="8"/>
        <v/>
      </c>
      <c r="K167" s="19" t="str">
        <f ca="1">IF(I167="","",VLOOKUP(I167,'Part D Calculations'!$D$3:$G$131, 4, FALSE) * J167)</f>
        <v/>
      </c>
      <c r="M167" s="209" t="str">
        <f t="shared" ca="1" si="10"/>
        <v/>
      </c>
      <c r="N167" s="232" t="str">
        <f t="shared" ca="1" si="11"/>
        <v/>
      </c>
      <c r="O167" s="19" t="str">
        <f ca="1">IF(M167="","",VLOOKUP(M167,'Part D Calculations'!$I$3:$L$111,4, FALSE) * N167)</f>
        <v/>
      </c>
    </row>
    <row r="168" spans="9:15" x14ac:dyDescent="0.25">
      <c r="I168" s="209" t="str">
        <f t="shared" ca="1" si="9"/>
        <v/>
      </c>
      <c r="J168" s="209" t="str">
        <f t="shared" ca="1" si="8"/>
        <v/>
      </c>
      <c r="K168" s="19" t="str">
        <f ca="1">IF(I168="","",VLOOKUP(I168,'Part D Calculations'!$D$3:$G$131, 4, FALSE) * J168)</f>
        <v/>
      </c>
      <c r="M168" s="209" t="str">
        <f t="shared" ca="1" si="10"/>
        <v/>
      </c>
      <c r="N168" s="232" t="str">
        <f t="shared" ca="1" si="11"/>
        <v/>
      </c>
      <c r="O168" s="19" t="str">
        <f ca="1">IF(M168="","",VLOOKUP(M168,'Part D Calculations'!$I$3:$L$111,4, FALSE) * N168)</f>
        <v/>
      </c>
    </row>
    <row r="169" spans="9:15" x14ac:dyDescent="0.25">
      <c r="I169" s="209" t="str">
        <f t="shared" ca="1" si="9"/>
        <v/>
      </c>
      <c r="J169" s="209" t="str">
        <f t="shared" ca="1" si="8"/>
        <v/>
      </c>
      <c r="K169" s="19" t="str">
        <f ca="1">IF(I169="","",VLOOKUP(I169,'Part D Calculations'!$D$3:$G$131, 4, FALSE) * J169)</f>
        <v/>
      </c>
      <c r="M169" s="209" t="str">
        <f t="shared" ca="1" si="10"/>
        <v/>
      </c>
      <c r="N169" s="232" t="str">
        <f t="shared" ca="1" si="11"/>
        <v/>
      </c>
      <c r="O169" s="19" t="str">
        <f ca="1">IF(M169="","",VLOOKUP(M169,'Part D Calculations'!$I$3:$L$111,4, FALSE) * N169)</f>
        <v/>
      </c>
    </row>
    <row r="170" spans="9:15" x14ac:dyDescent="0.25">
      <c r="I170" s="209" t="str">
        <f t="shared" ca="1" si="9"/>
        <v/>
      </c>
      <c r="J170" s="209" t="str">
        <f t="shared" ca="1" si="8"/>
        <v/>
      </c>
      <c r="K170" s="19" t="str">
        <f ca="1">IF(I170="","",VLOOKUP(I170,'Part D Calculations'!$D$3:$G$131, 4, FALSE) * J170)</f>
        <v/>
      </c>
      <c r="M170" s="209" t="str">
        <f t="shared" ca="1" si="10"/>
        <v/>
      </c>
      <c r="N170" s="232" t="str">
        <f t="shared" ca="1" si="11"/>
        <v/>
      </c>
      <c r="O170" s="19" t="str">
        <f ca="1">IF(M170="","",VLOOKUP(M170,'Part D Calculations'!$I$3:$L$111,4, FALSE) * N170)</f>
        <v/>
      </c>
    </row>
    <row r="171" spans="9:15" x14ac:dyDescent="0.25">
      <c r="I171" s="209" t="str">
        <f t="shared" ca="1" si="9"/>
        <v/>
      </c>
      <c r="J171" s="209" t="str">
        <f t="shared" ca="1" si="8"/>
        <v/>
      </c>
      <c r="K171" s="19" t="str">
        <f ca="1">IF(I171="","",VLOOKUP(I171,'Part D Calculations'!$D$3:$G$131, 4, FALSE) * J171)</f>
        <v/>
      </c>
      <c r="M171" s="209" t="str">
        <f t="shared" ca="1" si="10"/>
        <v/>
      </c>
      <c r="N171" s="232" t="str">
        <f t="shared" ca="1" si="11"/>
        <v/>
      </c>
      <c r="O171" s="19" t="str">
        <f ca="1">IF(M171="","",VLOOKUP(M171,'Part D Calculations'!$I$3:$L$111,4, FALSE) * N171)</f>
        <v/>
      </c>
    </row>
    <row r="172" spans="9:15" x14ac:dyDescent="0.25">
      <c r="I172" s="209" t="str">
        <f t="shared" ca="1" si="9"/>
        <v/>
      </c>
      <c r="J172" s="209" t="str">
        <f t="shared" ca="1" si="8"/>
        <v/>
      </c>
      <c r="K172" s="19" t="str">
        <f ca="1">IF(I172="","",VLOOKUP(I172,'Part D Calculations'!$D$3:$G$131, 4, FALSE) * J172)</f>
        <v/>
      </c>
      <c r="M172" s="209" t="str">
        <f t="shared" ca="1" si="10"/>
        <v/>
      </c>
      <c r="N172" s="232" t="str">
        <f t="shared" ca="1" si="11"/>
        <v/>
      </c>
      <c r="O172" s="19" t="str">
        <f ca="1">IF(M172="","",VLOOKUP(M172,'Part D Calculations'!$I$3:$L$111,4, FALSE) * N172)</f>
        <v/>
      </c>
    </row>
    <row r="173" spans="9:15" x14ac:dyDescent="0.25">
      <c r="I173" s="209" t="str">
        <f t="shared" ca="1" si="9"/>
        <v/>
      </c>
      <c r="J173" s="209" t="str">
        <f t="shared" ca="1" si="8"/>
        <v/>
      </c>
      <c r="K173" s="19" t="str">
        <f ca="1">IF(I173="","",VLOOKUP(I173,'Part D Calculations'!$D$3:$G$131, 4, FALSE) * J173)</f>
        <v/>
      </c>
      <c r="M173" s="209" t="str">
        <f t="shared" ca="1" si="10"/>
        <v/>
      </c>
      <c r="N173" s="232" t="str">
        <f t="shared" ca="1" si="11"/>
        <v/>
      </c>
      <c r="O173" s="19" t="str">
        <f ca="1">IF(M173="","",VLOOKUP(M173,'Part D Calculations'!$I$3:$L$111,4, FALSE) * N173)</f>
        <v/>
      </c>
    </row>
    <row r="174" spans="9:15" x14ac:dyDescent="0.25">
      <c r="I174" s="209" t="str">
        <f t="shared" ca="1" si="9"/>
        <v/>
      </c>
      <c r="J174" s="209" t="str">
        <f t="shared" ca="1" si="8"/>
        <v/>
      </c>
      <c r="K174" s="19" t="str">
        <f ca="1">IF(I174="","",VLOOKUP(I174,'Part D Calculations'!$D$3:$G$131, 4, FALSE) * J174)</f>
        <v/>
      </c>
      <c r="M174" s="209" t="str">
        <f t="shared" ca="1" si="10"/>
        <v/>
      </c>
      <c r="N174" s="232" t="str">
        <f t="shared" ca="1" si="11"/>
        <v/>
      </c>
      <c r="O174" s="19" t="str">
        <f ca="1">IF(M174="","",VLOOKUP(M174,'Part D Calculations'!$I$3:$L$111,4, FALSE) * N174)</f>
        <v/>
      </c>
    </row>
    <row r="175" spans="9:15" x14ac:dyDescent="0.25">
      <c r="I175" s="209" t="str">
        <f t="shared" ca="1" si="9"/>
        <v/>
      </c>
      <c r="J175" s="209" t="str">
        <f t="shared" ca="1" si="8"/>
        <v/>
      </c>
      <c r="K175" s="19" t="str">
        <f ca="1">IF(I175="","",VLOOKUP(I175,'Part D Calculations'!$D$3:$G$131, 4, FALSE) * J175)</f>
        <v/>
      </c>
      <c r="M175" s="209" t="str">
        <f t="shared" ca="1" si="10"/>
        <v/>
      </c>
      <c r="N175" s="232" t="str">
        <f t="shared" ca="1" si="11"/>
        <v/>
      </c>
      <c r="O175" s="19" t="str">
        <f ca="1">IF(M175="","",VLOOKUP(M175,'Part D Calculations'!$I$3:$L$111,4, FALSE) * N175)</f>
        <v/>
      </c>
    </row>
    <row r="176" spans="9:15" x14ac:dyDescent="0.25">
      <c r="I176" s="209" t="str">
        <f t="shared" ca="1" si="9"/>
        <v/>
      </c>
      <c r="J176" s="209" t="str">
        <f t="shared" ca="1" si="8"/>
        <v/>
      </c>
      <c r="K176" s="19" t="str">
        <f ca="1">IF(I176="","",VLOOKUP(I176,'Part D Calculations'!$D$3:$G$131, 4, FALSE) * J176)</f>
        <v/>
      </c>
      <c r="M176" s="209" t="str">
        <f t="shared" ca="1" si="10"/>
        <v/>
      </c>
      <c r="N176" s="232" t="str">
        <f t="shared" ca="1" si="11"/>
        <v/>
      </c>
      <c r="O176" s="19" t="str">
        <f ca="1">IF(M176="","",VLOOKUP(M176,'Part D Calculations'!$I$3:$L$111,4, FALSE) * N176)</f>
        <v/>
      </c>
    </row>
    <row r="177" spans="9:15" x14ac:dyDescent="0.25">
      <c r="I177" s="209" t="str">
        <f t="shared" ca="1" si="9"/>
        <v/>
      </c>
      <c r="J177" s="209" t="str">
        <f t="shared" ca="1" si="8"/>
        <v/>
      </c>
      <c r="K177" s="19" t="str">
        <f ca="1">IF(I177="","",VLOOKUP(I177,'Part D Calculations'!$D$3:$G$131, 4, FALSE) * J177)</f>
        <v/>
      </c>
      <c r="M177" s="209" t="str">
        <f t="shared" ca="1" si="10"/>
        <v/>
      </c>
      <c r="N177" s="232" t="str">
        <f t="shared" ca="1" si="11"/>
        <v/>
      </c>
      <c r="O177" s="19" t="str">
        <f ca="1">IF(M177="","",VLOOKUP(M177,'Part D Calculations'!$I$3:$L$111,4, FALSE) * N177)</f>
        <v/>
      </c>
    </row>
    <row r="178" spans="9:15" x14ac:dyDescent="0.25">
      <c r="I178" s="209" t="str">
        <f t="shared" ca="1" si="9"/>
        <v/>
      </c>
      <c r="J178" s="209" t="str">
        <f t="shared" ca="1" si="8"/>
        <v/>
      </c>
      <c r="K178" s="19" t="str">
        <f ca="1">IF(I178="","",VLOOKUP(I178,'Part D Calculations'!$D$3:$G$131, 4, FALSE) * J178)</f>
        <v/>
      </c>
      <c r="M178" s="209" t="str">
        <f t="shared" ca="1" si="10"/>
        <v/>
      </c>
      <c r="N178" s="232" t="str">
        <f t="shared" ca="1" si="11"/>
        <v/>
      </c>
      <c r="O178" s="19" t="str">
        <f ca="1">IF(M178="","",VLOOKUP(M178,'Part D Calculations'!$I$3:$L$111,4, FALSE) * N178)</f>
        <v/>
      </c>
    </row>
    <row r="179" spans="9:15" x14ac:dyDescent="0.25">
      <c r="I179" s="209" t="str">
        <f t="shared" ca="1" si="9"/>
        <v/>
      </c>
      <c r="J179" s="209" t="str">
        <f t="shared" ca="1" si="8"/>
        <v/>
      </c>
      <c r="K179" s="19" t="str">
        <f ca="1">IF(I179="","",VLOOKUP(I179,'Part D Calculations'!$D$3:$G$131, 4, FALSE) * J179)</f>
        <v/>
      </c>
      <c r="M179" s="209" t="str">
        <f t="shared" ca="1" si="10"/>
        <v/>
      </c>
      <c r="N179" s="232" t="str">
        <f t="shared" ca="1" si="11"/>
        <v/>
      </c>
      <c r="O179" s="19" t="str">
        <f ca="1">IF(M179="","",VLOOKUP(M179,'Part D Calculations'!$I$3:$L$111,4, FALSE) * N179)</f>
        <v/>
      </c>
    </row>
    <row r="180" spans="9:15" x14ac:dyDescent="0.25">
      <c r="J180" s="209" t="str">
        <f t="shared" si="8"/>
        <v/>
      </c>
      <c r="K180" s="19" t="str">
        <f>IF(I180="","",VLOOKUP(I180,'Part D Calculations'!$D$3:$G$131, 4, FALSE) * J180)</f>
        <v/>
      </c>
      <c r="M180" s="209" t="str">
        <f t="shared" ca="1" si="10"/>
        <v/>
      </c>
      <c r="N180" s="232" t="str">
        <f t="shared" ca="1" si="11"/>
        <v/>
      </c>
      <c r="O180" s="19" t="str">
        <f ca="1">IF(M180="","",VLOOKUP(M180,'Part D Calculations'!$I$3:$L$111,4, FALSE) * N180)</f>
        <v/>
      </c>
    </row>
    <row r="181" spans="9:15" x14ac:dyDescent="0.25">
      <c r="J181" s="209" t="str">
        <f t="shared" si="8"/>
        <v/>
      </c>
      <c r="K181" s="19" t="str">
        <f>IF(I181="","",VLOOKUP(I181,'Part D Calculations'!$D$3:$G$131, 4, FALSE) * J181)</f>
        <v/>
      </c>
      <c r="M181" s="209" t="str">
        <f t="shared" ca="1" si="10"/>
        <v/>
      </c>
      <c r="N181" s="232" t="str">
        <f t="shared" ca="1" si="11"/>
        <v/>
      </c>
      <c r="O181" s="19" t="str">
        <f ca="1">IF(M181="","",VLOOKUP(M181,'Part D Calculations'!$I$3:$L$111,4, FALSE) * N181)</f>
        <v/>
      </c>
    </row>
    <row r="182" spans="9:15" x14ac:dyDescent="0.25">
      <c r="J182" s="209" t="str">
        <f t="shared" si="8"/>
        <v/>
      </c>
      <c r="K182" s="19" t="str">
        <f>IF(I182="","",VLOOKUP(I182,'Part D Calculations'!$D$3:$G$131, 4, FALSE) * J182)</f>
        <v/>
      </c>
      <c r="M182" s="209" t="str">
        <f t="shared" ca="1" si="10"/>
        <v/>
      </c>
      <c r="N182" s="232" t="str">
        <f t="shared" ca="1" si="11"/>
        <v/>
      </c>
      <c r="O182" s="19" t="str">
        <f ca="1">IF(M182="","",VLOOKUP(M182,'Part D Calculations'!$I$3:$L$111,4, FALSE) * N182)</f>
        <v/>
      </c>
    </row>
    <row r="183" spans="9:15" x14ac:dyDescent="0.25">
      <c r="J183" s="209" t="str">
        <f t="shared" si="8"/>
        <v/>
      </c>
      <c r="K183" s="19" t="str">
        <f>IF(I183="","",VLOOKUP(I183,'Part D Calculations'!$D$3:$G$131, 4, FALSE) * J183)</f>
        <v/>
      </c>
      <c r="M183" s="209" t="str">
        <f t="shared" ca="1" si="10"/>
        <v/>
      </c>
      <c r="N183" s="232" t="str">
        <f t="shared" ca="1" si="11"/>
        <v/>
      </c>
      <c r="O183" s="19" t="str">
        <f ca="1">IF(M183="","",VLOOKUP(M183,'Part D Calculations'!$I$3:$L$111,4, FALSE) * N183)</f>
        <v/>
      </c>
    </row>
    <row r="184" spans="9:15" x14ac:dyDescent="0.25">
      <c r="K184" s="19" t="str">
        <f>IF(I184="","",VLOOKUP(I184,'Part D Calculations'!$D$3:$G$131, 4, FALSE) * J184)</f>
        <v/>
      </c>
      <c r="M184" s="209" t="str">
        <f t="shared" ca="1" si="10"/>
        <v/>
      </c>
      <c r="N184" s="232" t="str">
        <f t="shared" ca="1" si="11"/>
        <v/>
      </c>
      <c r="O184" s="19" t="str">
        <f ca="1">IF(M184="","",VLOOKUP(M184,'Part D Calculations'!$I$3:$L$111,4, FALSE) * N184)</f>
        <v/>
      </c>
    </row>
    <row r="185" spans="9:15" x14ac:dyDescent="0.25">
      <c r="K185" s="19" t="str">
        <f>IF(I185="","",VLOOKUP(I185,'Part D Calculations'!$D$3:$G$131, 4, FALSE) * J185)</f>
        <v/>
      </c>
      <c r="M185" s="209" t="str">
        <f t="shared" ca="1" si="10"/>
        <v/>
      </c>
      <c r="N185" s="232" t="str">
        <f t="shared" ca="1" si="11"/>
        <v/>
      </c>
      <c r="O185" s="19" t="str">
        <f ca="1">IF(M185="","",VLOOKUP(M185,'Part D Calculations'!$I$3:$L$111,4, FALSE) * N185)</f>
        <v/>
      </c>
    </row>
    <row r="186" spans="9:15" x14ac:dyDescent="0.25">
      <c r="K186" s="19" t="str">
        <f>IF(I186="","",VLOOKUP(I186,'Part D Calculations'!$D$3:$G$131, 4, FALSE) * J186)</f>
        <v/>
      </c>
      <c r="M186" s="209" t="str">
        <f t="shared" ca="1" si="10"/>
        <v/>
      </c>
      <c r="N186" s="232" t="str">
        <f t="shared" ca="1" si="11"/>
        <v/>
      </c>
      <c r="O186" s="19" t="str">
        <f ca="1">IF(M186="","",VLOOKUP(M186,'Part D Calculations'!$I$3:$L$111,4, FALSE) * N186)</f>
        <v/>
      </c>
    </row>
    <row r="187" spans="9:15" x14ac:dyDescent="0.25">
      <c r="K187" s="19" t="str">
        <f>IF(I187="","",VLOOKUP(I187,'Part D Calculations'!$D$3:$G$131, 4, FALSE) * J187)</f>
        <v/>
      </c>
      <c r="M187" s="209" t="str">
        <f t="shared" ca="1" si="10"/>
        <v/>
      </c>
      <c r="N187" s="232" t="str">
        <f t="shared" ca="1" si="11"/>
        <v/>
      </c>
      <c r="O187" s="19" t="str">
        <f ca="1">IF(M187="","",VLOOKUP(M187,'Part D Calculations'!$I$3:$L$111,4, FALSE) * N187)</f>
        <v/>
      </c>
    </row>
    <row r="188" spans="9:15" x14ac:dyDescent="0.25">
      <c r="K188" s="19" t="str">
        <f>IF(I188="","",VLOOKUP(I188,'Part D Calculations'!$D$3:$G$131, 4, FALSE) * J188)</f>
        <v/>
      </c>
      <c r="M188" s="209" t="str">
        <f t="shared" ca="1" si="10"/>
        <v/>
      </c>
      <c r="N188" s="232" t="str">
        <f t="shared" ca="1" si="11"/>
        <v/>
      </c>
      <c r="O188" s="19" t="str">
        <f ca="1">IF(M188="","",VLOOKUP(M188,'Part D Calculations'!$I$3:$L$111,4, FALSE) * N188)</f>
        <v/>
      </c>
    </row>
    <row r="189" spans="9:15" x14ac:dyDescent="0.25">
      <c r="M189" s="209" t="str">
        <f t="shared" ca="1" si="10"/>
        <v/>
      </c>
      <c r="N189" s="232" t="str">
        <f t="shared" ca="1" si="11"/>
        <v/>
      </c>
      <c r="O189" s="19" t="str">
        <f ca="1">IF(M189="","",VLOOKUP(M189,'Part D Calculations'!$I$3:$L$111,4, FALSE) * N189)</f>
        <v/>
      </c>
    </row>
    <row r="190" spans="9:15" x14ac:dyDescent="0.25">
      <c r="M190" s="209" t="str">
        <f t="shared" ca="1" si="10"/>
        <v/>
      </c>
      <c r="N190" s="232" t="str">
        <f t="shared" ca="1" si="11"/>
        <v/>
      </c>
      <c r="O190" s="19" t="str">
        <f ca="1">IF(M190="","",VLOOKUP(M190,'Part D Calculations'!$I$3:$L$111,4, FALSE) * N190)</f>
        <v/>
      </c>
    </row>
    <row r="191" spans="9:15" x14ac:dyDescent="0.25">
      <c r="M191" s="209" t="str">
        <f t="shared" ca="1" si="10"/>
        <v/>
      </c>
      <c r="O191" s="19" t="str">
        <f ca="1">IF(M191="","",VLOOKUP(M191,'Part D Calculations'!$I$3:$L$111,4, FALSE) * N191)</f>
        <v/>
      </c>
    </row>
    <row r="192" spans="9:15" x14ac:dyDescent="0.25">
      <c r="M192" s="209" t="str">
        <f t="shared" ca="1" si="10"/>
        <v/>
      </c>
      <c r="O192" s="19" t="str">
        <f ca="1">IF(M192="","",VLOOKUP(M192,'Part D Calculations'!$I$3:$L$111,4, FALSE) * N192)</f>
        <v/>
      </c>
    </row>
    <row r="193" spans="13:15" x14ac:dyDescent="0.25">
      <c r="M193" s="209" t="str">
        <f t="shared" ca="1" si="10"/>
        <v/>
      </c>
      <c r="O193" s="19" t="str">
        <f ca="1">IF(M193="","",VLOOKUP(M193,'Part D Calculations'!$I$3:$L$111,4, FALSE) * N193)</f>
        <v/>
      </c>
    </row>
    <row r="194" spans="13:15" x14ac:dyDescent="0.25">
      <c r="M194" s="209" t="str">
        <f t="shared" ca="1" si="10"/>
        <v/>
      </c>
      <c r="O194" s="19" t="str">
        <f ca="1">IF(M194="","",VLOOKUP(M194,'Part D Calculations'!$I$3:$L$111,4, FALSE) * N194)</f>
        <v/>
      </c>
    </row>
    <row r="195" spans="13:15" x14ac:dyDescent="0.25">
      <c r="M195" s="209" t="str">
        <f t="shared" ca="1" si="10"/>
        <v/>
      </c>
      <c r="O195" s="19" t="str">
        <f ca="1">IF(M195="","",VLOOKUP(M195,'Part D Calculations'!$I$3:$L$111,4, FALSE) * N195)</f>
        <v/>
      </c>
    </row>
    <row r="196" spans="13:15" x14ac:dyDescent="0.25">
      <c r="M196" s="209" t="str">
        <f t="shared" ca="1" si="10"/>
        <v/>
      </c>
      <c r="O196" s="19" t="str">
        <f ca="1">IF(M196="","",VLOOKUP(M196,'Part D Calculations'!$I$3:$L$111,4, FALSE) * N196)</f>
        <v/>
      </c>
    </row>
    <row r="197" spans="13:15" x14ac:dyDescent="0.25">
      <c r="M197" s="209" t="str">
        <f t="shared" ca="1" si="10"/>
        <v/>
      </c>
      <c r="O197" s="19" t="str">
        <f ca="1">IF(M197="","",VLOOKUP(M197,'Part D Calculations'!$I$3:$L$111,4, FALSE) * N197)</f>
        <v/>
      </c>
    </row>
    <row r="198" spans="13:15" x14ac:dyDescent="0.25">
      <c r="M198" s="209" t="str">
        <f t="shared" ref="M198:M201" ca="1" si="12">IFERROR(IF(IF(M197+1&gt;=YEAR($B$1),0, M197+1) = 0, "", IF(M197+1&gt;=YEAR($B$1),0, M197+1)),"")</f>
        <v/>
      </c>
      <c r="O198" s="19" t="str">
        <f ca="1">IF(M198="","",VLOOKUP(M198,'Part D Calculations'!$I$3:$L$111,4, FALSE) * N198)</f>
        <v/>
      </c>
    </row>
    <row r="199" spans="13:15" x14ac:dyDescent="0.25">
      <c r="M199" s="209" t="str">
        <f t="shared" ca="1" si="12"/>
        <v/>
      </c>
      <c r="O199" s="19" t="str">
        <f ca="1">IF(M199="","",VLOOKUP(M199,'Part D Calculations'!$I$3:$L$111,4, FALSE) * N199)</f>
        <v/>
      </c>
    </row>
    <row r="200" spans="13:15" x14ac:dyDescent="0.25">
      <c r="M200" s="209" t="str">
        <f t="shared" ca="1" si="12"/>
        <v/>
      </c>
      <c r="O200" s="19" t="str">
        <f ca="1">IF(M200="","",VLOOKUP(M200,'Part D Calculations'!$I$3:$L$111,4, FALSE) * N200)</f>
        <v/>
      </c>
    </row>
    <row r="201" spans="13:15" x14ac:dyDescent="0.25">
      <c r="M201" s="209" t="str">
        <f t="shared" ca="1" si="12"/>
        <v/>
      </c>
      <c r="O201" s="19" t="str">
        <f ca="1">IF(M201="","",VLOOKUP(M201,'Part D Calculations'!$I$3:$L$111,4, FALSE) * N201)</f>
        <v/>
      </c>
    </row>
  </sheetData>
  <sheetProtection algorithmName="SHA-512" hashValue="5tLWZ41Vw0kZ1g0Ik7kKUGFCB6CqHN37ZWQ58tGlrnroyvpEhJHosX283tTGJSir4opWcMKy2xQc6qJFYMl45A==" saltValue="EoVDMwz0euCZit6A3/V95g==" spinCount="100000" sheet="1"/>
  <pageMargins left="0.7" right="0.7" top="0.75" bottom="0.75" header="0.3" footer="0.3"/>
  <pageSetup orientation="portrait" horizontalDpi="4294967293" verticalDpi="0" r:id="rId1"/>
  <ignoredErrors>
    <ignoredError sqref="B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locked="0" defaultSize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144780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locked="0" defaultSize="0" autoLine="0" autoPict="0">
                <anchor moveWithCells="1">
                  <from>
                    <xdr:col>5</xdr:col>
                    <xdr:colOff>7620</xdr:colOff>
                    <xdr:row>11</xdr:row>
                    <xdr:rowOff>0</xdr:rowOff>
                  </from>
                  <to>
                    <xdr:col>6</xdr:col>
                    <xdr:colOff>144780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Drop Down 3">
              <controlPr locked="0" defaultSize="0" autoLine="0" autoPict="0">
                <anchor moveWithCells="1" siz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137160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8CDF-8118-49FB-98D9-2DDD5468B78D}">
  <dimension ref="A1:E18"/>
  <sheetViews>
    <sheetView showGridLines="0" workbookViewId="0">
      <selection activeCell="D16" sqref="D16"/>
    </sheetView>
  </sheetViews>
  <sheetFormatPr defaultRowHeight="13.2" x14ac:dyDescent="0.25"/>
  <cols>
    <col min="1" max="1" width="18.33203125" customWidth="1"/>
    <col min="2" max="2" width="17" bestFit="1" customWidth="1"/>
  </cols>
  <sheetData>
    <row r="1" spans="1:5" ht="13.8" thickBot="1" x14ac:dyDescent="0.3">
      <c r="E1" s="127"/>
    </row>
    <row r="2" spans="1:5" x14ac:dyDescent="0.25">
      <c r="A2" s="275" t="s">
        <v>117</v>
      </c>
      <c r="B2" s="128">
        <v>757</v>
      </c>
      <c r="E2" s="127"/>
    </row>
    <row r="3" spans="1:5" x14ac:dyDescent="0.25">
      <c r="A3" s="276" t="s">
        <v>100</v>
      </c>
      <c r="B3" s="159">
        <f>DATE(1971,4,8)</f>
        <v>26031</v>
      </c>
      <c r="E3" s="127"/>
    </row>
    <row r="4" spans="1:5" x14ac:dyDescent="0.25">
      <c r="A4" s="276" t="s">
        <v>5</v>
      </c>
      <c r="B4" s="273">
        <v>68244.990000000005</v>
      </c>
    </row>
    <row r="5" spans="1:5" ht="13.8" thickBot="1" x14ac:dyDescent="0.3">
      <c r="A5" s="277" t="s">
        <v>118</v>
      </c>
      <c r="B5" s="274">
        <v>79114.649999999994</v>
      </c>
    </row>
    <row r="6" spans="1:5" ht="13.8" thickBot="1" x14ac:dyDescent="0.3"/>
    <row r="7" spans="1:5" ht="13.8" thickBot="1" x14ac:dyDescent="0.3">
      <c r="A7" s="278" t="s">
        <v>104</v>
      </c>
      <c r="B7" s="279" t="s">
        <v>119</v>
      </c>
    </row>
    <row r="8" spans="1:5" x14ac:dyDescent="0.25">
      <c r="A8" s="46">
        <v>55</v>
      </c>
      <c r="B8" s="273">
        <v>13351.830554414784</v>
      </c>
    </row>
    <row r="9" spans="1:5" x14ac:dyDescent="0.25">
      <c r="A9" s="46">
        <v>56</v>
      </c>
      <c r="B9" s="273">
        <v>14248.486324435316</v>
      </c>
    </row>
    <row r="10" spans="1:5" x14ac:dyDescent="0.25">
      <c r="A10" s="46">
        <v>57</v>
      </c>
      <c r="B10" s="273">
        <v>15223.346858316221</v>
      </c>
    </row>
    <row r="11" spans="1:5" x14ac:dyDescent="0.25">
      <c r="A11" s="46">
        <v>58</v>
      </c>
      <c r="B11" s="273">
        <v>16120.412402464066</v>
      </c>
    </row>
    <row r="12" spans="1:5" x14ac:dyDescent="0.25">
      <c r="A12" s="46">
        <v>59</v>
      </c>
      <c r="B12" s="273">
        <v>17094.810431211499</v>
      </c>
    </row>
    <row r="13" spans="1:5" x14ac:dyDescent="0.25">
      <c r="A13" s="46">
        <v>60</v>
      </c>
      <c r="B13" s="273">
        <v>18095.110718685832</v>
      </c>
    </row>
    <row r="14" spans="1:5" x14ac:dyDescent="0.25">
      <c r="A14" s="46">
        <v>61</v>
      </c>
      <c r="B14" s="273">
        <v>19178.07770020534</v>
      </c>
    </row>
    <row r="15" spans="1:5" x14ac:dyDescent="0.25">
      <c r="A15" s="46">
        <v>62</v>
      </c>
      <c r="B15" s="273">
        <v>20174.467761806984</v>
      </c>
    </row>
    <row r="16" spans="1:5" x14ac:dyDescent="0.25">
      <c r="A16" s="46">
        <v>63</v>
      </c>
      <c r="B16" s="273">
        <v>21252.510308008215</v>
      </c>
    </row>
    <row r="17" spans="1:2" x14ac:dyDescent="0.25">
      <c r="A17" s="46">
        <v>64</v>
      </c>
      <c r="B17" s="273">
        <v>22356.455112936343</v>
      </c>
    </row>
    <row r="18" spans="1:2" ht="13.8" thickBot="1" x14ac:dyDescent="0.3">
      <c r="A18" s="181">
        <v>65</v>
      </c>
      <c r="B18" s="274">
        <v>23520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showGridLine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4" sqref="E14"/>
    </sheetView>
  </sheetViews>
  <sheetFormatPr defaultColWidth="8.77734375" defaultRowHeight="13.2" x14ac:dyDescent="0.25"/>
  <cols>
    <col min="1" max="1" width="14.44140625" style="1" bestFit="1" customWidth="1"/>
    <col min="2" max="2" width="12.77734375" style="1" bestFit="1" customWidth="1"/>
    <col min="3" max="5" width="16.5546875" style="1" bestFit="1" customWidth="1"/>
    <col min="6" max="6" width="14.88671875" style="1" bestFit="1" customWidth="1"/>
    <col min="7" max="7" width="8.77734375" style="46"/>
    <col min="8" max="8" width="8.77734375" style="1"/>
    <col min="9" max="9" width="12.77734375" style="1" bestFit="1" customWidth="1"/>
    <col min="10" max="10" width="16.77734375" style="1" bestFit="1" customWidth="1"/>
    <col min="11" max="11" width="13.6640625" style="1" customWidth="1"/>
    <col min="12" max="12" width="15" style="1" customWidth="1"/>
    <col min="13" max="13" width="13" style="1" customWidth="1"/>
    <col min="14" max="14" width="20.88671875" style="1" customWidth="1"/>
    <col min="15" max="15" width="17.6640625" style="1" customWidth="1"/>
    <col min="16" max="16" width="13" style="1" customWidth="1"/>
    <col min="17" max="17" width="11" style="1" customWidth="1"/>
    <col min="18" max="18" width="12.5546875" style="1" customWidth="1"/>
    <col min="19" max="19" width="13.6640625" style="17" customWidth="1"/>
    <col min="20" max="16384" width="8.77734375" style="1"/>
  </cols>
  <sheetData>
    <row r="1" spans="1:19" ht="13.8" thickBot="1" x14ac:dyDescent="0.3">
      <c r="A1" s="78" t="s">
        <v>60</v>
      </c>
      <c r="B1" s="142" t="s">
        <v>4</v>
      </c>
      <c r="C1" s="79" t="s">
        <v>64</v>
      </c>
      <c r="D1" s="79" t="s">
        <v>65</v>
      </c>
      <c r="E1" s="79" t="s">
        <v>31</v>
      </c>
      <c r="F1" s="160" t="s">
        <v>61</v>
      </c>
      <c r="G1" s="83"/>
    </row>
    <row r="2" spans="1:19" ht="13.8" thickBot="1" x14ac:dyDescent="0.3">
      <c r="A2" s="174">
        <v>43466</v>
      </c>
      <c r="B2" s="143"/>
      <c r="C2" s="173" t="s">
        <v>63</v>
      </c>
      <c r="D2" s="173" t="s">
        <v>63</v>
      </c>
      <c r="E2" s="173" t="s">
        <v>63</v>
      </c>
      <c r="F2" s="144" t="s">
        <v>62</v>
      </c>
      <c r="G2" s="180"/>
      <c r="H2" s="48" t="s">
        <v>0</v>
      </c>
      <c r="I2" s="48" t="s">
        <v>4</v>
      </c>
      <c r="J2" s="48" t="s">
        <v>3</v>
      </c>
      <c r="K2" s="48" t="s">
        <v>1</v>
      </c>
      <c r="L2" s="48" t="s">
        <v>1</v>
      </c>
      <c r="M2" s="175" t="s">
        <v>7</v>
      </c>
      <c r="N2" s="175" t="s">
        <v>54</v>
      </c>
      <c r="O2" s="175" t="s">
        <v>55</v>
      </c>
      <c r="P2" s="175" t="s">
        <v>59</v>
      </c>
      <c r="Q2" s="175" t="s">
        <v>58</v>
      </c>
      <c r="R2" s="175" t="s">
        <v>56</v>
      </c>
      <c r="S2" s="176" t="s">
        <v>57</v>
      </c>
    </row>
    <row r="3" spans="1:19" x14ac:dyDescent="0.25">
      <c r="A3" s="18"/>
      <c r="B3" s="1">
        <v>761</v>
      </c>
      <c r="C3" s="19">
        <f>E3*F3</f>
        <v>3236.7127490759744</v>
      </c>
      <c r="D3" s="172">
        <f>SUM('Yearly Pension'!$G3:$AV3) *E3</f>
        <v>48550.691236139617</v>
      </c>
      <c r="E3" s="171">
        <f>IF(P3&gt;=Q3, P3*S3+ Q3*R3, P3*R3+Q3*S3)</f>
        <v>4.4954343737166313</v>
      </c>
      <c r="F3" s="19">
        <f>VLOOKUP(I3,'Yearly Pension'!$C$3:$AW$81, 47, FALSE)</f>
        <v>720</v>
      </c>
      <c r="H3" s="11">
        <v>500</v>
      </c>
      <c r="I3" s="11">
        <v>761</v>
      </c>
      <c r="J3" s="11">
        <v>2</v>
      </c>
      <c r="K3" s="11">
        <v>19700319</v>
      </c>
      <c r="L3" s="177">
        <f>DATE(LEFT(K3,4), MID(K3, 5, 2), RIGHT(K3, 2))</f>
        <v>25646</v>
      </c>
      <c r="M3" s="178">
        <f>($A$2-L3)/365.25</f>
        <v>48.788501026694043</v>
      </c>
      <c r="N3" s="178">
        <f>ROUNDDOWN(M3, 0)</f>
        <v>48</v>
      </c>
      <c r="O3" s="178">
        <f>ROUNDUP(M3,0)</f>
        <v>49</v>
      </c>
      <c r="P3" s="178">
        <f>M3-N3</f>
        <v>0.78850102669404265</v>
      </c>
      <c r="Q3" s="178">
        <f>1-P3</f>
        <v>0.21149897330595735</v>
      </c>
      <c r="R3" s="179">
        <f>IF(J3=1,VLOOKUP(N3,'Annuity Factors '!$K$10:$O$92,5, FALSE),VLOOKUP(N3,'Annuity Factors '!$A$10:$E$92,5,FALSE))</f>
        <v>4.2698600000000004</v>
      </c>
      <c r="S3" s="179">
        <f>IF(J3=1,VLOOKUP(O3,'Annuity Factors '!$K$10:$O$92,5, FALSE),VLOOKUP(O3,'Annuity Factors '!$A$10:$E$92,5,FALSE))</f>
        <v>4.5559399999999997</v>
      </c>
    </row>
    <row r="4" spans="1:19" x14ac:dyDescent="0.25">
      <c r="B4" s="1">
        <v>735</v>
      </c>
      <c r="C4" s="19">
        <f t="shared" ref="C4:C67" si="0">E4*F4</f>
        <v>2625.3292583162215</v>
      </c>
      <c r="D4" s="172">
        <f>SUM('Yearly Pension'!$G4:$AV4) *E4</f>
        <v>46380.816896919911</v>
      </c>
      <c r="E4" s="171">
        <f t="shared" ref="E4:E67" si="1">IF(P4&gt;=Q4, P4*S4+ Q4*R4, P4*R4+Q4*S4)</f>
        <v>3.6462906365503076</v>
      </c>
      <c r="F4" s="19">
        <f>VLOOKUP(I4,'Yearly Pension'!$C$3:$AW$81, 47, FALSE)</f>
        <v>720</v>
      </c>
      <c r="H4" s="11">
        <v>500</v>
      </c>
      <c r="I4" s="11">
        <v>735</v>
      </c>
      <c r="J4" s="11">
        <v>2</v>
      </c>
      <c r="K4" s="11">
        <v>19730611</v>
      </c>
      <c r="L4" s="177">
        <f t="shared" ref="L4:L67" si="2">DATE(LEFT(K4,4), MID(K4, 5, 2), RIGHT(K4, 2))</f>
        <v>26826</v>
      </c>
      <c r="M4" s="178">
        <f t="shared" ref="M4:M67" si="3">($A$2-L4)/365.25</f>
        <v>45.557837097878163</v>
      </c>
      <c r="N4" s="178">
        <f t="shared" ref="N4:N67" si="4">ROUNDDOWN(M4, 0)</f>
        <v>45</v>
      </c>
      <c r="O4" s="178">
        <f t="shared" ref="O4:O67" si="5">ROUNDUP(M4,0)</f>
        <v>46</v>
      </c>
      <c r="P4" s="178">
        <f t="shared" ref="P4:P67" si="6">M4-N4</f>
        <v>0.55783709787816349</v>
      </c>
      <c r="Q4" s="178">
        <f t="shared" ref="Q4:Q67" si="7">1-P4</f>
        <v>0.44216290212183651</v>
      </c>
      <c r="R4" s="179">
        <f>IF(J4=1,VLOOKUP(N4,'Annuity Factors '!$K$10:$O$92,5, FALSE),VLOOKUP(N4,'Annuity Factors '!$A$10:$E$92,5,FALSE))</f>
        <v>3.51492</v>
      </c>
      <c r="S4" s="179">
        <f>IF(J4=1,VLOOKUP(O4,'Annuity Factors '!$K$10:$O$92,5, FALSE),VLOOKUP(O4,'Annuity Factors '!$A$10:$E$92,5,FALSE))</f>
        <v>3.7504200000000001</v>
      </c>
    </row>
    <row r="5" spans="1:19" x14ac:dyDescent="0.25">
      <c r="B5" s="1">
        <v>769</v>
      </c>
      <c r="C5" s="19">
        <f t="shared" si="0"/>
        <v>2343.1906644763862</v>
      </c>
      <c r="D5" s="172">
        <f>SUM('Yearly Pension'!$G5:$AV5) *E5</f>
        <v>33976.264634907602</v>
      </c>
      <c r="E5" s="171">
        <f t="shared" si="1"/>
        <v>3.2544314784394253</v>
      </c>
      <c r="F5" s="19">
        <f>VLOOKUP(I5,'Yearly Pension'!$C$3:$AW$81, 47, FALSE)</f>
        <v>720</v>
      </c>
      <c r="H5" s="11">
        <v>500</v>
      </c>
      <c r="I5" s="11">
        <v>769</v>
      </c>
      <c r="J5" s="11">
        <v>2</v>
      </c>
      <c r="K5" s="11">
        <v>19751023</v>
      </c>
      <c r="L5" s="177">
        <f t="shared" si="2"/>
        <v>27690</v>
      </c>
      <c r="M5" s="178">
        <f t="shared" si="3"/>
        <v>43.192334017796028</v>
      </c>
      <c r="N5" s="178">
        <f t="shared" si="4"/>
        <v>43</v>
      </c>
      <c r="O5" s="178">
        <f t="shared" si="5"/>
        <v>44</v>
      </c>
      <c r="P5" s="178">
        <f t="shared" si="6"/>
        <v>0.19233401779602843</v>
      </c>
      <c r="Q5" s="178">
        <f t="shared" si="7"/>
        <v>0.80766598220397157</v>
      </c>
      <c r="R5" s="179">
        <f>IF(J5=1,VLOOKUP(N5,'Annuity Factors '!$K$10:$O$92,5, FALSE),VLOOKUP(N5,'Annuity Factors '!$A$10:$E$92,5,FALSE))</f>
        <v>3.0873900000000001</v>
      </c>
      <c r="S5" s="179">
        <f>IF(J5=1,VLOOKUP(O5,'Annuity Factors '!$K$10:$O$92,5, FALSE),VLOOKUP(O5,'Annuity Factors '!$A$10:$E$92,5,FALSE))</f>
        <v>3.2942099999999996</v>
      </c>
    </row>
    <row r="6" spans="1:19" x14ac:dyDescent="0.25">
      <c r="B6" s="1">
        <v>786</v>
      </c>
      <c r="C6" s="19">
        <f t="shared" si="0"/>
        <v>3053.0233971252574</v>
      </c>
      <c r="D6" s="172">
        <f>SUM('Yearly Pension'!$G6:$AV6) *E6</f>
        <v>40452.560011909663</v>
      </c>
      <c r="E6" s="171">
        <f t="shared" si="1"/>
        <v>4.24031027378508</v>
      </c>
      <c r="F6" s="19">
        <f>VLOOKUP(I6,'Yearly Pension'!$C$3:$AW$81, 47, FALSE)</f>
        <v>720</v>
      </c>
      <c r="H6" s="11">
        <v>500</v>
      </c>
      <c r="I6" s="11">
        <v>786</v>
      </c>
      <c r="J6" s="11">
        <v>2</v>
      </c>
      <c r="K6" s="11">
        <v>19711122</v>
      </c>
      <c r="L6" s="177">
        <f t="shared" si="2"/>
        <v>26259</v>
      </c>
      <c r="M6" s="178">
        <f t="shared" si="3"/>
        <v>47.110198494182065</v>
      </c>
      <c r="N6" s="178">
        <f t="shared" si="4"/>
        <v>47</v>
      </c>
      <c r="O6" s="178">
        <f t="shared" si="5"/>
        <v>48</v>
      </c>
      <c r="P6" s="178">
        <f t="shared" si="6"/>
        <v>0.11019849418206462</v>
      </c>
      <c r="Q6" s="178">
        <f t="shared" si="7"/>
        <v>0.88980150581793538</v>
      </c>
      <c r="R6" s="179">
        <f>IF(J6=1,VLOOKUP(N6,'Annuity Factors '!$K$10:$O$92,5, FALSE),VLOOKUP(N6,'Annuity Factors '!$A$10:$E$92,5,FALSE))</f>
        <v>4.0017100000000001</v>
      </c>
      <c r="S6" s="179">
        <f>IF(J6=1,VLOOKUP(O6,'Annuity Factors '!$K$10:$O$92,5, FALSE),VLOOKUP(O6,'Annuity Factors '!$A$10:$E$92,5,FALSE))</f>
        <v>4.2698600000000004</v>
      </c>
    </row>
    <row r="7" spans="1:19" x14ac:dyDescent="0.25">
      <c r="B7" s="1">
        <v>785</v>
      </c>
      <c r="C7" s="19">
        <f t="shared" si="0"/>
        <v>1141.5663080082136</v>
      </c>
      <c r="D7" s="172">
        <f>SUM('Yearly Pension'!$G7:$AV7) *E7</f>
        <v>15125.753581108831</v>
      </c>
      <c r="E7" s="171">
        <f t="shared" si="1"/>
        <v>1.5855087611225189</v>
      </c>
      <c r="F7" s="19">
        <f>VLOOKUP(I7,'Yearly Pension'!$C$3:$AW$81, 47, FALSE)</f>
        <v>720</v>
      </c>
      <c r="H7" s="11">
        <v>500</v>
      </c>
      <c r="I7" s="11">
        <v>785</v>
      </c>
      <c r="J7" s="11">
        <v>2</v>
      </c>
      <c r="K7" s="11">
        <v>19860414</v>
      </c>
      <c r="L7" s="177">
        <f t="shared" si="2"/>
        <v>31516</v>
      </c>
      <c r="M7" s="178">
        <f t="shared" si="3"/>
        <v>32.717316906228611</v>
      </c>
      <c r="N7" s="178">
        <f t="shared" si="4"/>
        <v>32</v>
      </c>
      <c r="O7" s="178">
        <f t="shared" si="5"/>
        <v>33</v>
      </c>
      <c r="P7" s="178">
        <f t="shared" si="6"/>
        <v>0.71731690622861066</v>
      </c>
      <c r="Q7" s="178">
        <f t="shared" si="7"/>
        <v>0.28268309377138934</v>
      </c>
      <c r="R7" s="179">
        <f>IF(J7=1,VLOOKUP(N7,'Annuity Factors '!$K$10:$O$92,5, FALSE),VLOOKUP(N7,'Annuity Factors '!$A$10:$E$92,5,FALSE))</f>
        <v>1.5127799999999998</v>
      </c>
      <c r="S7" s="179">
        <f>IF(J7=1,VLOOKUP(O7,'Annuity Factors '!$K$10:$O$92,5, FALSE),VLOOKUP(O7,'Annuity Factors '!$A$10:$E$92,5,FALSE))</f>
        <v>1.6141700000000001</v>
      </c>
    </row>
    <row r="8" spans="1:19" x14ac:dyDescent="0.25">
      <c r="B8" s="1">
        <v>784</v>
      </c>
      <c r="C8" s="19">
        <f t="shared" si="0"/>
        <v>4723.6298414784405</v>
      </c>
      <c r="D8" s="172">
        <f>SUM('Yearly Pension'!$G8:$AV8) *E8</f>
        <v>63375.36703983575</v>
      </c>
      <c r="E8" s="171">
        <f t="shared" si="1"/>
        <v>6.5605970020533899</v>
      </c>
      <c r="F8" s="19">
        <f>VLOOKUP(I8,'Yearly Pension'!$C$3:$AW$81, 47, FALSE)</f>
        <v>720</v>
      </c>
      <c r="H8" s="11">
        <v>500</v>
      </c>
      <c r="I8" s="11">
        <v>784</v>
      </c>
      <c r="J8" s="11">
        <v>2</v>
      </c>
      <c r="K8" s="11">
        <v>19640813</v>
      </c>
      <c r="L8" s="177">
        <f t="shared" si="2"/>
        <v>23602</v>
      </c>
      <c r="M8" s="178">
        <f t="shared" si="3"/>
        <v>54.384668035592057</v>
      </c>
      <c r="N8" s="178">
        <f t="shared" si="4"/>
        <v>54</v>
      </c>
      <c r="O8" s="178">
        <f t="shared" si="5"/>
        <v>55</v>
      </c>
      <c r="P8" s="178">
        <f t="shared" si="6"/>
        <v>0.38466803559205687</v>
      </c>
      <c r="Q8" s="178">
        <f t="shared" si="7"/>
        <v>0.61533196440794313</v>
      </c>
      <c r="R8" s="179">
        <f>IF(J8=1,VLOOKUP(N8,'Annuity Factors '!$K$10:$O$92,5, FALSE),VLOOKUP(N8,'Annuity Factors '!$A$10:$E$92,5,FALSE))</f>
        <v>6.3008100000000002</v>
      </c>
      <c r="S8" s="179">
        <f>IF(J8=1,VLOOKUP(O8,'Annuity Factors '!$K$10:$O$92,5, FALSE),VLOOKUP(O8,'Annuity Factors '!$A$10:$E$92,5,FALSE))</f>
        <v>6.7229999999999999</v>
      </c>
    </row>
    <row r="9" spans="1:19" x14ac:dyDescent="0.25">
      <c r="B9" s="1">
        <v>783</v>
      </c>
      <c r="C9" s="19">
        <f t="shared" si="0"/>
        <v>4370.0619548254626</v>
      </c>
      <c r="D9" s="172">
        <f>SUM('Yearly Pension'!$G9:$AV9) *E9</f>
        <v>58631.664560574958</v>
      </c>
      <c r="E9" s="171">
        <f t="shared" si="1"/>
        <v>6.0695304928131426</v>
      </c>
      <c r="F9" s="19">
        <f>VLOOKUP(I9,'Yearly Pension'!$C$3:$AW$81, 47, FALSE)</f>
        <v>720</v>
      </c>
      <c r="H9" s="11">
        <v>500</v>
      </c>
      <c r="I9" s="11">
        <v>783</v>
      </c>
      <c r="J9" s="11">
        <v>1</v>
      </c>
      <c r="K9" s="11">
        <v>19651120</v>
      </c>
      <c r="L9" s="177">
        <f t="shared" si="2"/>
        <v>24066</v>
      </c>
      <c r="M9" s="178">
        <f t="shared" si="3"/>
        <v>53.114305270362763</v>
      </c>
      <c r="N9" s="178">
        <f t="shared" si="4"/>
        <v>53</v>
      </c>
      <c r="O9" s="178">
        <f t="shared" si="5"/>
        <v>54</v>
      </c>
      <c r="P9" s="178">
        <f t="shared" si="6"/>
        <v>0.11430527036276317</v>
      </c>
      <c r="Q9" s="178">
        <f t="shared" si="7"/>
        <v>0.88569472963723683</v>
      </c>
      <c r="R9" s="179">
        <f>IF(J9=1,VLOOKUP(N9,'Annuity Factors '!$K$10:$O$92,5, FALSE),VLOOKUP(N9,'Annuity Factors '!$A$10:$E$92,5,FALSE))</f>
        <v>5.7295299999999996</v>
      </c>
      <c r="S9" s="179">
        <f>IF(J9=1,VLOOKUP(O9,'Annuity Factors '!$K$10:$O$92,5, FALSE),VLOOKUP(O9,'Annuity Factors '!$A$10:$E$92,5,FALSE))</f>
        <v>6.11341</v>
      </c>
    </row>
    <row r="10" spans="1:19" x14ac:dyDescent="0.25">
      <c r="B10" s="1">
        <v>782</v>
      </c>
      <c r="C10" s="19">
        <f t="shared" si="0"/>
        <v>1316.164524024641</v>
      </c>
      <c r="D10" s="172">
        <f>SUM('Yearly Pension'!$G10:$AV10) *E10</f>
        <v>17877.901451334707</v>
      </c>
      <c r="E10" s="171">
        <f t="shared" si="1"/>
        <v>1.8280062833675568</v>
      </c>
      <c r="F10" s="19">
        <f>VLOOKUP(I10,'Yearly Pension'!$C$3:$AW$81, 47, FALSE)</f>
        <v>720</v>
      </c>
      <c r="H10" s="11">
        <v>500</v>
      </c>
      <c r="I10" s="11">
        <v>782</v>
      </c>
      <c r="J10" s="11">
        <v>2</v>
      </c>
      <c r="K10" s="11">
        <v>19840201</v>
      </c>
      <c r="L10" s="177">
        <f t="shared" si="2"/>
        <v>30713</v>
      </c>
      <c r="M10" s="178">
        <f t="shared" si="3"/>
        <v>34.91581108829569</v>
      </c>
      <c r="N10" s="178">
        <f t="shared" si="4"/>
        <v>34</v>
      </c>
      <c r="O10" s="178">
        <f t="shared" si="5"/>
        <v>35</v>
      </c>
      <c r="P10" s="178">
        <f t="shared" si="6"/>
        <v>0.91581108829569047</v>
      </c>
      <c r="Q10" s="178">
        <f t="shared" si="7"/>
        <v>8.4188911704309533E-2</v>
      </c>
      <c r="R10" s="179">
        <f>IF(J10=1,VLOOKUP(N10,'Annuity Factors '!$K$10:$O$92,5, FALSE),VLOOKUP(N10,'Annuity Factors '!$A$10:$E$92,5,FALSE))</f>
        <v>1.7223399999999998</v>
      </c>
      <c r="S10" s="179">
        <f>IF(J10=1,VLOOKUP(O10,'Annuity Factors '!$K$10:$O$92,5, FALSE),VLOOKUP(O10,'Annuity Factors '!$A$10:$E$92,5,FALSE))</f>
        <v>1.83772</v>
      </c>
    </row>
    <row r="11" spans="1:19" x14ac:dyDescent="0.25">
      <c r="B11" s="1">
        <v>781</v>
      </c>
      <c r="C11" s="19">
        <f t="shared" si="0"/>
        <v>5371.9758406570845</v>
      </c>
      <c r="D11" s="172">
        <f>SUM('Yearly Pension'!$G11:$AV11) *E11</f>
        <v>74759.9971158111</v>
      </c>
      <c r="E11" s="171">
        <f t="shared" si="1"/>
        <v>7.4610775564681733</v>
      </c>
      <c r="F11" s="19">
        <f>VLOOKUP(I11,'Yearly Pension'!$C$3:$AW$81, 47, FALSE)</f>
        <v>720</v>
      </c>
      <c r="H11" s="11">
        <v>500</v>
      </c>
      <c r="I11" s="11">
        <v>781</v>
      </c>
      <c r="J11" s="11">
        <v>2</v>
      </c>
      <c r="K11" s="11">
        <v>19620825</v>
      </c>
      <c r="L11" s="177">
        <f t="shared" si="2"/>
        <v>22883</v>
      </c>
      <c r="M11" s="178">
        <f t="shared" si="3"/>
        <v>56.353182751540039</v>
      </c>
      <c r="N11" s="178">
        <f t="shared" si="4"/>
        <v>56</v>
      </c>
      <c r="O11" s="178">
        <f t="shared" si="5"/>
        <v>57</v>
      </c>
      <c r="P11" s="178">
        <f t="shared" si="6"/>
        <v>0.35318275154003942</v>
      </c>
      <c r="Q11" s="178">
        <f t="shared" si="7"/>
        <v>0.64681724845996058</v>
      </c>
      <c r="R11" s="179">
        <f>IF(J11=1,VLOOKUP(N11,'Annuity Factors '!$K$10:$O$92,5, FALSE),VLOOKUP(N11,'Annuity Factors '!$A$10:$E$92,5,FALSE))</f>
        <v>7.1600099999999998</v>
      </c>
      <c r="S11" s="179">
        <f>IF(J11=1,VLOOKUP(O11,'Annuity Factors '!$K$10:$O$92,5, FALSE),VLOOKUP(O11,'Annuity Factors '!$A$10:$E$92,5,FALSE))</f>
        <v>7.62547</v>
      </c>
    </row>
    <row r="12" spans="1:19" x14ac:dyDescent="0.25">
      <c r="B12" s="1">
        <v>780</v>
      </c>
      <c r="C12" s="19">
        <f t="shared" si="0"/>
        <v>1764.9788402464062</v>
      </c>
      <c r="D12" s="172">
        <f>SUM('Yearly Pension'!$G12:$AV12) *E12</f>
        <v>24121.377483367552</v>
      </c>
      <c r="E12" s="171">
        <f t="shared" si="1"/>
        <v>2.4513595003422308</v>
      </c>
      <c r="F12" s="19">
        <f>VLOOKUP(I12,'Yearly Pension'!$C$3:$AW$81, 47, FALSE)</f>
        <v>720</v>
      </c>
      <c r="H12" s="11">
        <v>500</v>
      </c>
      <c r="I12" s="11">
        <v>780</v>
      </c>
      <c r="J12" s="11">
        <v>1</v>
      </c>
      <c r="K12" s="11">
        <v>19791128</v>
      </c>
      <c r="L12" s="177">
        <f t="shared" si="2"/>
        <v>29187</v>
      </c>
      <c r="M12" s="178">
        <f t="shared" si="3"/>
        <v>39.093771389459278</v>
      </c>
      <c r="N12" s="178">
        <f t="shared" si="4"/>
        <v>39</v>
      </c>
      <c r="O12" s="178">
        <f t="shared" si="5"/>
        <v>40</v>
      </c>
      <c r="P12" s="178">
        <f t="shared" si="6"/>
        <v>9.3771389459277543E-2</v>
      </c>
      <c r="Q12" s="178">
        <f t="shared" si="7"/>
        <v>0.90622861054072246</v>
      </c>
      <c r="R12" s="179">
        <f>IF(J12=1,VLOOKUP(N12,'Annuity Factors '!$K$10:$O$92,5, FALSE),VLOOKUP(N12,'Annuity Factors '!$A$10:$E$92,5,FALSE))</f>
        <v>2.3110299999999997</v>
      </c>
      <c r="S12" s="179">
        <f>IF(J12=1,VLOOKUP(O12,'Annuity Factors '!$K$10:$O$92,5, FALSE),VLOOKUP(O12,'Annuity Factors '!$A$10:$E$92,5,FALSE))</f>
        <v>2.4658799999999998</v>
      </c>
    </row>
    <row r="13" spans="1:19" x14ac:dyDescent="0.25">
      <c r="B13" s="1">
        <v>779</v>
      </c>
      <c r="C13" s="19">
        <f t="shared" si="0"/>
        <v>3923.6165963039016</v>
      </c>
      <c r="D13" s="172">
        <f>SUM('Yearly Pension'!$G13:$AV13) *E13</f>
        <v>54276.696248870641</v>
      </c>
      <c r="E13" s="171">
        <f t="shared" si="1"/>
        <v>5.4494674948665303</v>
      </c>
      <c r="F13" s="19">
        <f>VLOOKUP(I13,'Yearly Pension'!$C$3:$AW$81, 47, FALSE)</f>
        <v>720</v>
      </c>
      <c r="H13" s="11">
        <v>500</v>
      </c>
      <c r="I13" s="11">
        <v>779</v>
      </c>
      <c r="J13" s="11">
        <v>2</v>
      </c>
      <c r="K13" s="11">
        <v>19671004</v>
      </c>
      <c r="L13" s="177">
        <f t="shared" si="2"/>
        <v>24749</v>
      </c>
      <c r="M13" s="178">
        <f t="shared" si="3"/>
        <v>51.244353182751539</v>
      </c>
      <c r="N13" s="178">
        <f t="shared" si="4"/>
        <v>51</v>
      </c>
      <c r="O13" s="178">
        <f t="shared" si="5"/>
        <v>52</v>
      </c>
      <c r="P13" s="178">
        <f t="shared" si="6"/>
        <v>0.24435318275153861</v>
      </c>
      <c r="Q13" s="178">
        <f t="shared" si="7"/>
        <v>0.75564681724846139</v>
      </c>
      <c r="R13" s="179">
        <f>IF(J13=1,VLOOKUP(N13,'Annuity Factors '!$K$10:$O$92,5, FALSE),VLOOKUP(N13,'Annuity Factors '!$A$10:$E$92,5,FALSE))</f>
        <v>5.1868499999999997</v>
      </c>
      <c r="S13" s="179">
        <f>IF(J13=1,VLOOKUP(O13,'Annuity Factors '!$K$10:$O$92,5, FALSE),VLOOKUP(O13,'Annuity Factors '!$A$10:$E$92,5,FALSE))</f>
        <v>5.5343900000000001</v>
      </c>
    </row>
    <row r="14" spans="1:19" x14ac:dyDescent="0.25">
      <c r="B14" s="1">
        <v>778</v>
      </c>
      <c r="C14" s="19">
        <f t="shared" si="0"/>
        <v>3996.8825741273099</v>
      </c>
      <c r="D14" s="172">
        <f>SUM('Yearly Pension'!$G14:$AV14) *E14</f>
        <v>47296.443793839833</v>
      </c>
      <c r="E14" s="171">
        <f t="shared" si="1"/>
        <v>5.5512257973990415</v>
      </c>
      <c r="F14" s="19">
        <f>VLOOKUP(I14,'Yearly Pension'!$C$3:$AW$81, 47, FALSE)</f>
        <v>720</v>
      </c>
      <c r="H14" s="11">
        <v>500</v>
      </c>
      <c r="I14" s="11">
        <v>778</v>
      </c>
      <c r="J14" s="11">
        <v>1</v>
      </c>
      <c r="K14" s="11">
        <v>19660704</v>
      </c>
      <c r="L14" s="177">
        <f t="shared" si="2"/>
        <v>24292</v>
      </c>
      <c r="M14" s="178">
        <f t="shared" si="3"/>
        <v>52.495550992470911</v>
      </c>
      <c r="N14" s="178">
        <f t="shared" si="4"/>
        <v>52</v>
      </c>
      <c r="O14" s="178">
        <f t="shared" si="5"/>
        <v>53</v>
      </c>
      <c r="P14" s="178">
        <f t="shared" si="6"/>
        <v>0.4955509924709105</v>
      </c>
      <c r="Q14" s="178">
        <f t="shared" si="7"/>
        <v>0.5044490075290895</v>
      </c>
      <c r="R14" s="179">
        <f>IF(J14=1,VLOOKUP(N14,'Annuity Factors '!$K$10:$O$92,5, FALSE),VLOOKUP(N14,'Annuity Factors '!$A$10:$E$92,5,FALSE))</f>
        <v>5.36972</v>
      </c>
      <c r="S14" s="179">
        <f>IF(J14=1,VLOOKUP(O14,'Annuity Factors '!$K$10:$O$92,5, FALSE),VLOOKUP(O14,'Annuity Factors '!$A$10:$E$92,5,FALSE))</f>
        <v>5.7295299999999996</v>
      </c>
    </row>
    <row r="15" spans="1:19" x14ac:dyDescent="0.25">
      <c r="B15" s="1">
        <v>777</v>
      </c>
      <c r="C15" s="19">
        <f t="shared" si="0"/>
        <v>2754.8924944558526</v>
      </c>
      <c r="D15" s="172">
        <f>SUM('Yearly Pension'!$G15:$AV15) *E15</f>
        <v>38109.346173305959</v>
      </c>
      <c r="E15" s="171">
        <f t="shared" si="1"/>
        <v>3.8262395756331284</v>
      </c>
      <c r="F15" s="19">
        <f>VLOOKUP(I15,'Yearly Pension'!$C$3:$AW$81, 47, FALSE)</f>
        <v>720</v>
      </c>
      <c r="H15" s="11">
        <v>500</v>
      </c>
      <c r="I15" s="11">
        <v>777</v>
      </c>
      <c r="J15" s="11">
        <v>1</v>
      </c>
      <c r="K15" s="11">
        <v>19721008</v>
      </c>
      <c r="L15" s="177">
        <f t="shared" si="2"/>
        <v>26580</v>
      </c>
      <c r="M15" s="178">
        <f t="shared" si="3"/>
        <v>46.231348391512661</v>
      </c>
      <c r="N15" s="178">
        <f t="shared" si="4"/>
        <v>46</v>
      </c>
      <c r="O15" s="178">
        <f t="shared" si="5"/>
        <v>47</v>
      </c>
      <c r="P15" s="178">
        <f t="shared" si="6"/>
        <v>0.23134839151266107</v>
      </c>
      <c r="Q15" s="178">
        <f t="shared" si="7"/>
        <v>0.76865160848733893</v>
      </c>
      <c r="R15" s="179">
        <f>IF(J15=1,VLOOKUP(N15,'Annuity Factors '!$K$10:$O$92,5, FALSE),VLOOKUP(N15,'Annuity Factors '!$A$10:$E$92,5,FALSE))</f>
        <v>3.6388500000000001</v>
      </c>
      <c r="S15" s="179">
        <f>IF(J15=1,VLOOKUP(O15,'Annuity Factors '!$K$10:$O$92,5, FALSE),VLOOKUP(O15,'Annuity Factors '!$A$10:$E$92,5,FALSE))</f>
        <v>3.8826399999999999</v>
      </c>
    </row>
    <row r="16" spans="1:19" x14ac:dyDescent="0.25">
      <c r="B16" s="1">
        <v>776</v>
      </c>
      <c r="C16" s="19">
        <f t="shared" si="0"/>
        <v>6909.3718915811087</v>
      </c>
      <c r="D16" s="172">
        <f>SUM('Yearly Pension'!$G16:$AV16) *E16</f>
        <v>96155.425491170434</v>
      </c>
      <c r="E16" s="171">
        <f t="shared" si="1"/>
        <v>9.5963498494182069</v>
      </c>
      <c r="F16" s="19">
        <f>VLOOKUP(I16,'Yearly Pension'!$C$3:$AW$81, 47, FALSE)</f>
        <v>720</v>
      </c>
      <c r="H16" s="11">
        <v>500</v>
      </c>
      <c r="I16" s="11">
        <v>776</v>
      </c>
      <c r="J16" s="11">
        <v>2</v>
      </c>
      <c r="K16" s="11">
        <v>19580511</v>
      </c>
      <c r="L16" s="177">
        <f t="shared" si="2"/>
        <v>21316</v>
      </c>
      <c r="M16" s="178">
        <f t="shared" si="3"/>
        <v>60.643394934976044</v>
      </c>
      <c r="N16" s="178">
        <f t="shared" si="4"/>
        <v>60</v>
      </c>
      <c r="O16" s="178">
        <f t="shared" si="5"/>
        <v>61</v>
      </c>
      <c r="P16" s="178">
        <f t="shared" si="6"/>
        <v>0.64339493497604394</v>
      </c>
      <c r="Q16" s="178">
        <f t="shared" si="7"/>
        <v>0.35660506502395606</v>
      </c>
      <c r="R16" s="179">
        <f>IF(J16=1,VLOOKUP(N16,'Annuity Factors '!$K$10:$O$92,5, FALSE),VLOOKUP(N16,'Annuity Factors '!$A$10:$E$92,5,FALSE))</f>
        <v>9.2111300000000007</v>
      </c>
      <c r="S16" s="179">
        <f>IF(J16=1,VLOOKUP(O16,'Annuity Factors '!$K$10:$O$92,5, FALSE),VLOOKUP(O16,'Annuity Factors '!$A$10:$E$92,5,FALSE))</f>
        <v>9.8098600000000005</v>
      </c>
    </row>
    <row r="17" spans="2:19" x14ac:dyDescent="0.25">
      <c r="B17" s="1">
        <v>775</v>
      </c>
      <c r="C17" s="19">
        <f t="shared" si="0"/>
        <v>6111.9691318275163</v>
      </c>
      <c r="D17" s="172">
        <f>SUM('Yearly Pension'!$G17:$AV17) *E17</f>
        <v>85567.567845585218</v>
      </c>
      <c r="E17" s="171">
        <f t="shared" si="1"/>
        <v>8.4888460164271056</v>
      </c>
      <c r="F17" s="19">
        <f>VLOOKUP(I17,'Yearly Pension'!$C$3:$AW$81, 47, FALSE)</f>
        <v>720</v>
      </c>
      <c r="H17" s="11">
        <v>500</v>
      </c>
      <c r="I17" s="11">
        <v>775</v>
      </c>
      <c r="J17" s="11">
        <v>2</v>
      </c>
      <c r="K17" s="11">
        <v>19600421</v>
      </c>
      <c r="L17" s="177">
        <f t="shared" si="2"/>
        <v>22027</v>
      </c>
      <c r="M17" s="178">
        <f t="shared" si="3"/>
        <v>58.696783025325118</v>
      </c>
      <c r="N17" s="178">
        <f t="shared" si="4"/>
        <v>58</v>
      </c>
      <c r="O17" s="178">
        <f t="shared" si="5"/>
        <v>59</v>
      </c>
      <c r="P17" s="178">
        <f t="shared" si="6"/>
        <v>0.69678302532511793</v>
      </c>
      <c r="Q17" s="178">
        <f t="shared" si="7"/>
        <v>0.30321697467488207</v>
      </c>
      <c r="R17" s="179">
        <f>IF(J17=1,VLOOKUP(N17,'Annuity Factors '!$K$10:$O$92,5, FALSE),VLOOKUP(N17,'Annuity Factors '!$A$10:$E$92,5,FALSE))</f>
        <v>8.1210699999999996</v>
      </c>
      <c r="S17" s="179">
        <f>IF(J17=1,VLOOKUP(O17,'Annuity Factors '!$K$10:$O$92,5, FALSE),VLOOKUP(O17,'Annuity Factors '!$A$10:$E$92,5,FALSE))</f>
        <v>8.6488900000000015</v>
      </c>
    </row>
    <row r="18" spans="2:19" x14ac:dyDescent="0.25">
      <c r="B18" s="1">
        <v>774</v>
      </c>
      <c r="C18" s="19">
        <f t="shared" si="0"/>
        <v>3954.6168788501022</v>
      </c>
      <c r="D18" s="172">
        <f>SUM('Yearly Pension'!$G18:$AV18) *E18</f>
        <v>56023.739117043115</v>
      </c>
      <c r="E18" s="171">
        <f t="shared" si="1"/>
        <v>5.4925234428473644</v>
      </c>
      <c r="F18" s="19">
        <f>VLOOKUP(I18,'Yearly Pension'!$C$3:$AW$81, 47, FALSE)</f>
        <v>720</v>
      </c>
      <c r="H18" s="11">
        <v>500</v>
      </c>
      <c r="I18" s="11">
        <v>774</v>
      </c>
      <c r="J18" s="11">
        <v>2</v>
      </c>
      <c r="K18" s="11">
        <v>19670214</v>
      </c>
      <c r="L18" s="177">
        <f t="shared" si="2"/>
        <v>24517</v>
      </c>
      <c r="M18" s="178">
        <f t="shared" si="3"/>
        <v>51.879534565366185</v>
      </c>
      <c r="N18" s="178">
        <f t="shared" si="4"/>
        <v>51</v>
      </c>
      <c r="O18" s="178">
        <f t="shared" si="5"/>
        <v>52</v>
      </c>
      <c r="P18" s="178">
        <f t="shared" si="6"/>
        <v>0.87953456536618546</v>
      </c>
      <c r="Q18" s="178">
        <f t="shared" si="7"/>
        <v>0.12046543463381454</v>
      </c>
      <c r="R18" s="179">
        <f>IF(J18=1,VLOOKUP(N18,'Annuity Factors '!$K$10:$O$92,5, FALSE),VLOOKUP(N18,'Annuity Factors '!$A$10:$E$92,5,FALSE))</f>
        <v>5.1868499999999997</v>
      </c>
      <c r="S18" s="179">
        <f>IF(J18=1,VLOOKUP(O18,'Annuity Factors '!$K$10:$O$92,5, FALSE),VLOOKUP(O18,'Annuity Factors '!$A$10:$E$92,5,FALSE))</f>
        <v>5.5343900000000001</v>
      </c>
    </row>
    <row r="19" spans="2:19" x14ac:dyDescent="0.25">
      <c r="B19" s="1">
        <v>772</v>
      </c>
      <c r="C19" s="19">
        <f t="shared" si="0"/>
        <v>2729.7826250513349</v>
      </c>
      <c r="D19" s="172">
        <f>SUM('Yearly Pension'!$G19:$AV19) *E19</f>
        <v>39354.366177823409</v>
      </c>
      <c r="E19" s="171">
        <f t="shared" si="1"/>
        <v>3.7913647570157427</v>
      </c>
      <c r="F19" s="19">
        <f>VLOOKUP(I19,'Yearly Pension'!$C$3:$AW$81, 47, FALSE)</f>
        <v>720</v>
      </c>
      <c r="H19" s="11">
        <v>500</v>
      </c>
      <c r="I19" s="11">
        <v>772</v>
      </c>
      <c r="J19" s="11">
        <v>1</v>
      </c>
      <c r="K19" s="11">
        <v>19720517</v>
      </c>
      <c r="L19" s="177">
        <f t="shared" si="2"/>
        <v>26436</v>
      </c>
      <c r="M19" s="178">
        <f t="shared" si="3"/>
        <v>46.625598904859686</v>
      </c>
      <c r="N19" s="178">
        <f t="shared" si="4"/>
        <v>46</v>
      </c>
      <c r="O19" s="178">
        <f t="shared" si="5"/>
        <v>47</v>
      </c>
      <c r="P19" s="178">
        <f t="shared" si="6"/>
        <v>0.62559890485968594</v>
      </c>
      <c r="Q19" s="178">
        <f t="shared" si="7"/>
        <v>0.37440109514031406</v>
      </c>
      <c r="R19" s="179">
        <f>IF(J19=1,VLOOKUP(N19,'Annuity Factors '!$K$10:$O$92,5, FALSE),VLOOKUP(N19,'Annuity Factors '!$A$10:$E$92,5,FALSE))</f>
        <v>3.6388500000000001</v>
      </c>
      <c r="S19" s="179">
        <f>IF(J19=1,VLOOKUP(O19,'Annuity Factors '!$K$10:$O$92,5, FALSE),VLOOKUP(O19,'Annuity Factors '!$A$10:$E$92,5,FALSE))</f>
        <v>3.8826399999999999</v>
      </c>
    </row>
    <row r="20" spans="2:19" x14ac:dyDescent="0.25">
      <c r="B20" s="1">
        <v>771</v>
      </c>
      <c r="C20" s="19">
        <f t="shared" si="0"/>
        <v>1430.8795811088296</v>
      </c>
      <c r="D20" s="172">
        <f>SUM('Yearly Pension'!$G20:$AV20) *E20</f>
        <v>20747.753926078029</v>
      </c>
      <c r="E20" s="171">
        <f t="shared" si="1"/>
        <v>1.9873327515400412</v>
      </c>
      <c r="F20" s="19">
        <f>VLOOKUP(I20,'Yearly Pension'!$C$3:$AW$81, 47, FALSE)</f>
        <v>720</v>
      </c>
      <c r="H20" s="11">
        <v>500</v>
      </c>
      <c r="I20" s="11">
        <v>771</v>
      </c>
      <c r="J20" s="11">
        <v>1</v>
      </c>
      <c r="K20" s="11">
        <v>19820901</v>
      </c>
      <c r="L20" s="177">
        <f t="shared" si="2"/>
        <v>30195</v>
      </c>
      <c r="M20" s="178">
        <f t="shared" si="3"/>
        <v>36.334017796030118</v>
      </c>
      <c r="N20" s="178">
        <f t="shared" si="4"/>
        <v>36</v>
      </c>
      <c r="O20" s="178">
        <f t="shared" si="5"/>
        <v>37</v>
      </c>
      <c r="P20" s="178">
        <f t="shared" si="6"/>
        <v>0.33401779603011761</v>
      </c>
      <c r="Q20" s="178">
        <f t="shared" si="7"/>
        <v>0.66598220396988239</v>
      </c>
      <c r="R20" s="179">
        <f>IF(J20=1,VLOOKUP(N20,'Annuity Factors '!$K$10:$O$92,5, FALSE),VLOOKUP(N20,'Annuity Factors '!$A$10:$E$92,5,FALSE))</f>
        <v>1.9024399999999999</v>
      </c>
      <c r="S20" s="179">
        <f>IF(J20=1,VLOOKUP(O20,'Annuity Factors '!$K$10:$O$92,5, FALSE),VLOOKUP(O20,'Annuity Factors '!$A$10:$E$92,5,FALSE))</f>
        <v>2.0299100000000001</v>
      </c>
    </row>
    <row r="21" spans="2:19" x14ac:dyDescent="0.25">
      <c r="B21" s="1">
        <v>768</v>
      </c>
      <c r="C21" s="19">
        <f t="shared" si="0"/>
        <v>5120.5335523613967</v>
      </c>
      <c r="D21" s="172">
        <f>SUM('Yearly Pension'!$G21:$AV21) *E21</f>
        <v>75101.15876796715</v>
      </c>
      <c r="E21" s="171">
        <f t="shared" si="1"/>
        <v>7.1118521560574957</v>
      </c>
      <c r="F21" s="19">
        <f>VLOOKUP(I21,'Yearly Pension'!$C$3:$AW$81, 47, FALSE)</f>
        <v>720</v>
      </c>
      <c r="H21" s="11">
        <v>500</v>
      </c>
      <c r="I21" s="11">
        <v>768</v>
      </c>
      <c r="J21" s="11">
        <v>2</v>
      </c>
      <c r="K21" s="11">
        <v>19631122</v>
      </c>
      <c r="L21" s="177">
        <f t="shared" si="2"/>
        <v>23337</v>
      </c>
      <c r="M21" s="178">
        <f t="shared" si="3"/>
        <v>55.110198494182065</v>
      </c>
      <c r="N21" s="178">
        <f t="shared" si="4"/>
        <v>55</v>
      </c>
      <c r="O21" s="178">
        <f t="shared" si="5"/>
        <v>56</v>
      </c>
      <c r="P21" s="178">
        <f t="shared" si="6"/>
        <v>0.11019849418206462</v>
      </c>
      <c r="Q21" s="178">
        <f t="shared" si="7"/>
        <v>0.88980150581793538</v>
      </c>
      <c r="R21" s="179">
        <f>IF(J21=1,VLOOKUP(N21,'Annuity Factors '!$K$10:$O$92,5, FALSE),VLOOKUP(N21,'Annuity Factors '!$A$10:$E$92,5,FALSE))</f>
        <v>6.7229999999999999</v>
      </c>
      <c r="S21" s="179">
        <f>IF(J21=1,VLOOKUP(O21,'Annuity Factors '!$K$10:$O$92,5, FALSE),VLOOKUP(O21,'Annuity Factors '!$A$10:$E$92,5,FALSE))</f>
        <v>7.1600099999999998</v>
      </c>
    </row>
    <row r="22" spans="2:19" x14ac:dyDescent="0.25">
      <c r="B22" s="1">
        <v>767</v>
      </c>
      <c r="C22" s="19">
        <f t="shared" si="0"/>
        <v>2111.2380073921972</v>
      </c>
      <c r="D22" s="172">
        <f>SUM('Yearly Pension'!$G22:$AV22) *E22</f>
        <v>31140.760609034911</v>
      </c>
      <c r="E22" s="171">
        <f t="shared" si="1"/>
        <v>2.9322750102669408</v>
      </c>
      <c r="F22" s="19">
        <f>VLOOKUP(I22,'Yearly Pension'!$C$3:$AW$81, 47, FALSE)</f>
        <v>720</v>
      </c>
      <c r="H22" s="11">
        <v>500</v>
      </c>
      <c r="I22" s="11">
        <v>767</v>
      </c>
      <c r="J22" s="11">
        <v>1</v>
      </c>
      <c r="K22" s="11">
        <v>19760503</v>
      </c>
      <c r="L22" s="177">
        <f t="shared" si="2"/>
        <v>27883</v>
      </c>
      <c r="M22" s="178">
        <f t="shared" si="3"/>
        <v>42.663928815879537</v>
      </c>
      <c r="N22" s="178">
        <f t="shared" si="4"/>
        <v>42</v>
      </c>
      <c r="O22" s="178">
        <f t="shared" si="5"/>
        <v>43</v>
      </c>
      <c r="P22" s="178">
        <f t="shared" si="6"/>
        <v>0.66392881587953667</v>
      </c>
      <c r="Q22" s="178">
        <f t="shared" si="7"/>
        <v>0.33607118412046333</v>
      </c>
      <c r="R22" s="179">
        <f>IF(J22=1,VLOOKUP(N22,'Annuity Factors '!$K$10:$O$92,5, FALSE),VLOOKUP(N22,'Annuity Factors '!$A$10:$E$92,5,FALSE))</f>
        <v>2.8073899999999998</v>
      </c>
      <c r="S22" s="179">
        <f>IF(J22=1,VLOOKUP(O22,'Annuity Factors '!$K$10:$O$92,5, FALSE),VLOOKUP(O22,'Annuity Factors '!$A$10:$E$92,5,FALSE))</f>
        <v>2.9954900000000002</v>
      </c>
    </row>
    <row r="23" spans="2:19" x14ac:dyDescent="0.25">
      <c r="B23" s="1">
        <v>766</v>
      </c>
      <c r="C23" s="19">
        <f t="shared" si="0"/>
        <v>4584.5325092402472</v>
      </c>
      <c r="D23" s="172">
        <f>SUM('Yearly Pension'!$G23:$AV23) *E23</f>
        <v>68385.94326283368</v>
      </c>
      <c r="E23" s="171">
        <f t="shared" si="1"/>
        <v>6.3674062628336765</v>
      </c>
      <c r="F23" s="19">
        <f>VLOOKUP(I23,'Yearly Pension'!$C$3:$AW$81, 47, FALSE)</f>
        <v>720</v>
      </c>
      <c r="H23" s="11">
        <v>500</v>
      </c>
      <c r="I23" s="11">
        <v>766</v>
      </c>
      <c r="J23" s="11">
        <v>1</v>
      </c>
      <c r="K23" s="11">
        <v>19640519</v>
      </c>
      <c r="L23" s="177">
        <f t="shared" si="2"/>
        <v>23516</v>
      </c>
      <c r="M23" s="178">
        <f t="shared" si="3"/>
        <v>54.620123203285424</v>
      </c>
      <c r="N23" s="178">
        <f t="shared" si="4"/>
        <v>54</v>
      </c>
      <c r="O23" s="178">
        <f t="shared" si="5"/>
        <v>55</v>
      </c>
      <c r="P23" s="178">
        <f t="shared" si="6"/>
        <v>0.62012320328542359</v>
      </c>
      <c r="Q23" s="178">
        <f t="shared" si="7"/>
        <v>0.37987679671457641</v>
      </c>
      <c r="R23" s="179">
        <f>IF(J23=1,VLOOKUP(N23,'Annuity Factors '!$K$10:$O$92,5, FALSE),VLOOKUP(N23,'Annuity Factors '!$A$10:$E$92,5,FALSE))</f>
        <v>6.11341</v>
      </c>
      <c r="S23" s="179">
        <f>IF(J23=1,VLOOKUP(O23,'Annuity Factors '!$K$10:$O$92,5, FALSE),VLOOKUP(O23,'Annuity Factors '!$A$10:$E$92,5,FALSE))</f>
        <v>6.5229999999999997</v>
      </c>
    </row>
    <row r="24" spans="2:19" x14ac:dyDescent="0.25">
      <c r="B24" s="1">
        <v>765</v>
      </c>
      <c r="C24" s="19">
        <f t="shared" si="0"/>
        <v>8262.4299203285445</v>
      </c>
      <c r="D24" s="172">
        <f>SUM('Yearly Pension'!$G24:$AV24) *E24</f>
        <v>129444.73541848053</v>
      </c>
      <c r="E24" s="171">
        <f t="shared" si="1"/>
        <v>11.475597111567422</v>
      </c>
      <c r="F24" s="19">
        <f>VLOOKUP(I24,'Yearly Pension'!$C$3:$AW$81, 47, FALSE)</f>
        <v>720</v>
      </c>
      <c r="H24" s="11">
        <v>500</v>
      </c>
      <c r="I24" s="11">
        <v>765</v>
      </c>
      <c r="J24" s="11">
        <v>1</v>
      </c>
      <c r="K24" s="11">
        <v>19550330</v>
      </c>
      <c r="L24" s="177">
        <f t="shared" si="2"/>
        <v>20178</v>
      </c>
      <c r="M24" s="178">
        <f t="shared" si="3"/>
        <v>63.759069130732378</v>
      </c>
      <c r="N24" s="178">
        <f t="shared" si="4"/>
        <v>63</v>
      </c>
      <c r="O24" s="178">
        <f t="shared" si="5"/>
        <v>64</v>
      </c>
      <c r="P24" s="178">
        <f t="shared" si="6"/>
        <v>0.75906913073237803</v>
      </c>
      <c r="Q24" s="178">
        <f t="shared" si="7"/>
        <v>0.24093086926762197</v>
      </c>
      <c r="R24" s="179">
        <f>IF(J24=1,VLOOKUP(N24,'Annuity Factors '!$K$10:$O$92,5, FALSE),VLOOKUP(N24,'Annuity Factors '!$A$10:$E$92,5,FALSE))</f>
        <v>10.92657</v>
      </c>
      <c r="S24" s="179">
        <f>IF(J24=1,VLOOKUP(O24,'Annuity Factors '!$K$10:$O$92,5, FALSE),VLOOKUP(O24,'Annuity Factors '!$A$10:$E$92,5,FALSE))</f>
        <v>11.64986</v>
      </c>
    </row>
    <row r="25" spans="2:19" x14ac:dyDescent="0.25">
      <c r="B25" s="1">
        <v>762</v>
      </c>
      <c r="C25" s="19">
        <f t="shared" si="0"/>
        <v>2976.0139170431216</v>
      </c>
      <c r="D25" s="172">
        <f>SUM('Yearly Pension'!$G25:$AV25) *E25</f>
        <v>46624.21803367557</v>
      </c>
      <c r="E25" s="171">
        <f t="shared" si="1"/>
        <v>4.1333526625598909</v>
      </c>
      <c r="F25" s="19">
        <f>VLOOKUP(I25,'Yearly Pension'!$C$3:$AW$81, 47, FALSE)</f>
        <v>720</v>
      </c>
      <c r="H25" s="11">
        <v>500</v>
      </c>
      <c r="I25" s="11">
        <v>762</v>
      </c>
      <c r="J25" s="11">
        <v>1</v>
      </c>
      <c r="K25" s="11">
        <v>19711219</v>
      </c>
      <c r="L25" s="177">
        <f t="shared" si="2"/>
        <v>26286</v>
      </c>
      <c r="M25" s="178">
        <f t="shared" si="3"/>
        <v>47.036276522929498</v>
      </c>
      <c r="N25" s="178">
        <f t="shared" si="4"/>
        <v>47</v>
      </c>
      <c r="O25" s="178">
        <f t="shared" si="5"/>
        <v>48</v>
      </c>
      <c r="P25" s="178">
        <f t="shared" si="6"/>
        <v>3.6276522929497901E-2</v>
      </c>
      <c r="Q25" s="178">
        <f t="shared" si="7"/>
        <v>0.9637234770705021</v>
      </c>
      <c r="R25" s="179">
        <f>IF(J25=1,VLOOKUP(N25,'Annuity Factors '!$K$10:$O$92,5, FALSE),VLOOKUP(N25,'Annuity Factors '!$A$10:$E$92,5,FALSE))</f>
        <v>3.8826399999999999</v>
      </c>
      <c r="S25" s="179">
        <f>IF(J25=1,VLOOKUP(O25,'Annuity Factors '!$K$10:$O$92,5, FALSE),VLOOKUP(O25,'Annuity Factors '!$A$10:$E$92,5,FALSE))</f>
        <v>4.1427899999999998</v>
      </c>
    </row>
    <row r="26" spans="2:19" x14ac:dyDescent="0.25">
      <c r="B26" s="1">
        <v>758</v>
      </c>
      <c r="C26" s="19">
        <f t="shared" si="0"/>
        <v>2059.4071441478441</v>
      </c>
      <c r="D26" s="172">
        <f>SUM('Yearly Pension'!$G26:$AV26) *E26</f>
        <v>31405.958948254622</v>
      </c>
      <c r="E26" s="171">
        <f t="shared" si="1"/>
        <v>2.8602877002053391</v>
      </c>
      <c r="F26" s="19">
        <f>VLOOKUP(I26,'Yearly Pension'!$C$3:$AW$81, 47, FALSE)</f>
        <v>720</v>
      </c>
      <c r="H26" s="11">
        <v>500</v>
      </c>
      <c r="I26" s="11">
        <v>758</v>
      </c>
      <c r="J26" s="11">
        <v>2</v>
      </c>
      <c r="K26" s="11">
        <v>19771026</v>
      </c>
      <c r="L26" s="177">
        <f t="shared" si="2"/>
        <v>28424</v>
      </c>
      <c r="M26" s="178">
        <f t="shared" si="3"/>
        <v>41.182751540041068</v>
      </c>
      <c r="N26" s="178">
        <f t="shared" si="4"/>
        <v>41</v>
      </c>
      <c r="O26" s="178">
        <f t="shared" si="5"/>
        <v>42</v>
      </c>
      <c r="P26" s="178">
        <f t="shared" si="6"/>
        <v>0.18275154004106753</v>
      </c>
      <c r="Q26" s="178">
        <f t="shared" si="7"/>
        <v>0.81724845995893247</v>
      </c>
      <c r="R26" s="179">
        <f>IF(J26=1,VLOOKUP(N26,'Annuity Factors '!$K$10:$O$92,5, FALSE),VLOOKUP(N26,'Annuity Factors '!$A$10:$E$92,5,FALSE))</f>
        <v>2.7118099999999998</v>
      </c>
      <c r="S26" s="179">
        <f>IF(J26=1,VLOOKUP(O26,'Annuity Factors '!$K$10:$O$92,5, FALSE),VLOOKUP(O26,'Annuity Factors '!$A$10:$E$92,5,FALSE))</f>
        <v>2.8934899999999999</v>
      </c>
    </row>
    <row r="27" spans="2:19" x14ac:dyDescent="0.25">
      <c r="B27" s="1">
        <v>757</v>
      </c>
      <c r="C27" s="19">
        <f t="shared" si="0"/>
        <v>2933.065128542094</v>
      </c>
      <c r="D27" s="172">
        <f>SUM('Yearly Pension'!$G27:$AV27) *E27</f>
        <v>45218.087398357282</v>
      </c>
      <c r="E27" s="171">
        <f t="shared" si="1"/>
        <v>4.0737015674195751</v>
      </c>
      <c r="F27" s="19">
        <f>VLOOKUP(I27,'Yearly Pension'!$C$3:$AW$81, 47, FALSE)</f>
        <v>720</v>
      </c>
      <c r="H27" s="11">
        <v>500</v>
      </c>
      <c r="I27" s="11">
        <v>757</v>
      </c>
      <c r="J27" s="11">
        <v>1</v>
      </c>
      <c r="K27" s="11">
        <v>19710408</v>
      </c>
      <c r="L27" s="177">
        <f t="shared" si="2"/>
        <v>26031</v>
      </c>
      <c r="M27" s="178">
        <f t="shared" si="3"/>
        <v>47.734428473648187</v>
      </c>
      <c r="N27" s="178">
        <f t="shared" si="4"/>
        <v>47</v>
      </c>
      <c r="O27" s="178">
        <f t="shared" si="5"/>
        <v>48</v>
      </c>
      <c r="P27" s="178">
        <f t="shared" si="6"/>
        <v>0.73442847364818675</v>
      </c>
      <c r="Q27" s="178">
        <f t="shared" si="7"/>
        <v>0.26557152635181325</v>
      </c>
      <c r="R27" s="179">
        <f>IF(J27=1,VLOOKUP(N27,'Annuity Factors '!$K$10:$O$92,5, FALSE),VLOOKUP(N27,'Annuity Factors '!$A$10:$E$92,5,FALSE))</f>
        <v>3.8826399999999999</v>
      </c>
      <c r="S27" s="179">
        <f>IF(J27=1,VLOOKUP(O27,'Annuity Factors '!$K$10:$O$92,5, FALSE),VLOOKUP(O27,'Annuity Factors '!$A$10:$E$92,5,FALSE))</f>
        <v>4.1427899999999998</v>
      </c>
    </row>
    <row r="28" spans="2:19" x14ac:dyDescent="0.25">
      <c r="B28" s="1">
        <v>756</v>
      </c>
      <c r="C28" s="19">
        <f t="shared" si="0"/>
        <v>3460.0362086242299</v>
      </c>
      <c r="D28" s="172">
        <f>SUM('Yearly Pension'!$G28:$AV28) *E28</f>
        <v>53053.88853223819</v>
      </c>
      <c r="E28" s="171">
        <f t="shared" si="1"/>
        <v>4.8056058453114305</v>
      </c>
      <c r="F28" s="19">
        <f>VLOOKUP(I28,'Yearly Pension'!$C$3:$AW$81, 47, FALSE)</f>
        <v>720</v>
      </c>
      <c r="H28" s="11">
        <v>500</v>
      </c>
      <c r="I28" s="11">
        <v>756</v>
      </c>
      <c r="J28" s="11">
        <v>2</v>
      </c>
      <c r="K28" s="11">
        <v>19690308</v>
      </c>
      <c r="L28" s="177">
        <f t="shared" si="2"/>
        <v>25270</v>
      </c>
      <c r="M28" s="178">
        <f t="shared" si="3"/>
        <v>49.817932922655714</v>
      </c>
      <c r="N28" s="178">
        <f t="shared" si="4"/>
        <v>49</v>
      </c>
      <c r="O28" s="178">
        <f t="shared" si="5"/>
        <v>50</v>
      </c>
      <c r="P28" s="178">
        <f t="shared" si="6"/>
        <v>0.81793292265571438</v>
      </c>
      <c r="Q28" s="178">
        <f t="shared" si="7"/>
        <v>0.18206707734428562</v>
      </c>
      <c r="R28" s="179">
        <f>IF(J28=1,VLOOKUP(N28,'Annuity Factors '!$K$10:$O$92,5, FALSE),VLOOKUP(N28,'Annuity Factors '!$A$10:$E$92,5,FALSE))</f>
        <v>4.5559399999999997</v>
      </c>
      <c r="S28" s="179">
        <f>IF(J28=1,VLOOKUP(O28,'Annuity Factors '!$K$10:$O$92,5, FALSE),VLOOKUP(O28,'Annuity Factors '!$A$10:$E$92,5,FALSE))</f>
        <v>4.8611800000000001</v>
      </c>
    </row>
    <row r="29" spans="2:19" x14ac:dyDescent="0.25">
      <c r="B29" s="1">
        <v>755</v>
      </c>
      <c r="C29" s="19">
        <f t="shared" si="0"/>
        <v>2302.0135244353182</v>
      </c>
      <c r="D29" s="172">
        <f>SUM('Yearly Pension'!$G29:$AV29) *E29</f>
        <v>36064.878549486646</v>
      </c>
      <c r="E29" s="171">
        <f t="shared" si="1"/>
        <v>3.1972410061601639</v>
      </c>
      <c r="F29" s="19">
        <f>VLOOKUP(I29,'Yearly Pension'!$C$3:$AW$81, 47, FALSE)</f>
        <v>720</v>
      </c>
      <c r="H29" s="11">
        <v>500</v>
      </c>
      <c r="I29" s="11">
        <v>755</v>
      </c>
      <c r="J29" s="11">
        <v>2</v>
      </c>
      <c r="K29" s="11">
        <v>19750714</v>
      </c>
      <c r="L29" s="177">
        <f t="shared" si="2"/>
        <v>27589</v>
      </c>
      <c r="M29" s="178">
        <f t="shared" si="3"/>
        <v>43.468856947296374</v>
      </c>
      <c r="N29" s="178">
        <f t="shared" si="4"/>
        <v>43</v>
      </c>
      <c r="O29" s="178">
        <f t="shared" si="5"/>
        <v>44</v>
      </c>
      <c r="P29" s="178">
        <f t="shared" si="6"/>
        <v>0.46885694729637351</v>
      </c>
      <c r="Q29" s="178">
        <f t="shared" si="7"/>
        <v>0.53114305270362649</v>
      </c>
      <c r="R29" s="179">
        <f>IF(J29=1,VLOOKUP(N29,'Annuity Factors '!$K$10:$O$92,5, FALSE),VLOOKUP(N29,'Annuity Factors '!$A$10:$E$92,5,FALSE))</f>
        <v>3.0873900000000001</v>
      </c>
      <c r="S29" s="179">
        <f>IF(J29=1,VLOOKUP(O29,'Annuity Factors '!$K$10:$O$92,5, FALSE),VLOOKUP(O29,'Annuity Factors '!$A$10:$E$92,5,FALSE))</f>
        <v>3.2942099999999996</v>
      </c>
    </row>
    <row r="30" spans="2:19" x14ac:dyDescent="0.25">
      <c r="B30" s="1">
        <v>754</v>
      </c>
      <c r="C30" s="19">
        <f t="shared" si="0"/>
        <v>3027.0227285665487</v>
      </c>
      <c r="D30" s="172">
        <f>SUM('Yearly Pension'!$G30:$AV30) *E30</f>
        <v>36538.98717803348</v>
      </c>
      <c r="E30" s="171">
        <f t="shared" si="1"/>
        <v>2.3791666119096511</v>
      </c>
      <c r="F30" s="19">
        <f>VLOOKUP(I30,'Yearly Pension'!$C$3:$AW$81, 47, FALSE)</f>
        <v>1272.3038031106582</v>
      </c>
      <c r="H30" s="11">
        <v>600</v>
      </c>
      <c r="I30" s="11">
        <v>754</v>
      </c>
      <c r="J30" s="11">
        <v>2</v>
      </c>
      <c r="K30" s="11">
        <v>19800108</v>
      </c>
      <c r="L30" s="177">
        <f t="shared" si="2"/>
        <v>29228</v>
      </c>
      <c r="M30" s="178">
        <f t="shared" si="3"/>
        <v>38.98151950718686</v>
      </c>
      <c r="N30" s="178">
        <f t="shared" si="4"/>
        <v>38</v>
      </c>
      <c r="O30" s="178">
        <f t="shared" si="5"/>
        <v>39</v>
      </c>
      <c r="P30" s="178">
        <f t="shared" si="6"/>
        <v>0.9815195071868601</v>
      </c>
      <c r="Q30" s="178">
        <f t="shared" si="7"/>
        <v>1.8480492813139904E-2</v>
      </c>
      <c r="R30" s="179">
        <f>IF(J30=1,VLOOKUP(N30,'Annuity Factors '!$K$10:$O$92,5, FALSE),VLOOKUP(N30,'Annuity Factors '!$A$10:$E$92,5,FALSE))</f>
        <v>2.2323999999999997</v>
      </c>
      <c r="S30" s="179">
        <f>IF(J30=1,VLOOKUP(O30,'Annuity Factors '!$K$10:$O$92,5, FALSE),VLOOKUP(O30,'Annuity Factors '!$A$10:$E$92,5,FALSE))</f>
        <v>2.3819300000000001</v>
      </c>
    </row>
    <row r="31" spans="2:19" x14ac:dyDescent="0.25">
      <c r="B31" s="1">
        <v>753</v>
      </c>
      <c r="C31" s="19">
        <f t="shared" si="0"/>
        <v>6945.7394814431354</v>
      </c>
      <c r="D31" s="172">
        <f>SUM('Yearly Pension'!$G31:$AV31) *E31</f>
        <v>81257.507104071134</v>
      </c>
      <c r="E31" s="171">
        <f t="shared" si="1"/>
        <v>5.3783419233401784</v>
      </c>
      <c r="F31" s="19">
        <f>VLOOKUP(I31,'Yearly Pension'!$C$3:$AW$81, 47, FALSE)</f>
        <v>1291.4276519499408</v>
      </c>
      <c r="H31" s="11">
        <v>600</v>
      </c>
      <c r="I31" s="11">
        <v>753</v>
      </c>
      <c r="J31" s="11">
        <v>2</v>
      </c>
      <c r="K31" s="11">
        <v>19670614</v>
      </c>
      <c r="L31" s="177">
        <f t="shared" si="2"/>
        <v>24637</v>
      </c>
      <c r="M31" s="178">
        <f t="shared" si="3"/>
        <v>51.550992470910337</v>
      </c>
      <c r="N31" s="178">
        <f t="shared" si="4"/>
        <v>51</v>
      </c>
      <c r="O31" s="178">
        <f t="shared" si="5"/>
        <v>52</v>
      </c>
      <c r="P31" s="178">
        <f t="shared" si="6"/>
        <v>0.55099247091033732</v>
      </c>
      <c r="Q31" s="178">
        <f t="shared" si="7"/>
        <v>0.44900752908966268</v>
      </c>
      <c r="R31" s="179">
        <f>IF(J31=1,VLOOKUP(N31,'Annuity Factors '!$K$10:$O$92,5, FALSE),VLOOKUP(N31,'Annuity Factors '!$A$10:$E$92,5,FALSE))</f>
        <v>5.1868499999999997</v>
      </c>
      <c r="S31" s="179">
        <f>IF(J31=1,VLOOKUP(O31,'Annuity Factors '!$K$10:$O$92,5, FALSE),VLOOKUP(O31,'Annuity Factors '!$A$10:$E$92,5,FALSE))</f>
        <v>5.5343900000000001</v>
      </c>
    </row>
    <row r="32" spans="2:19" x14ac:dyDescent="0.25">
      <c r="B32" s="1">
        <v>752</v>
      </c>
      <c r="C32" s="19">
        <f t="shared" si="0"/>
        <v>2675.9176498611268</v>
      </c>
      <c r="D32" s="172">
        <f>SUM('Yearly Pension'!$G32:$AV32) *E32</f>
        <v>31435.260000167971</v>
      </c>
      <c r="E32" s="171">
        <f t="shared" si="1"/>
        <v>2.0418259958932237</v>
      </c>
      <c r="F32" s="19">
        <f>VLOOKUP(I32,'Yearly Pension'!$C$3:$AW$81, 47, FALSE)</f>
        <v>1310.5512689344087</v>
      </c>
      <c r="H32" s="11">
        <v>600</v>
      </c>
      <c r="I32" s="11">
        <v>752</v>
      </c>
      <c r="J32" s="11">
        <v>2</v>
      </c>
      <c r="K32" s="11">
        <v>19820814</v>
      </c>
      <c r="L32" s="177">
        <f t="shared" si="2"/>
        <v>30177</v>
      </c>
      <c r="M32" s="178">
        <f t="shared" si="3"/>
        <v>36.383299110198493</v>
      </c>
      <c r="N32" s="178">
        <f t="shared" si="4"/>
        <v>36</v>
      </c>
      <c r="O32" s="178">
        <f t="shared" si="5"/>
        <v>37</v>
      </c>
      <c r="P32" s="178">
        <f t="shared" si="6"/>
        <v>0.38329911019849305</v>
      </c>
      <c r="Q32" s="178">
        <f t="shared" si="7"/>
        <v>0.61670088980150695</v>
      </c>
      <c r="R32" s="179">
        <f>IF(J32=1,VLOOKUP(N32,'Annuity Factors '!$K$10:$O$92,5, FALSE),VLOOKUP(N32,'Annuity Factors '!$A$10:$E$92,5,FALSE))</f>
        <v>1.9608099999999999</v>
      </c>
      <c r="S32" s="179">
        <f>IF(J32=1,VLOOKUP(O32,'Annuity Factors '!$K$10:$O$92,5, FALSE),VLOOKUP(O32,'Annuity Factors '!$A$10:$E$92,5,FALSE))</f>
        <v>2.0921799999999999</v>
      </c>
    </row>
    <row r="33" spans="2:19" x14ac:dyDescent="0.25">
      <c r="B33" s="1">
        <v>747</v>
      </c>
      <c r="C33" s="19">
        <f t="shared" si="0"/>
        <v>7483.4954536160985</v>
      </c>
      <c r="D33" s="172">
        <f>SUM('Yearly Pension'!$G33:$AV33) *E33</f>
        <v>91389.833377622592</v>
      </c>
      <c r="E33" s="171">
        <f t="shared" si="1"/>
        <v>5.6280640725530455</v>
      </c>
      <c r="F33" s="19">
        <f>VLOOKUP(I33,'Yearly Pension'!$C$3:$AW$81, 47, FALSE)</f>
        <v>1329.6748859188765</v>
      </c>
      <c r="H33" s="11">
        <v>600</v>
      </c>
      <c r="I33" s="11">
        <v>747</v>
      </c>
      <c r="J33" s="11">
        <v>1</v>
      </c>
      <c r="K33" s="11">
        <v>19660920</v>
      </c>
      <c r="L33" s="177">
        <f t="shared" si="2"/>
        <v>24370</v>
      </c>
      <c r="M33" s="178">
        <f t="shared" si="3"/>
        <v>52.281998631074607</v>
      </c>
      <c r="N33" s="178">
        <f t="shared" si="4"/>
        <v>52</v>
      </c>
      <c r="O33" s="178">
        <f t="shared" si="5"/>
        <v>53</v>
      </c>
      <c r="P33" s="178">
        <f t="shared" si="6"/>
        <v>0.28199863107460743</v>
      </c>
      <c r="Q33" s="178">
        <f t="shared" si="7"/>
        <v>0.71800136892539257</v>
      </c>
      <c r="R33" s="179">
        <f>IF(J33=1,VLOOKUP(N33,'Annuity Factors '!$K$10:$O$92,5, FALSE),VLOOKUP(N33,'Annuity Factors '!$A$10:$E$92,5,FALSE))</f>
        <v>5.36972</v>
      </c>
      <c r="S33" s="179">
        <f>IF(J33=1,VLOOKUP(O33,'Annuity Factors '!$K$10:$O$92,5, FALSE),VLOOKUP(O33,'Annuity Factors '!$A$10:$E$92,5,FALSE))</f>
        <v>5.7295299999999996</v>
      </c>
    </row>
    <row r="34" spans="2:19" x14ac:dyDescent="0.25">
      <c r="B34" s="1">
        <v>746</v>
      </c>
      <c r="C34" s="19">
        <f t="shared" si="0"/>
        <v>15977.063740945852</v>
      </c>
      <c r="D34" s="172">
        <f>SUM('Yearly Pension'!$G34:$AV34) *E34</f>
        <v>195199.44217492084</v>
      </c>
      <c r="E34" s="171">
        <f t="shared" si="1"/>
        <v>11.845404414784396</v>
      </c>
      <c r="F34" s="19">
        <f>VLOOKUP(I34,'Yearly Pension'!$C$3:$AW$81, 47, FALSE)</f>
        <v>1348.7985029033439</v>
      </c>
      <c r="H34" s="11">
        <v>600</v>
      </c>
      <c r="I34" s="11">
        <v>746</v>
      </c>
      <c r="J34" s="11">
        <v>2</v>
      </c>
      <c r="K34" s="11">
        <v>19551230</v>
      </c>
      <c r="L34" s="177">
        <f t="shared" si="2"/>
        <v>20453</v>
      </c>
      <c r="M34" s="178">
        <f t="shared" si="3"/>
        <v>63.006160164271044</v>
      </c>
      <c r="N34" s="178">
        <f t="shared" si="4"/>
        <v>63</v>
      </c>
      <c r="O34" s="178">
        <f t="shared" si="5"/>
        <v>64</v>
      </c>
      <c r="P34" s="178">
        <f t="shared" si="6"/>
        <v>6.1601642710442661E-3</v>
      </c>
      <c r="Q34" s="178">
        <f t="shared" si="7"/>
        <v>0.99383983572895573</v>
      </c>
      <c r="R34" s="179">
        <f>IF(J34=1,VLOOKUP(N34,'Annuity Factors '!$K$10:$O$92,5, FALSE),VLOOKUP(N34,'Annuity Factors '!$A$10:$E$92,5,FALSE))</f>
        <v>11.126569999999999</v>
      </c>
      <c r="S34" s="179">
        <f>IF(J34=1,VLOOKUP(O34,'Annuity Factors '!$K$10:$O$92,5, FALSE),VLOOKUP(O34,'Annuity Factors '!$A$10:$E$92,5,FALSE))</f>
        <v>11.84986</v>
      </c>
    </row>
    <row r="35" spans="2:19" x14ac:dyDescent="0.25">
      <c r="B35" s="1">
        <v>743</v>
      </c>
      <c r="C35" s="19">
        <f t="shared" si="0"/>
        <v>3946.6725771646288</v>
      </c>
      <c r="D35" s="172">
        <f>SUM('Yearly Pension'!$G35:$AV35) *E35</f>
        <v>48725.15114764098</v>
      </c>
      <c r="E35" s="171">
        <f t="shared" si="1"/>
        <v>2.8851583367556461</v>
      </c>
      <c r="F35" s="19">
        <f>VLOOKUP(I35,'Yearly Pension'!$C$3:$AW$81, 47, FALSE)</f>
        <v>1367.9223517426267</v>
      </c>
      <c r="H35" s="11">
        <v>600</v>
      </c>
      <c r="I35" s="11">
        <v>743</v>
      </c>
      <c r="J35" s="11">
        <v>2</v>
      </c>
      <c r="K35" s="11">
        <v>19771215</v>
      </c>
      <c r="L35" s="177">
        <f t="shared" si="2"/>
        <v>28474</v>
      </c>
      <c r="M35" s="178">
        <f t="shared" si="3"/>
        <v>41.045859000684466</v>
      </c>
      <c r="N35" s="178">
        <f t="shared" si="4"/>
        <v>41</v>
      </c>
      <c r="O35" s="178">
        <f t="shared" si="5"/>
        <v>42</v>
      </c>
      <c r="P35" s="178">
        <f t="shared" si="6"/>
        <v>4.5859000684465911E-2</v>
      </c>
      <c r="Q35" s="178">
        <f t="shared" si="7"/>
        <v>0.95414099931553409</v>
      </c>
      <c r="R35" s="179">
        <f>IF(J35=1,VLOOKUP(N35,'Annuity Factors '!$K$10:$O$92,5, FALSE),VLOOKUP(N35,'Annuity Factors '!$A$10:$E$92,5,FALSE))</f>
        <v>2.7118099999999998</v>
      </c>
      <c r="S35" s="179">
        <f>IF(J35=1,VLOOKUP(O35,'Annuity Factors '!$K$10:$O$92,5, FALSE),VLOOKUP(O35,'Annuity Factors '!$A$10:$E$92,5,FALSE))</f>
        <v>2.8934899999999999</v>
      </c>
    </row>
    <row r="36" spans="2:19" x14ac:dyDescent="0.25">
      <c r="B36" s="1">
        <v>742</v>
      </c>
      <c r="C36" s="19">
        <f t="shared" si="0"/>
        <v>8318.1300259507807</v>
      </c>
      <c r="D36" s="172">
        <f>SUM('Yearly Pension'!$G36:$AV36) *E36</f>
        <v>103400.82022207741</v>
      </c>
      <c r="E36" s="171">
        <f t="shared" si="1"/>
        <v>5.9970110677618056</v>
      </c>
      <c r="F36" s="19">
        <f>VLOOKUP(I36,'Yearly Pension'!$C$3:$AW$81, 47, FALSE)</f>
        <v>1387.0459687270943</v>
      </c>
      <c r="H36" s="11">
        <v>600</v>
      </c>
      <c r="I36" s="11">
        <v>742</v>
      </c>
      <c r="J36" s="11">
        <v>1</v>
      </c>
      <c r="K36" s="11">
        <v>19650912</v>
      </c>
      <c r="L36" s="177">
        <f t="shared" si="2"/>
        <v>23997</v>
      </c>
      <c r="M36" s="178">
        <f t="shared" si="3"/>
        <v>53.303216974674882</v>
      </c>
      <c r="N36" s="178">
        <f t="shared" si="4"/>
        <v>53</v>
      </c>
      <c r="O36" s="178">
        <f t="shared" si="5"/>
        <v>54</v>
      </c>
      <c r="P36" s="178">
        <f t="shared" si="6"/>
        <v>0.30321697467488207</v>
      </c>
      <c r="Q36" s="178">
        <f t="shared" si="7"/>
        <v>0.69678302532511793</v>
      </c>
      <c r="R36" s="179">
        <f>IF(J36=1,VLOOKUP(N36,'Annuity Factors '!$K$10:$O$92,5, FALSE),VLOOKUP(N36,'Annuity Factors '!$A$10:$E$92,5,FALSE))</f>
        <v>5.7295299999999996</v>
      </c>
      <c r="S36" s="179">
        <f>IF(J36=1,VLOOKUP(O36,'Annuity Factors '!$K$10:$O$92,5, FALSE),VLOOKUP(O36,'Annuity Factors '!$A$10:$E$92,5,FALSE))</f>
        <v>6.11341</v>
      </c>
    </row>
    <row r="37" spans="2:19" x14ac:dyDescent="0.25">
      <c r="B37" s="1">
        <v>740</v>
      </c>
      <c r="C37" s="19">
        <f t="shared" si="0"/>
        <v>4690.3727534474274</v>
      </c>
      <c r="D37" s="172">
        <f>SUM('Yearly Pension'!$G37:$AV37) *E37</f>
        <v>58352.063132188523</v>
      </c>
      <c r="E37" s="171">
        <f t="shared" si="1"/>
        <v>3.2908125462012312</v>
      </c>
      <c r="F37" s="19">
        <f>VLOOKUP(I37,'Yearly Pension'!$C$3:$AW$81, 47, FALSE)</f>
        <v>1425.2932026960291</v>
      </c>
      <c r="H37" s="11">
        <v>600</v>
      </c>
      <c r="I37" s="11">
        <v>740</v>
      </c>
      <c r="J37" s="11">
        <v>2</v>
      </c>
      <c r="K37" s="11">
        <v>19750107</v>
      </c>
      <c r="L37" s="177">
        <f t="shared" si="2"/>
        <v>27401</v>
      </c>
      <c r="M37" s="178">
        <f t="shared" si="3"/>
        <v>43.983572895277206</v>
      </c>
      <c r="N37" s="178">
        <f t="shared" si="4"/>
        <v>43</v>
      </c>
      <c r="O37" s="178">
        <f t="shared" si="5"/>
        <v>44</v>
      </c>
      <c r="P37" s="178">
        <f t="shared" si="6"/>
        <v>0.98357289527720582</v>
      </c>
      <c r="Q37" s="178">
        <f t="shared" si="7"/>
        <v>1.6427104722794184E-2</v>
      </c>
      <c r="R37" s="179">
        <f>IF(J37=1,VLOOKUP(N37,'Annuity Factors '!$K$10:$O$92,5, FALSE),VLOOKUP(N37,'Annuity Factors '!$A$10:$E$92,5,FALSE))</f>
        <v>3.0873900000000001</v>
      </c>
      <c r="S37" s="179">
        <f>IF(J37=1,VLOOKUP(O37,'Annuity Factors '!$K$10:$O$92,5, FALSE),VLOOKUP(O37,'Annuity Factors '!$A$10:$E$92,5,FALSE))</f>
        <v>3.2942099999999996</v>
      </c>
    </row>
    <row r="38" spans="2:19" x14ac:dyDescent="0.25">
      <c r="B38" s="1">
        <v>734</v>
      </c>
      <c r="C38" s="19">
        <f t="shared" si="0"/>
        <v>16195.761590713939</v>
      </c>
      <c r="D38" s="172">
        <f>SUM('Yearly Pension'!$G38:$AV38) *E38</f>
        <v>206183.18060788285</v>
      </c>
      <c r="E38" s="171">
        <f t="shared" si="1"/>
        <v>11.066150698151953</v>
      </c>
      <c r="F38" s="19">
        <f>VLOOKUP(I38,'Yearly Pension'!$C$3:$AW$81, 47, FALSE)</f>
        <v>1463.54066851978</v>
      </c>
      <c r="H38" s="11">
        <v>600</v>
      </c>
      <c r="I38" s="11">
        <v>734</v>
      </c>
      <c r="J38" s="11">
        <v>2</v>
      </c>
      <c r="K38" s="11">
        <v>19561129</v>
      </c>
      <c r="L38" s="177">
        <f t="shared" si="2"/>
        <v>20788</v>
      </c>
      <c r="M38" s="178">
        <f t="shared" si="3"/>
        <v>62.08898015058179</v>
      </c>
      <c r="N38" s="178">
        <f t="shared" si="4"/>
        <v>62</v>
      </c>
      <c r="O38" s="178">
        <f t="shared" si="5"/>
        <v>63</v>
      </c>
      <c r="P38" s="178">
        <f t="shared" si="6"/>
        <v>8.8980150581789985E-2</v>
      </c>
      <c r="Q38" s="178">
        <f t="shared" si="7"/>
        <v>0.91101984941821001</v>
      </c>
      <c r="R38" s="179">
        <f>IF(J38=1,VLOOKUP(N38,'Annuity Factors '!$K$10:$O$92,5, FALSE),VLOOKUP(N38,'Annuity Factors '!$A$10:$E$92,5,FALSE))</f>
        <v>10.44755</v>
      </c>
      <c r="S38" s="179">
        <f>IF(J38=1,VLOOKUP(O38,'Annuity Factors '!$K$10:$O$92,5, FALSE),VLOOKUP(O38,'Annuity Factors '!$A$10:$E$92,5,FALSE))</f>
        <v>11.126569999999999</v>
      </c>
    </row>
    <row r="39" spans="2:19" x14ac:dyDescent="0.25">
      <c r="B39" s="1">
        <v>732</v>
      </c>
      <c r="C39" s="19">
        <f t="shared" si="0"/>
        <v>4355.9785587300903</v>
      </c>
      <c r="D39" s="172">
        <f>SUM('Yearly Pension'!$G39:$AV39) *E39</f>
        <v>56325.150060756459</v>
      </c>
      <c r="E39" s="171">
        <f t="shared" si="1"/>
        <v>2.9379398973305961</v>
      </c>
      <c r="F39" s="19">
        <f>VLOOKUP(I39,'Yearly Pension'!$C$3:$AW$81, 47, FALSE)</f>
        <v>1482.6642855042473</v>
      </c>
      <c r="H39" s="11">
        <v>600</v>
      </c>
      <c r="I39" s="11">
        <v>732</v>
      </c>
      <c r="J39" s="11">
        <v>1</v>
      </c>
      <c r="K39" s="11">
        <v>19760422</v>
      </c>
      <c r="L39" s="177">
        <f t="shared" si="2"/>
        <v>27872</v>
      </c>
      <c r="M39" s="178">
        <f t="shared" si="3"/>
        <v>42.69404517453799</v>
      </c>
      <c r="N39" s="178">
        <f t="shared" si="4"/>
        <v>42</v>
      </c>
      <c r="O39" s="178">
        <f t="shared" si="5"/>
        <v>43</v>
      </c>
      <c r="P39" s="178">
        <f t="shared" si="6"/>
        <v>0.69404517453799031</v>
      </c>
      <c r="Q39" s="178">
        <f t="shared" si="7"/>
        <v>0.30595482546200969</v>
      </c>
      <c r="R39" s="179">
        <f>IF(J39=1,VLOOKUP(N39,'Annuity Factors '!$K$10:$O$92,5, FALSE),VLOOKUP(N39,'Annuity Factors '!$A$10:$E$92,5,FALSE))</f>
        <v>2.8073899999999998</v>
      </c>
      <c r="S39" s="179">
        <f>IF(J39=1,VLOOKUP(O39,'Annuity Factors '!$K$10:$O$92,5, FALSE),VLOOKUP(O39,'Annuity Factors '!$A$10:$E$92,5,FALSE))</f>
        <v>2.9954900000000002</v>
      </c>
    </row>
    <row r="40" spans="2:19" x14ac:dyDescent="0.25">
      <c r="B40" s="1">
        <v>730</v>
      </c>
      <c r="C40" s="19">
        <f t="shared" si="0"/>
        <v>6898.7266685348359</v>
      </c>
      <c r="D40" s="172">
        <f>SUM('Yearly Pension'!$G40:$AV40) *E40</f>
        <v>89766.902181217374</v>
      </c>
      <c r="E40" s="171">
        <f t="shared" si="1"/>
        <v>4.5936757494866534</v>
      </c>
      <c r="F40" s="19">
        <f>VLOOKUP(I40,'Yearly Pension'!$C$3:$AW$81, 47, FALSE)</f>
        <v>1501.7879024887147</v>
      </c>
      <c r="H40" s="11">
        <v>600</v>
      </c>
      <c r="I40" s="11">
        <v>730</v>
      </c>
      <c r="J40" s="11">
        <v>1</v>
      </c>
      <c r="K40" s="11">
        <v>19690601</v>
      </c>
      <c r="L40" s="177">
        <f t="shared" si="2"/>
        <v>25355</v>
      </c>
      <c r="M40" s="178">
        <f t="shared" si="3"/>
        <v>49.585215605749489</v>
      </c>
      <c r="N40" s="178">
        <f t="shared" si="4"/>
        <v>49</v>
      </c>
      <c r="O40" s="178">
        <f t="shared" si="5"/>
        <v>50</v>
      </c>
      <c r="P40" s="178">
        <f t="shared" si="6"/>
        <v>0.5852156057494895</v>
      </c>
      <c r="Q40" s="178">
        <f t="shared" si="7"/>
        <v>0.4147843942505105</v>
      </c>
      <c r="R40" s="179">
        <f>IF(J40=1,VLOOKUP(N40,'Annuity Factors '!$K$10:$O$92,5, FALSE),VLOOKUP(N40,'Annuity Factors '!$A$10:$E$92,5,FALSE))</f>
        <v>4.4203700000000001</v>
      </c>
      <c r="S40" s="179">
        <f>IF(J40=1,VLOOKUP(O40,'Annuity Factors '!$K$10:$O$92,5, FALSE),VLOOKUP(O40,'Annuity Factors '!$A$10:$E$92,5,FALSE))</f>
        <v>4.7165099999999995</v>
      </c>
    </row>
    <row r="41" spans="2:19" x14ac:dyDescent="0.25">
      <c r="B41" s="1">
        <v>729</v>
      </c>
      <c r="C41" s="19">
        <f t="shared" si="0"/>
        <v>4234.0082300020485</v>
      </c>
      <c r="D41" s="172">
        <f>SUM('Yearly Pension'!$G41:$AV41) *E41</f>
        <v>55438.801694371214</v>
      </c>
      <c r="E41" s="171">
        <f t="shared" si="1"/>
        <v>2.7838618685831618</v>
      </c>
      <c r="F41" s="19">
        <f>VLOOKUP(I41,'Yearly Pension'!$C$3:$AW$81, 47, FALSE)</f>
        <v>1520.9117513279975</v>
      </c>
      <c r="H41" s="11">
        <v>600</v>
      </c>
      <c r="I41" s="11">
        <v>729</v>
      </c>
      <c r="J41" s="11">
        <v>1</v>
      </c>
      <c r="K41" s="11">
        <v>19771113</v>
      </c>
      <c r="L41" s="177">
        <f t="shared" si="2"/>
        <v>28442</v>
      </c>
      <c r="M41" s="178">
        <f t="shared" si="3"/>
        <v>41.133470225872692</v>
      </c>
      <c r="N41" s="178">
        <f t="shared" si="4"/>
        <v>41</v>
      </c>
      <c r="O41" s="178">
        <f t="shared" si="5"/>
        <v>42</v>
      </c>
      <c r="P41" s="178">
        <f t="shared" si="6"/>
        <v>0.13347022587269208</v>
      </c>
      <c r="Q41" s="178">
        <f t="shared" si="7"/>
        <v>0.86652977412730792</v>
      </c>
      <c r="R41" s="179">
        <f>IF(J41=1,VLOOKUP(N41,'Annuity Factors '!$K$10:$O$92,5, FALSE),VLOOKUP(N41,'Annuity Factors '!$A$10:$E$92,5,FALSE))</f>
        <v>2.6311100000000001</v>
      </c>
      <c r="S41" s="179">
        <f>IF(J41=1,VLOOKUP(O41,'Annuity Factors '!$K$10:$O$92,5, FALSE),VLOOKUP(O41,'Annuity Factors '!$A$10:$E$92,5,FALSE))</f>
        <v>2.8073899999999998</v>
      </c>
    </row>
    <row r="42" spans="2:19" x14ac:dyDescent="0.25">
      <c r="B42" s="1">
        <v>726</v>
      </c>
      <c r="C42" s="19">
        <f t="shared" si="0"/>
        <v>17935.087439190269</v>
      </c>
      <c r="D42" s="172">
        <f>SUM('Yearly Pension'!$G42:$AV42) *E42</f>
        <v>236300.57191585485</v>
      </c>
      <c r="E42" s="171">
        <f t="shared" si="1"/>
        <v>11.645893210130048</v>
      </c>
      <c r="F42" s="19">
        <f>VLOOKUP(I42,'Yearly Pension'!$C$3:$AW$81, 47, FALSE)</f>
        <v>1540.0353683124654</v>
      </c>
      <c r="H42" s="11">
        <v>600</v>
      </c>
      <c r="I42" s="11">
        <v>726</v>
      </c>
      <c r="J42" s="11">
        <v>2</v>
      </c>
      <c r="K42" s="11">
        <v>19550414</v>
      </c>
      <c r="L42" s="177">
        <f t="shared" si="2"/>
        <v>20193</v>
      </c>
      <c r="M42" s="178">
        <f t="shared" si="3"/>
        <v>63.718001368925393</v>
      </c>
      <c r="N42" s="178">
        <f t="shared" si="4"/>
        <v>63</v>
      </c>
      <c r="O42" s="178">
        <f t="shared" si="5"/>
        <v>64</v>
      </c>
      <c r="P42" s="178">
        <f t="shared" si="6"/>
        <v>0.71800136892539257</v>
      </c>
      <c r="Q42" s="178">
        <f t="shared" si="7"/>
        <v>0.28199863107460743</v>
      </c>
      <c r="R42" s="179">
        <f>IF(J42=1,VLOOKUP(N42,'Annuity Factors '!$K$10:$O$92,5, FALSE),VLOOKUP(N42,'Annuity Factors '!$A$10:$E$92,5,FALSE))</f>
        <v>11.126569999999999</v>
      </c>
      <c r="S42" s="179">
        <f>IF(J42=1,VLOOKUP(O42,'Annuity Factors '!$K$10:$O$92,5, FALSE),VLOOKUP(O42,'Annuity Factors '!$A$10:$E$92,5,FALSE))</f>
        <v>11.84986</v>
      </c>
    </row>
    <row r="43" spans="2:19" x14ac:dyDescent="0.25">
      <c r="B43" s="1">
        <v>721</v>
      </c>
      <c r="C43" s="19">
        <f t="shared" si="0"/>
        <v>13469.785936918559</v>
      </c>
      <c r="D43" s="172">
        <f>SUM('Yearly Pension'!$G43:$AV43) *E43</f>
        <v>183022.40595047674</v>
      </c>
      <c r="E43" s="171">
        <f t="shared" si="1"/>
        <v>8.6391356262833696</v>
      </c>
      <c r="F43" s="19">
        <f>VLOOKUP(I43,'Yearly Pension'!$C$3:$AW$81, 47, FALSE)</f>
        <v>1559.1589852969325</v>
      </c>
      <c r="H43" s="11">
        <v>600</v>
      </c>
      <c r="I43" s="11">
        <v>721</v>
      </c>
      <c r="J43" s="11">
        <v>2</v>
      </c>
      <c r="K43" s="11">
        <v>19600108</v>
      </c>
      <c r="L43" s="177">
        <f t="shared" si="2"/>
        <v>21923</v>
      </c>
      <c r="M43" s="178">
        <f t="shared" si="3"/>
        <v>58.98151950718686</v>
      </c>
      <c r="N43" s="178">
        <f t="shared" si="4"/>
        <v>58</v>
      </c>
      <c r="O43" s="178">
        <f t="shared" si="5"/>
        <v>59</v>
      </c>
      <c r="P43" s="178">
        <f t="shared" si="6"/>
        <v>0.9815195071868601</v>
      </c>
      <c r="Q43" s="178">
        <f t="shared" si="7"/>
        <v>1.8480492813139904E-2</v>
      </c>
      <c r="R43" s="179">
        <f>IF(J43=1,VLOOKUP(N43,'Annuity Factors '!$K$10:$O$92,5, FALSE),VLOOKUP(N43,'Annuity Factors '!$A$10:$E$92,5,FALSE))</f>
        <v>8.1210699999999996</v>
      </c>
      <c r="S43" s="179">
        <f>IF(J43=1,VLOOKUP(O43,'Annuity Factors '!$K$10:$O$92,5, FALSE),VLOOKUP(O43,'Annuity Factors '!$A$10:$E$92,5,FALSE))</f>
        <v>8.6488900000000015</v>
      </c>
    </row>
    <row r="44" spans="2:19" x14ac:dyDescent="0.25">
      <c r="B44" s="1">
        <v>718</v>
      </c>
      <c r="C44" s="19">
        <f t="shared" si="0"/>
        <v>11021.041209840101</v>
      </c>
      <c r="D44" s="172">
        <f>SUM('Yearly Pension'!$G44:$AV44) *E44</f>
        <v>142766.67369896034</v>
      </c>
      <c r="E44" s="171">
        <f t="shared" si="1"/>
        <v>6.98293271047228</v>
      </c>
      <c r="F44" s="19">
        <f>VLOOKUP(I44,'Yearly Pension'!$C$3:$AW$81, 47, FALSE)</f>
        <v>1578.2826022814002</v>
      </c>
      <c r="H44" s="11">
        <v>600</v>
      </c>
      <c r="I44" s="11">
        <v>718</v>
      </c>
      <c r="J44" s="11">
        <v>2</v>
      </c>
      <c r="K44" s="11">
        <v>19630529</v>
      </c>
      <c r="L44" s="177">
        <f t="shared" si="2"/>
        <v>23160</v>
      </c>
      <c r="M44" s="178">
        <f t="shared" si="3"/>
        <v>55.59479808350445</v>
      </c>
      <c r="N44" s="178">
        <f t="shared" si="4"/>
        <v>55</v>
      </c>
      <c r="O44" s="178">
        <f t="shared" si="5"/>
        <v>56</v>
      </c>
      <c r="P44" s="178">
        <f t="shared" si="6"/>
        <v>0.5947980835044504</v>
      </c>
      <c r="Q44" s="178">
        <f t="shared" si="7"/>
        <v>0.4052019164955496</v>
      </c>
      <c r="R44" s="179">
        <f>IF(J44=1,VLOOKUP(N44,'Annuity Factors '!$K$10:$O$92,5, FALSE),VLOOKUP(N44,'Annuity Factors '!$A$10:$E$92,5,FALSE))</f>
        <v>6.7229999999999999</v>
      </c>
      <c r="S44" s="179">
        <f>IF(J44=1,VLOOKUP(O44,'Annuity Factors '!$K$10:$O$92,5, FALSE),VLOOKUP(O44,'Annuity Factors '!$A$10:$E$92,5,FALSE))</f>
        <v>7.1600099999999998</v>
      </c>
    </row>
    <row r="45" spans="2:19" x14ac:dyDescent="0.25">
      <c r="B45" s="1">
        <v>714</v>
      </c>
      <c r="C45" s="19">
        <f t="shared" si="0"/>
        <v>10058.898894793041</v>
      </c>
      <c r="D45" s="172">
        <f>SUM('Yearly Pension'!$G45:$AV45) *E45</f>
        <v>133445.3650231853</v>
      </c>
      <c r="E45" s="171">
        <f t="shared" si="1"/>
        <v>6.2970190759753599</v>
      </c>
      <c r="F45" s="19">
        <f>VLOOKUP(I45,'Yearly Pension'!$C$3:$AW$81, 47, FALSE)</f>
        <v>1597.406451120683</v>
      </c>
      <c r="H45" s="11">
        <v>600</v>
      </c>
      <c r="I45" s="11">
        <v>714</v>
      </c>
      <c r="J45" s="11">
        <v>2</v>
      </c>
      <c r="K45" s="11">
        <v>19650104</v>
      </c>
      <c r="L45" s="177">
        <f t="shared" si="2"/>
        <v>23746</v>
      </c>
      <c r="M45" s="178">
        <f t="shared" si="3"/>
        <v>53.990417522245039</v>
      </c>
      <c r="N45" s="178">
        <f t="shared" si="4"/>
        <v>53</v>
      </c>
      <c r="O45" s="178">
        <f t="shared" si="5"/>
        <v>54</v>
      </c>
      <c r="P45" s="178">
        <f t="shared" si="6"/>
        <v>0.99041752224503909</v>
      </c>
      <c r="Q45" s="178">
        <f t="shared" si="7"/>
        <v>9.5824777549609053E-3</v>
      </c>
      <c r="R45" s="179">
        <f>IF(J45=1,VLOOKUP(N45,'Annuity Factors '!$K$10:$O$92,5, FALSE),VLOOKUP(N45,'Annuity Factors '!$A$10:$E$92,5,FALSE))</f>
        <v>5.9052000000000007</v>
      </c>
      <c r="S45" s="179">
        <f>IF(J45=1,VLOOKUP(O45,'Annuity Factors '!$K$10:$O$92,5, FALSE),VLOOKUP(O45,'Annuity Factors '!$A$10:$E$92,5,FALSE))</f>
        <v>6.3008100000000002</v>
      </c>
    </row>
    <row r="46" spans="2:19" x14ac:dyDescent="0.25">
      <c r="B46" s="1">
        <v>709</v>
      </c>
      <c r="C46" s="19">
        <f t="shared" si="0"/>
        <v>5062.8325940663908</v>
      </c>
      <c r="D46" s="172">
        <f>SUM('Yearly Pension'!$G46:$AV46) *E46</f>
        <v>72918.484808921101</v>
      </c>
      <c r="E46" s="171">
        <f t="shared" si="1"/>
        <v>3.1319136550308002</v>
      </c>
      <c r="F46" s="19">
        <f>VLOOKUP(I46,'Yearly Pension'!$C$3:$AW$81, 47, FALSE)</f>
        <v>1616.5300681051508</v>
      </c>
      <c r="H46" s="11">
        <v>600</v>
      </c>
      <c r="I46" s="11">
        <v>709</v>
      </c>
      <c r="J46" s="11">
        <v>1</v>
      </c>
      <c r="K46" s="11">
        <v>19750428</v>
      </c>
      <c r="L46" s="177">
        <f t="shared" si="2"/>
        <v>27512</v>
      </c>
      <c r="M46" s="178">
        <f t="shared" si="3"/>
        <v>43.679671457905542</v>
      </c>
      <c r="N46" s="178">
        <f t="shared" si="4"/>
        <v>43</v>
      </c>
      <c r="O46" s="178">
        <f t="shared" si="5"/>
        <v>44</v>
      </c>
      <c r="P46" s="178">
        <f t="shared" si="6"/>
        <v>0.67967145790554184</v>
      </c>
      <c r="Q46" s="178">
        <f t="shared" si="7"/>
        <v>0.32032854209445816</v>
      </c>
      <c r="R46" s="179">
        <f>IF(J46=1,VLOOKUP(N46,'Annuity Factors '!$K$10:$O$92,5, FALSE),VLOOKUP(N46,'Annuity Factors '!$A$10:$E$92,5,FALSE))</f>
        <v>2.9954900000000002</v>
      </c>
      <c r="S46" s="179">
        <f>IF(J46=1,VLOOKUP(O46,'Annuity Factors '!$K$10:$O$92,5, FALSE),VLOOKUP(O46,'Annuity Factors '!$A$10:$E$92,5,FALSE))</f>
        <v>3.1962099999999998</v>
      </c>
    </row>
    <row r="47" spans="2:19" x14ac:dyDescent="0.25">
      <c r="B47" s="1">
        <v>703</v>
      </c>
      <c r="C47" s="19">
        <f t="shared" si="0"/>
        <v>5024.2854417290355</v>
      </c>
      <c r="D47" s="172">
        <f>SUM('Yearly Pension'!$G47:$AV47) *E47</f>
        <v>74035.566503725291</v>
      </c>
      <c r="E47" s="171">
        <f t="shared" si="1"/>
        <v>3.0717293566050645</v>
      </c>
      <c r="F47" s="19">
        <f>VLOOKUP(I47,'Yearly Pension'!$C$3:$AW$81, 47, FALSE)</f>
        <v>1635.6536850896182</v>
      </c>
      <c r="H47" s="11">
        <v>600</v>
      </c>
      <c r="I47" s="11">
        <v>703</v>
      </c>
      <c r="J47" s="11">
        <v>2</v>
      </c>
      <c r="K47" s="11">
        <v>19761202</v>
      </c>
      <c r="L47" s="177">
        <f t="shared" si="2"/>
        <v>28096</v>
      </c>
      <c r="M47" s="178">
        <f t="shared" si="3"/>
        <v>42.0807665982204</v>
      </c>
      <c r="N47" s="178">
        <f t="shared" si="4"/>
        <v>42</v>
      </c>
      <c r="O47" s="178">
        <f t="shared" si="5"/>
        <v>43</v>
      </c>
      <c r="P47" s="178">
        <f t="shared" si="6"/>
        <v>8.0766598220399999E-2</v>
      </c>
      <c r="Q47" s="178">
        <f t="shared" si="7"/>
        <v>0.9192334017796</v>
      </c>
      <c r="R47" s="179">
        <f>IF(J47=1,VLOOKUP(N47,'Annuity Factors '!$K$10:$O$92,5, FALSE),VLOOKUP(N47,'Annuity Factors '!$A$10:$E$92,5,FALSE))</f>
        <v>2.8934899999999999</v>
      </c>
      <c r="S47" s="179">
        <f>IF(J47=1,VLOOKUP(O47,'Annuity Factors '!$K$10:$O$92,5, FALSE),VLOOKUP(O47,'Annuity Factors '!$A$10:$E$92,5,FALSE))</f>
        <v>3.0873900000000001</v>
      </c>
    </row>
    <row r="48" spans="2:19" x14ac:dyDescent="0.25">
      <c r="B48" s="1">
        <v>698</v>
      </c>
      <c r="C48" s="19">
        <f t="shared" si="0"/>
        <v>5001.3302688822969</v>
      </c>
      <c r="D48" s="172">
        <f>SUM('Yearly Pension'!$G48:$AV48) *E48</f>
        <v>74685.938203162805</v>
      </c>
      <c r="E48" s="171">
        <f t="shared" si="1"/>
        <v>3.0223585147159482</v>
      </c>
      <c r="F48" s="19">
        <f>VLOOKUP(I48,'Yearly Pension'!$C$3:$AW$81, 47, FALSE)</f>
        <v>1654.7773020740856</v>
      </c>
      <c r="H48" s="11">
        <v>600</v>
      </c>
      <c r="I48" s="11">
        <v>698</v>
      </c>
      <c r="J48" s="11">
        <v>2</v>
      </c>
      <c r="K48" s="11">
        <v>19760831</v>
      </c>
      <c r="L48" s="177">
        <f t="shared" si="2"/>
        <v>28003</v>
      </c>
      <c r="M48" s="178">
        <f t="shared" si="3"/>
        <v>42.335386721423681</v>
      </c>
      <c r="N48" s="178">
        <f t="shared" si="4"/>
        <v>42</v>
      </c>
      <c r="O48" s="178">
        <f t="shared" si="5"/>
        <v>43</v>
      </c>
      <c r="P48" s="178">
        <f t="shared" si="6"/>
        <v>0.33538672142368142</v>
      </c>
      <c r="Q48" s="178">
        <f t="shared" si="7"/>
        <v>0.66461327857631858</v>
      </c>
      <c r="R48" s="179">
        <f>IF(J48=1,VLOOKUP(N48,'Annuity Factors '!$K$10:$O$92,5, FALSE),VLOOKUP(N48,'Annuity Factors '!$A$10:$E$92,5,FALSE))</f>
        <v>2.8934899999999999</v>
      </c>
      <c r="S48" s="179">
        <f>IF(J48=1,VLOOKUP(O48,'Annuity Factors '!$K$10:$O$92,5, FALSE),VLOOKUP(O48,'Annuity Factors '!$A$10:$E$92,5,FALSE))</f>
        <v>3.0873900000000001</v>
      </c>
    </row>
    <row r="49" spans="2:19" x14ac:dyDescent="0.25">
      <c r="B49" s="1">
        <v>697</v>
      </c>
      <c r="C49" s="19">
        <f t="shared" si="0"/>
        <v>13219.340770760713</v>
      </c>
      <c r="D49" s="172">
        <f>SUM('Yearly Pension'!$G49:$AV49) *E49</f>
        <v>188394.20709794873</v>
      </c>
      <c r="E49" s="171">
        <f t="shared" si="1"/>
        <v>7.8973246201232037</v>
      </c>
      <c r="F49" s="19">
        <f>VLOOKUP(I49,'Yearly Pension'!$C$3:$AW$81, 47, FALSE)</f>
        <v>1673.9011509133686</v>
      </c>
      <c r="H49" s="11">
        <v>600</v>
      </c>
      <c r="I49" s="11">
        <v>697</v>
      </c>
      <c r="J49" s="11">
        <v>1</v>
      </c>
      <c r="K49" s="11">
        <v>19610118</v>
      </c>
      <c r="L49" s="177">
        <f t="shared" si="2"/>
        <v>22299</v>
      </c>
      <c r="M49" s="178">
        <f t="shared" si="3"/>
        <v>57.952087611225188</v>
      </c>
      <c r="N49" s="178">
        <f t="shared" si="4"/>
        <v>57</v>
      </c>
      <c r="O49" s="178">
        <f t="shared" si="5"/>
        <v>58</v>
      </c>
      <c r="P49" s="178">
        <f t="shared" si="6"/>
        <v>0.95208761122518837</v>
      </c>
      <c r="Q49" s="178">
        <f t="shared" si="7"/>
        <v>4.7912388774811632E-2</v>
      </c>
      <c r="R49" s="179">
        <f>IF(J49=1,VLOOKUP(N49,'Annuity Factors '!$K$10:$O$92,5, FALSE),VLOOKUP(N49,'Annuity Factors '!$A$10:$E$92,5,FALSE))</f>
        <v>7.4254699999999998</v>
      </c>
      <c r="S49" s="179">
        <f>IF(J49=1,VLOOKUP(O49,'Annuity Factors '!$K$10:$O$92,5, FALSE),VLOOKUP(O49,'Annuity Factors '!$A$10:$E$92,5,FALSE))</f>
        <v>7.9210700000000003</v>
      </c>
    </row>
    <row r="50" spans="2:19" x14ac:dyDescent="0.25">
      <c r="B50" s="1">
        <v>696</v>
      </c>
      <c r="C50" s="19">
        <f t="shared" si="0"/>
        <v>9014.4884751195896</v>
      </c>
      <c r="D50" s="172">
        <f>SUM('Yearly Pension'!$G50:$AV50) *E50</f>
        <v>132413.42942085158</v>
      </c>
      <c r="E50" s="171">
        <f t="shared" si="1"/>
        <v>5.324487063655031</v>
      </c>
      <c r="F50" s="19">
        <f>VLOOKUP(I50,'Yearly Pension'!$C$3:$AW$81, 47, FALSE)</f>
        <v>1693.024767897836</v>
      </c>
      <c r="H50" s="11">
        <v>600</v>
      </c>
      <c r="I50" s="11">
        <v>696</v>
      </c>
      <c r="J50" s="11">
        <v>1</v>
      </c>
      <c r="K50" s="11">
        <v>19670219</v>
      </c>
      <c r="L50" s="177">
        <f t="shared" si="2"/>
        <v>24522</v>
      </c>
      <c r="M50" s="178">
        <f t="shared" si="3"/>
        <v>51.865845311430526</v>
      </c>
      <c r="N50" s="178">
        <f t="shared" si="4"/>
        <v>51</v>
      </c>
      <c r="O50" s="178">
        <f t="shared" si="5"/>
        <v>52</v>
      </c>
      <c r="P50" s="178">
        <f t="shared" si="6"/>
        <v>0.86584531143052601</v>
      </c>
      <c r="Q50" s="178">
        <f t="shared" si="7"/>
        <v>0.13415468856947399</v>
      </c>
      <c r="R50" s="179">
        <f>IF(J50=1,VLOOKUP(N50,'Annuity Factors '!$K$10:$O$92,5, FALSE),VLOOKUP(N50,'Annuity Factors '!$A$10:$E$92,5,FALSE))</f>
        <v>5.0325500000000005</v>
      </c>
      <c r="S50" s="179">
        <f>IF(J50=1,VLOOKUP(O50,'Annuity Factors '!$K$10:$O$92,5, FALSE),VLOOKUP(O50,'Annuity Factors '!$A$10:$E$92,5,FALSE))</f>
        <v>5.36972</v>
      </c>
    </row>
    <row r="51" spans="2:19" x14ac:dyDescent="0.25">
      <c r="B51" s="1">
        <v>694</v>
      </c>
      <c r="C51" s="19">
        <f t="shared" si="0"/>
        <v>7762.8964571011193</v>
      </c>
      <c r="D51" s="172">
        <f>SUM('Yearly Pension'!$G51:$AV51) *E51</f>
        <v>117735.89245875581</v>
      </c>
      <c r="E51" s="171">
        <f t="shared" si="1"/>
        <v>4.5340091581108819</v>
      </c>
      <c r="F51" s="19">
        <f>VLOOKUP(I51,'Yearly Pension'!$C$3:$AW$81, 47, FALSE)</f>
        <v>1712.1483848823036</v>
      </c>
      <c r="H51" s="11">
        <v>600</v>
      </c>
      <c r="I51" s="11">
        <v>694</v>
      </c>
      <c r="J51" s="11">
        <v>2</v>
      </c>
      <c r="K51" s="11">
        <v>19701204</v>
      </c>
      <c r="L51" s="177">
        <f t="shared" si="2"/>
        <v>25906</v>
      </c>
      <c r="M51" s="178">
        <f t="shared" si="3"/>
        <v>48.076659822039701</v>
      </c>
      <c r="N51" s="178">
        <f t="shared" si="4"/>
        <v>48</v>
      </c>
      <c r="O51" s="178">
        <f t="shared" si="5"/>
        <v>49</v>
      </c>
      <c r="P51" s="178">
        <f t="shared" si="6"/>
        <v>7.6659822039701453E-2</v>
      </c>
      <c r="Q51" s="178">
        <f t="shared" si="7"/>
        <v>0.92334017796029855</v>
      </c>
      <c r="R51" s="179">
        <f>IF(J51=1,VLOOKUP(N51,'Annuity Factors '!$K$10:$O$92,5, FALSE),VLOOKUP(N51,'Annuity Factors '!$A$10:$E$92,5,FALSE))</f>
        <v>4.2698600000000004</v>
      </c>
      <c r="S51" s="179">
        <f>IF(J51=1,VLOOKUP(O51,'Annuity Factors '!$K$10:$O$92,5, FALSE),VLOOKUP(O51,'Annuity Factors '!$A$10:$E$92,5,FALSE))</f>
        <v>4.5559399999999997</v>
      </c>
    </row>
    <row r="52" spans="2:19" x14ac:dyDescent="0.25">
      <c r="B52" s="1">
        <v>687</v>
      </c>
      <c r="C52" s="19">
        <f t="shared" si="0"/>
        <v>9273.6719171976783</v>
      </c>
      <c r="D52" s="172">
        <f>SUM('Yearly Pension'!$G52:$AV52) *E52</f>
        <v>142407.23810038061</v>
      </c>
      <c r="E52" s="171">
        <f t="shared" si="1"/>
        <v>5.3565655236139635</v>
      </c>
      <c r="F52" s="19">
        <f>VLOOKUP(I52,'Yearly Pension'!$C$3:$AW$81, 47, FALSE)</f>
        <v>1731.2720018667715</v>
      </c>
      <c r="H52" s="11">
        <v>600</v>
      </c>
      <c r="I52" s="11">
        <v>687</v>
      </c>
      <c r="J52" s="11">
        <v>1</v>
      </c>
      <c r="K52" s="11">
        <v>19671218</v>
      </c>
      <c r="L52" s="177">
        <f t="shared" si="2"/>
        <v>24824</v>
      </c>
      <c r="M52" s="178">
        <f t="shared" si="3"/>
        <v>51.039014373716633</v>
      </c>
      <c r="N52" s="178">
        <f t="shared" si="4"/>
        <v>51</v>
      </c>
      <c r="O52" s="178">
        <f t="shared" si="5"/>
        <v>52</v>
      </c>
      <c r="P52" s="178">
        <f t="shared" si="6"/>
        <v>3.9014373716632633E-2</v>
      </c>
      <c r="Q52" s="178">
        <f t="shared" si="7"/>
        <v>0.96098562628336737</v>
      </c>
      <c r="R52" s="179">
        <f>IF(J52=1,VLOOKUP(N52,'Annuity Factors '!$K$10:$O$92,5, FALSE),VLOOKUP(N52,'Annuity Factors '!$A$10:$E$92,5,FALSE))</f>
        <v>5.0325500000000005</v>
      </c>
      <c r="S52" s="179">
        <f>IF(J52=1,VLOOKUP(O52,'Annuity Factors '!$K$10:$O$92,5, FALSE),VLOOKUP(O52,'Annuity Factors '!$A$10:$E$92,5,FALSE))</f>
        <v>5.36972</v>
      </c>
    </row>
    <row r="53" spans="2:19" x14ac:dyDescent="0.25">
      <c r="B53" s="1">
        <v>685</v>
      </c>
      <c r="C53" s="19">
        <f t="shared" si="0"/>
        <v>6456.9390717538245</v>
      </c>
      <c r="D53" s="172">
        <f>SUM('Yearly Pension'!$G53:$AV53) *E53</f>
        <v>99946.73221987611</v>
      </c>
      <c r="E53" s="171">
        <f t="shared" si="1"/>
        <v>3.6888450513347024</v>
      </c>
      <c r="F53" s="19">
        <f>VLOOKUP(I53,'Yearly Pension'!$C$3:$AW$81, 47, FALSE)</f>
        <v>1750.3958507060543</v>
      </c>
      <c r="H53" s="11">
        <v>600</v>
      </c>
      <c r="I53" s="11">
        <v>685</v>
      </c>
      <c r="J53" s="11">
        <v>2</v>
      </c>
      <c r="K53" s="11">
        <v>19730406</v>
      </c>
      <c r="L53" s="177">
        <f t="shared" si="2"/>
        <v>26760</v>
      </c>
      <c r="M53" s="178">
        <f t="shared" si="3"/>
        <v>45.738535249828885</v>
      </c>
      <c r="N53" s="178">
        <f t="shared" si="4"/>
        <v>45</v>
      </c>
      <c r="O53" s="178">
        <f t="shared" si="5"/>
        <v>46</v>
      </c>
      <c r="P53" s="178">
        <f t="shared" si="6"/>
        <v>0.7385352498288853</v>
      </c>
      <c r="Q53" s="178">
        <f t="shared" si="7"/>
        <v>0.2614647501711147</v>
      </c>
      <c r="R53" s="179">
        <f>IF(J53=1,VLOOKUP(N53,'Annuity Factors '!$K$10:$O$92,5, FALSE),VLOOKUP(N53,'Annuity Factors '!$A$10:$E$92,5,FALSE))</f>
        <v>3.51492</v>
      </c>
      <c r="S53" s="179">
        <f>IF(J53=1,VLOOKUP(O53,'Annuity Factors '!$K$10:$O$92,5, FALSE),VLOOKUP(O53,'Annuity Factors '!$A$10:$E$92,5,FALSE))</f>
        <v>3.7504200000000001</v>
      </c>
    </row>
    <row r="54" spans="2:19" x14ac:dyDescent="0.25">
      <c r="B54" s="1">
        <v>684</v>
      </c>
      <c r="C54" s="19">
        <f t="shared" si="0"/>
        <v>10871.977533920719</v>
      </c>
      <c r="D54" s="172">
        <f>SUM('Yearly Pension'!$G54:$AV54) *E54</f>
        <v>168352.92173421042</v>
      </c>
      <c r="E54" s="171">
        <f t="shared" si="1"/>
        <v>6.1440282135523621</v>
      </c>
      <c r="F54" s="19">
        <f>VLOOKUP(I54,'Yearly Pension'!$C$3:$AW$81, 47, FALSE)</f>
        <v>1769.5194676905212</v>
      </c>
      <c r="H54" s="11">
        <v>600</v>
      </c>
      <c r="I54" s="11">
        <v>684</v>
      </c>
      <c r="J54" s="11">
        <v>2</v>
      </c>
      <c r="K54" s="11">
        <v>19650809</v>
      </c>
      <c r="L54" s="177">
        <f t="shared" si="2"/>
        <v>23963</v>
      </c>
      <c r="M54" s="178">
        <f t="shared" si="3"/>
        <v>53.396303901437371</v>
      </c>
      <c r="N54" s="178">
        <f t="shared" si="4"/>
        <v>53</v>
      </c>
      <c r="O54" s="178">
        <f t="shared" si="5"/>
        <v>54</v>
      </c>
      <c r="P54" s="178">
        <f t="shared" si="6"/>
        <v>0.3963039014373706</v>
      </c>
      <c r="Q54" s="178">
        <f t="shared" si="7"/>
        <v>0.6036960985626294</v>
      </c>
      <c r="R54" s="179">
        <f>IF(J54=1,VLOOKUP(N54,'Annuity Factors '!$K$10:$O$92,5, FALSE),VLOOKUP(N54,'Annuity Factors '!$A$10:$E$92,5,FALSE))</f>
        <v>5.9052000000000007</v>
      </c>
      <c r="S54" s="179">
        <f>IF(J54=1,VLOOKUP(O54,'Annuity Factors '!$K$10:$O$92,5, FALSE),VLOOKUP(O54,'Annuity Factors '!$A$10:$E$92,5,FALSE))</f>
        <v>6.3008100000000002</v>
      </c>
    </row>
    <row r="55" spans="2:19" x14ac:dyDescent="0.25">
      <c r="B55" s="1">
        <v>681</v>
      </c>
      <c r="C55" s="19">
        <f t="shared" si="0"/>
        <v>11610.154175626581</v>
      </c>
      <c r="D55" s="172">
        <f>SUM('Yearly Pension'!$G55:$AV55) *E55</f>
        <v>181552.72084480629</v>
      </c>
      <c r="E55" s="171">
        <f t="shared" si="1"/>
        <v>6.4910402053388081</v>
      </c>
      <c r="F55" s="19">
        <f>VLOOKUP(I55,'Yearly Pension'!$C$3:$AW$81, 47, FALSE)</f>
        <v>1788.6430846749893</v>
      </c>
      <c r="H55" s="11">
        <v>600</v>
      </c>
      <c r="I55" s="11">
        <v>681</v>
      </c>
      <c r="J55" s="11">
        <v>1</v>
      </c>
      <c r="K55" s="11">
        <v>19641203</v>
      </c>
      <c r="L55" s="177">
        <f t="shared" si="2"/>
        <v>23714</v>
      </c>
      <c r="M55" s="178">
        <f t="shared" si="3"/>
        <v>54.078028747433265</v>
      </c>
      <c r="N55" s="178">
        <f t="shared" si="4"/>
        <v>54</v>
      </c>
      <c r="O55" s="178">
        <f t="shared" si="5"/>
        <v>55</v>
      </c>
      <c r="P55" s="178">
        <f t="shared" si="6"/>
        <v>7.8028747433265266E-2</v>
      </c>
      <c r="Q55" s="178">
        <f t="shared" si="7"/>
        <v>0.92197125256673473</v>
      </c>
      <c r="R55" s="179">
        <f>IF(J55=1,VLOOKUP(N55,'Annuity Factors '!$K$10:$O$92,5, FALSE),VLOOKUP(N55,'Annuity Factors '!$A$10:$E$92,5,FALSE))</f>
        <v>6.11341</v>
      </c>
      <c r="S55" s="179">
        <f>IF(J55=1,VLOOKUP(O55,'Annuity Factors '!$K$10:$O$92,5, FALSE),VLOOKUP(O55,'Annuity Factors '!$A$10:$E$92,5,FALSE))</f>
        <v>6.5229999999999997</v>
      </c>
    </row>
    <row r="56" spans="2:19" x14ac:dyDescent="0.25">
      <c r="B56" s="1">
        <v>655</v>
      </c>
      <c r="C56" s="19">
        <f t="shared" si="0"/>
        <v>6704.7043131376431</v>
      </c>
      <c r="D56" s="172">
        <f>SUM('Yearly Pension'!$G56:$AV56) *E56</f>
        <v>109364.22083998471</v>
      </c>
      <c r="E56" s="171">
        <f t="shared" si="1"/>
        <v>3.7088327310061597</v>
      </c>
      <c r="F56" s="19">
        <f>VLOOKUP(I56,'Yearly Pension'!$C$3:$AW$81, 47, FALSE)</f>
        <v>1807.7667016594573</v>
      </c>
      <c r="H56" s="11">
        <v>600</v>
      </c>
      <c r="I56" s="11">
        <v>655</v>
      </c>
      <c r="J56" s="11">
        <v>2</v>
      </c>
      <c r="K56" s="11">
        <v>19730306</v>
      </c>
      <c r="L56" s="177">
        <f t="shared" si="2"/>
        <v>26729</v>
      </c>
      <c r="M56" s="178">
        <f t="shared" si="3"/>
        <v>45.823408624229977</v>
      </c>
      <c r="N56" s="178">
        <f t="shared" si="4"/>
        <v>45</v>
      </c>
      <c r="O56" s="178">
        <f t="shared" si="5"/>
        <v>46</v>
      </c>
      <c r="P56" s="178">
        <f t="shared" si="6"/>
        <v>0.82340862422997674</v>
      </c>
      <c r="Q56" s="178">
        <f t="shared" si="7"/>
        <v>0.17659137577002326</v>
      </c>
      <c r="R56" s="179">
        <f>IF(J56=1,VLOOKUP(N56,'Annuity Factors '!$K$10:$O$92,5, FALSE),VLOOKUP(N56,'Annuity Factors '!$A$10:$E$92,5,FALSE))</f>
        <v>3.51492</v>
      </c>
      <c r="S56" s="179">
        <f>IF(J56=1,VLOOKUP(O56,'Annuity Factors '!$K$10:$O$92,5, FALSE),VLOOKUP(O56,'Annuity Factors '!$A$10:$E$92,5,FALSE))</f>
        <v>3.7504200000000001</v>
      </c>
    </row>
    <row r="57" spans="2:19" x14ac:dyDescent="0.25">
      <c r="B57" s="1">
        <v>644</v>
      </c>
      <c r="C57" s="19">
        <f t="shared" si="0"/>
        <v>11814.885812432929</v>
      </c>
      <c r="D57" s="172">
        <f>SUM('Yearly Pension'!$G57:$AV57) *E57</f>
        <v>195300.2532281077</v>
      </c>
      <c r="E57" s="171">
        <f t="shared" si="1"/>
        <v>6.4672105338809036</v>
      </c>
      <c r="F57" s="19">
        <f>VLOOKUP(I57,'Yearly Pension'!$C$3:$AW$81, 47, FALSE)</f>
        <v>1826.8905504987392</v>
      </c>
      <c r="H57" s="11">
        <v>600</v>
      </c>
      <c r="I57" s="11">
        <v>644</v>
      </c>
      <c r="J57" s="11">
        <v>1</v>
      </c>
      <c r="K57" s="11">
        <v>19640220</v>
      </c>
      <c r="L57" s="177">
        <f t="shared" si="2"/>
        <v>23427</v>
      </c>
      <c r="M57" s="178">
        <f t="shared" si="3"/>
        <v>54.86379192334018</v>
      </c>
      <c r="N57" s="178">
        <f t="shared" si="4"/>
        <v>54</v>
      </c>
      <c r="O57" s="178">
        <f t="shared" si="5"/>
        <v>55</v>
      </c>
      <c r="P57" s="178">
        <f t="shared" si="6"/>
        <v>0.86379192334018029</v>
      </c>
      <c r="Q57" s="178">
        <f t="shared" si="7"/>
        <v>0.13620807665981971</v>
      </c>
      <c r="R57" s="179">
        <f>IF(J57=1,VLOOKUP(N57,'Annuity Factors '!$K$10:$O$92,5, FALSE),VLOOKUP(N57,'Annuity Factors '!$A$10:$E$92,5,FALSE))</f>
        <v>6.11341</v>
      </c>
      <c r="S57" s="179">
        <f>IF(J57=1,VLOOKUP(O57,'Annuity Factors '!$K$10:$O$92,5, FALSE),VLOOKUP(O57,'Annuity Factors '!$A$10:$E$92,5,FALSE))</f>
        <v>6.5229999999999997</v>
      </c>
    </row>
    <row r="58" spans="2:19" x14ac:dyDescent="0.25">
      <c r="B58" s="1">
        <v>634</v>
      </c>
      <c r="C58" s="19">
        <f t="shared" si="0"/>
        <v>12935.812337179235</v>
      </c>
      <c r="D58" s="172">
        <f>SUM('Yearly Pension'!$G58:$AV58) *E58</f>
        <v>218102.07875206837</v>
      </c>
      <c r="E58" s="171">
        <f t="shared" si="1"/>
        <v>6.8651898973305947</v>
      </c>
      <c r="F58" s="19">
        <f>VLOOKUP(I58,'Yearly Pension'!$C$3:$AW$81, 47, FALSE)</f>
        <v>1884.2614014521423</v>
      </c>
      <c r="H58" s="11">
        <v>600</v>
      </c>
      <c r="I58" s="11">
        <v>634</v>
      </c>
      <c r="J58" s="11">
        <v>1</v>
      </c>
      <c r="K58" s="11">
        <v>19631014</v>
      </c>
      <c r="L58" s="177">
        <f t="shared" si="2"/>
        <v>23298</v>
      </c>
      <c r="M58" s="178">
        <f t="shared" si="3"/>
        <v>55.21697467488022</v>
      </c>
      <c r="N58" s="178">
        <f t="shared" si="4"/>
        <v>55</v>
      </c>
      <c r="O58" s="178">
        <f t="shared" si="5"/>
        <v>56</v>
      </c>
      <c r="P58" s="178">
        <f t="shared" si="6"/>
        <v>0.21697467488021971</v>
      </c>
      <c r="Q58" s="178">
        <f t="shared" si="7"/>
        <v>0.78302532511978029</v>
      </c>
      <c r="R58" s="179">
        <f>IF(J58=1,VLOOKUP(N58,'Annuity Factors '!$K$10:$O$92,5, FALSE),VLOOKUP(N58,'Annuity Factors '!$A$10:$E$92,5,FALSE))</f>
        <v>6.5229999999999997</v>
      </c>
      <c r="S58" s="179">
        <f>IF(J58=1,VLOOKUP(O58,'Annuity Factors '!$K$10:$O$92,5, FALSE),VLOOKUP(O58,'Annuity Factors '!$A$10:$E$92,5,FALSE))</f>
        <v>6.9600099999999996</v>
      </c>
    </row>
    <row r="59" spans="2:19" x14ac:dyDescent="0.25">
      <c r="B59" s="1">
        <v>625</v>
      </c>
      <c r="C59" s="19">
        <f t="shared" si="0"/>
        <v>10668.77954697751</v>
      </c>
      <c r="D59" s="172">
        <f>SUM('Yearly Pension'!$G59:$AV59) *E59</f>
        <v>181304.23857285545</v>
      </c>
      <c r="E59" s="171">
        <f t="shared" si="1"/>
        <v>5.6051603559206011</v>
      </c>
      <c r="F59" s="19">
        <f>VLOOKUP(I59,'Yearly Pension'!$C$3:$AW$81, 47, FALSE)</f>
        <v>1903.3852502914256</v>
      </c>
      <c r="H59" s="11">
        <v>600</v>
      </c>
      <c r="I59" s="11">
        <v>625</v>
      </c>
      <c r="J59" s="11">
        <v>1</v>
      </c>
      <c r="K59" s="11">
        <v>19660507</v>
      </c>
      <c r="L59" s="177">
        <f t="shared" si="2"/>
        <v>24234</v>
      </c>
      <c r="M59" s="178">
        <f t="shared" si="3"/>
        <v>52.654346338124569</v>
      </c>
      <c r="N59" s="178">
        <f t="shared" si="4"/>
        <v>52</v>
      </c>
      <c r="O59" s="178">
        <f t="shared" si="5"/>
        <v>53</v>
      </c>
      <c r="P59" s="178">
        <f t="shared" si="6"/>
        <v>0.65434633812456866</v>
      </c>
      <c r="Q59" s="178">
        <f t="shared" si="7"/>
        <v>0.34565366187543134</v>
      </c>
      <c r="R59" s="179">
        <f>IF(J59=1,VLOOKUP(N59,'Annuity Factors '!$K$10:$O$92,5, FALSE),VLOOKUP(N59,'Annuity Factors '!$A$10:$E$92,5,FALSE))</f>
        <v>5.36972</v>
      </c>
      <c r="S59" s="179">
        <f>IF(J59=1,VLOOKUP(O59,'Annuity Factors '!$K$10:$O$92,5, FALSE),VLOOKUP(O59,'Annuity Factors '!$A$10:$E$92,5,FALSE))</f>
        <v>5.7295299999999996</v>
      </c>
    </row>
    <row r="60" spans="2:19" x14ac:dyDescent="0.25">
      <c r="B60" s="1">
        <v>624</v>
      </c>
      <c r="C60" s="19">
        <f t="shared" si="0"/>
        <v>19356.963635649103</v>
      </c>
      <c r="D60" s="172">
        <f>SUM('Yearly Pension'!$G60:$AV60) *E60</f>
        <v>329573.09211914963</v>
      </c>
      <c r="E60" s="171">
        <f t="shared" si="1"/>
        <v>10.068595242984257</v>
      </c>
      <c r="F60" s="19">
        <f>VLOOKUP(I60,'Yearly Pension'!$C$3:$AW$81, 47, FALSE)</f>
        <v>1922.5088672758925</v>
      </c>
      <c r="H60" s="11">
        <v>600</v>
      </c>
      <c r="I60" s="11">
        <v>624</v>
      </c>
      <c r="J60" s="11">
        <v>1</v>
      </c>
      <c r="K60" s="11">
        <v>19570413</v>
      </c>
      <c r="L60" s="177">
        <f t="shared" si="2"/>
        <v>20923</v>
      </c>
      <c r="M60" s="178">
        <f t="shared" si="3"/>
        <v>61.719370294318956</v>
      </c>
      <c r="N60" s="178">
        <f t="shared" si="4"/>
        <v>61</v>
      </c>
      <c r="O60" s="178">
        <f t="shared" si="5"/>
        <v>62</v>
      </c>
      <c r="P60" s="178">
        <f t="shared" si="6"/>
        <v>0.71937029431895638</v>
      </c>
      <c r="Q60" s="178">
        <f t="shared" si="7"/>
        <v>0.28062970568104362</v>
      </c>
      <c r="R60" s="179">
        <f>IF(J60=1,VLOOKUP(N60,'Annuity Factors '!$K$10:$O$92,5, FALSE),VLOOKUP(N60,'Annuity Factors '!$A$10:$E$92,5,FALSE))</f>
        <v>9.6098600000000012</v>
      </c>
      <c r="S60" s="179">
        <f>IF(J60=1,VLOOKUP(O60,'Annuity Factors '!$K$10:$O$92,5, FALSE),VLOOKUP(O60,'Annuity Factors '!$A$10:$E$92,5,FALSE))</f>
        <v>10.24755</v>
      </c>
    </row>
    <row r="61" spans="2:19" x14ac:dyDescent="0.25">
      <c r="B61" s="1">
        <v>620</v>
      </c>
      <c r="C61" s="19">
        <f t="shared" si="0"/>
        <v>8165.0585231656742</v>
      </c>
      <c r="D61" s="172">
        <f>SUM('Yearly Pension'!$G61:$AV61) *E61</f>
        <v>139480.57793323614</v>
      </c>
      <c r="E61" s="171">
        <f t="shared" si="1"/>
        <v>4.2052543874058879</v>
      </c>
      <c r="F61" s="19">
        <f>VLOOKUP(I61,'Yearly Pension'!$C$3:$AW$81, 47, FALSE)</f>
        <v>1941.6324842603603</v>
      </c>
      <c r="H61" s="11">
        <v>600</v>
      </c>
      <c r="I61" s="11">
        <v>620</v>
      </c>
      <c r="J61" s="11">
        <v>2</v>
      </c>
      <c r="K61" s="11">
        <v>19710330</v>
      </c>
      <c r="L61" s="177">
        <f t="shared" si="2"/>
        <v>26022</v>
      </c>
      <c r="M61" s="178">
        <f t="shared" si="3"/>
        <v>47.759069130732378</v>
      </c>
      <c r="N61" s="178">
        <f t="shared" si="4"/>
        <v>47</v>
      </c>
      <c r="O61" s="178">
        <f t="shared" si="5"/>
        <v>48</v>
      </c>
      <c r="P61" s="178">
        <f t="shared" si="6"/>
        <v>0.75906913073237803</v>
      </c>
      <c r="Q61" s="178">
        <f t="shared" si="7"/>
        <v>0.24093086926762197</v>
      </c>
      <c r="R61" s="179">
        <f>IF(J61=1,VLOOKUP(N61,'Annuity Factors '!$K$10:$O$92,5, FALSE),VLOOKUP(N61,'Annuity Factors '!$A$10:$E$92,5,FALSE))</f>
        <v>4.0017100000000001</v>
      </c>
      <c r="S61" s="179">
        <f>IF(J61=1,VLOOKUP(O61,'Annuity Factors '!$K$10:$O$92,5, FALSE),VLOOKUP(O61,'Annuity Factors '!$A$10:$E$92,5,FALSE))</f>
        <v>4.2698600000000004</v>
      </c>
    </row>
    <row r="62" spans="2:19" x14ac:dyDescent="0.25">
      <c r="B62" s="1">
        <v>588</v>
      </c>
      <c r="C62" s="19">
        <f t="shared" si="0"/>
        <v>18227.026621633478</v>
      </c>
      <c r="D62" s="172">
        <f>SUM('Yearly Pension'!$G62:$AV62) *E62</f>
        <v>318237.55836229102</v>
      </c>
      <c r="E62" s="171">
        <f t="shared" si="1"/>
        <v>9.2061271800136897</v>
      </c>
      <c r="F62" s="19">
        <f>VLOOKUP(I62,'Yearly Pension'!$C$3:$AW$81, 47, FALSE)</f>
        <v>1979.8799500841105</v>
      </c>
      <c r="H62" s="11">
        <v>600</v>
      </c>
      <c r="I62" s="11">
        <v>588</v>
      </c>
      <c r="J62" s="11">
        <v>2</v>
      </c>
      <c r="K62" s="11">
        <v>19591229</v>
      </c>
      <c r="L62" s="177">
        <f t="shared" si="2"/>
        <v>21913</v>
      </c>
      <c r="M62" s="178">
        <f t="shared" si="3"/>
        <v>59.008898015058179</v>
      </c>
      <c r="N62" s="178">
        <f t="shared" si="4"/>
        <v>59</v>
      </c>
      <c r="O62" s="178">
        <f t="shared" si="5"/>
        <v>60</v>
      </c>
      <c r="P62" s="178">
        <f t="shared" si="6"/>
        <v>8.8980150581789985E-3</v>
      </c>
      <c r="Q62" s="178">
        <f t="shared" si="7"/>
        <v>0.991101984941821</v>
      </c>
      <c r="R62" s="179">
        <f>IF(J62=1,VLOOKUP(N62,'Annuity Factors '!$K$10:$O$92,5, FALSE),VLOOKUP(N62,'Annuity Factors '!$A$10:$E$92,5,FALSE))</f>
        <v>8.6488900000000015</v>
      </c>
      <c r="S62" s="179">
        <f>IF(J62=1,VLOOKUP(O62,'Annuity Factors '!$K$10:$O$92,5, FALSE),VLOOKUP(O62,'Annuity Factors '!$A$10:$E$92,5,FALSE))</f>
        <v>9.2111300000000007</v>
      </c>
    </row>
    <row r="63" spans="2:19" x14ac:dyDescent="0.25">
      <c r="B63" s="1">
        <v>584</v>
      </c>
      <c r="C63" s="19">
        <f t="shared" si="0"/>
        <v>18027.671868731115</v>
      </c>
      <c r="D63" s="172">
        <f>SUM('Yearly Pension'!$G63:$AV63) *E63</f>
        <v>315303.39013388462</v>
      </c>
      <c r="E63" s="171">
        <f t="shared" si="1"/>
        <v>9.0183290143737178</v>
      </c>
      <c r="F63" s="19">
        <f>VLOOKUP(I63,'Yearly Pension'!$C$3:$AW$81, 47, FALSE)</f>
        <v>1999.0035670685779</v>
      </c>
      <c r="H63" s="11">
        <v>600</v>
      </c>
      <c r="I63" s="11">
        <v>584</v>
      </c>
      <c r="J63" s="11">
        <v>2</v>
      </c>
      <c r="K63" s="11">
        <v>19590829</v>
      </c>
      <c r="L63" s="177">
        <f t="shared" si="2"/>
        <v>21791</v>
      </c>
      <c r="M63" s="178">
        <f t="shared" si="3"/>
        <v>59.342915811088297</v>
      </c>
      <c r="N63" s="178">
        <f t="shared" si="4"/>
        <v>59</v>
      </c>
      <c r="O63" s="178">
        <f t="shared" si="5"/>
        <v>60</v>
      </c>
      <c r="P63" s="178">
        <f t="shared" si="6"/>
        <v>0.34291581108829661</v>
      </c>
      <c r="Q63" s="178">
        <f t="shared" si="7"/>
        <v>0.65708418891170339</v>
      </c>
      <c r="R63" s="179">
        <f>IF(J63=1,VLOOKUP(N63,'Annuity Factors '!$K$10:$O$92,5, FALSE),VLOOKUP(N63,'Annuity Factors '!$A$10:$E$92,5,FALSE))</f>
        <v>8.6488900000000015</v>
      </c>
      <c r="S63" s="179">
        <f>IF(J63=1,VLOOKUP(O63,'Annuity Factors '!$K$10:$O$92,5, FALSE),VLOOKUP(O63,'Annuity Factors '!$A$10:$E$92,5,FALSE))</f>
        <v>9.2111300000000007</v>
      </c>
    </row>
    <row r="64" spans="2:19" x14ac:dyDescent="0.25">
      <c r="B64" s="1">
        <v>580</v>
      </c>
      <c r="C64" s="19">
        <f t="shared" si="0"/>
        <v>15677.66185834044</v>
      </c>
      <c r="D64" s="172">
        <f>SUM('Yearly Pension'!$G64:$AV64) *E64</f>
        <v>275046.43305810943</v>
      </c>
      <c r="E64" s="171">
        <f t="shared" si="1"/>
        <v>7.7684211293634498</v>
      </c>
      <c r="F64" s="19">
        <f>VLOOKUP(I64,'Yearly Pension'!$C$3:$AW$81, 47, FALSE)</f>
        <v>2018.1271840530458</v>
      </c>
      <c r="H64" s="11">
        <v>600</v>
      </c>
      <c r="I64" s="11">
        <v>580</v>
      </c>
      <c r="J64" s="11">
        <v>1</v>
      </c>
      <c r="K64" s="11">
        <v>19610423</v>
      </c>
      <c r="L64" s="177">
        <f t="shared" si="2"/>
        <v>22394</v>
      </c>
      <c r="M64" s="178">
        <f t="shared" si="3"/>
        <v>57.691991786447637</v>
      </c>
      <c r="N64" s="178">
        <f t="shared" si="4"/>
        <v>57</v>
      </c>
      <c r="O64" s="178">
        <f t="shared" si="5"/>
        <v>58</v>
      </c>
      <c r="P64" s="178">
        <f t="shared" si="6"/>
        <v>0.69199178644763748</v>
      </c>
      <c r="Q64" s="178">
        <f t="shared" si="7"/>
        <v>0.30800821355236252</v>
      </c>
      <c r="R64" s="179">
        <f>IF(J64=1,VLOOKUP(N64,'Annuity Factors '!$K$10:$O$92,5, FALSE),VLOOKUP(N64,'Annuity Factors '!$A$10:$E$92,5,FALSE))</f>
        <v>7.4254699999999998</v>
      </c>
      <c r="S64" s="179">
        <f>IF(J64=1,VLOOKUP(O64,'Annuity Factors '!$K$10:$O$92,5, FALSE),VLOOKUP(O64,'Annuity Factors '!$A$10:$E$92,5,FALSE))</f>
        <v>7.9210700000000003</v>
      </c>
    </row>
    <row r="65" spans="2:19" x14ac:dyDescent="0.25">
      <c r="B65" s="1">
        <v>579</v>
      </c>
      <c r="C65" s="19">
        <f t="shared" si="0"/>
        <v>11966.25728502864</v>
      </c>
      <c r="D65" s="172">
        <f>SUM('Yearly Pension'!$G65:$AV65) *E65</f>
        <v>210011.98922459618</v>
      </c>
      <c r="E65" s="171">
        <f t="shared" si="1"/>
        <v>5.8737281040383289</v>
      </c>
      <c r="F65" s="19">
        <f>VLOOKUP(I65,'Yearly Pension'!$C$3:$AW$81, 47, FALSE)</f>
        <v>2037.2508010375132</v>
      </c>
      <c r="H65" s="11">
        <v>600</v>
      </c>
      <c r="I65" s="11">
        <v>579</v>
      </c>
      <c r="J65" s="11">
        <v>2</v>
      </c>
      <c r="K65" s="11">
        <v>19661201</v>
      </c>
      <c r="L65" s="177">
        <f t="shared" si="2"/>
        <v>24442</v>
      </c>
      <c r="M65" s="178">
        <f t="shared" si="3"/>
        <v>52.084873374401099</v>
      </c>
      <c r="N65" s="178">
        <f t="shared" si="4"/>
        <v>52</v>
      </c>
      <c r="O65" s="178">
        <f t="shared" si="5"/>
        <v>53</v>
      </c>
      <c r="P65" s="178">
        <f t="shared" si="6"/>
        <v>8.4873374401098545E-2</v>
      </c>
      <c r="Q65" s="178">
        <f t="shared" si="7"/>
        <v>0.91512662559890146</v>
      </c>
      <c r="R65" s="179">
        <f>IF(J65=1,VLOOKUP(N65,'Annuity Factors '!$K$10:$O$92,5, FALSE),VLOOKUP(N65,'Annuity Factors '!$A$10:$E$92,5,FALSE))</f>
        <v>5.5343900000000001</v>
      </c>
      <c r="S65" s="179">
        <f>IF(J65=1,VLOOKUP(O65,'Annuity Factors '!$K$10:$O$92,5, FALSE),VLOOKUP(O65,'Annuity Factors '!$A$10:$E$92,5,FALSE))</f>
        <v>5.9052000000000007</v>
      </c>
    </row>
    <row r="66" spans="2:19" x14ac:dyDescent="0.25">
      <c r="B66" s="1">
        <v>576</v>
      </c>
      <c r="C66" s="19">
        <f t="shared" si="0"/>
        <v>13987.001970038991</v>
      </c>
      <c r="D66" s="172">
        <f>SUM('Yearly Pension'!$G66:$AV66) *E66</f>
        <v>245566.0731145071</v>
      </c>
      <c r="E66" s="171">
        <f t="shared" si="1"/>
        <v>6.8017770841889122</v>
      </c>
      <c r="F66" s="19">
        <f>VLOOKUP(I66,'Yearly Pension'!$C$3:$AW$81, 47, FALSE)</f>
        <v>2056.3746498767964</v>
      </c>
      <c r="H66" s="11">
        <v>600</v>
      </c>
      <c r="I66" s="11">
        <v>576</v>
      </c>
      <c r="J66" s="11">
        <v>1</v>
      </c>
      <c r="K66" s="11">
        <v>19630822</v>
      </c>
      <c r="L66" s="177">
        <f t="shared" si="2"/>
        <v>23245</v>
      </c>
      <c r="M66" s="178">
        <f t="shared" si="3"/>
        <v>55.362080766598218</v>
      </c>
      <c r="N66" s="178">
        <f t="shared" si="4"/>
        <v>55</v>
      </c>
      <c r="O66" s="178">
        <f t="shared" si="5"/>
        <v>56</v>
      </c>
      <c r="P66" s="178">
        <f t="shared" si="6"/>
        <v>0.36208076659821842</v>
      </c>
      <c r="Q66" s="178">
        <f t="shared" si="7"/>
        <v>0.63791923340178158</v>
      </c>
      <c r="R66" s="179">
        <f>IF(J66=1,VLOOKUP(N66,'Annuity Factors '!$K$10:$O$92,5, FALSE),VLOOKUP(N66,'Annuity Factors '!$A$10:$E$92,5,FALSE))</f>
        <v>6.5229999999999997</v>
      </c>
      <c r="S66" s="179">
        <f>IF(J66=1,VLOOKUP(O66,'Annuity Factors '!$K$10:$O$92,5, FALSE),VLOOKUP(O66,'Annuity Factors '!$A$10:$E$92,5,FALSE))</f>
        <v>6.9600099999999996</v>
      </c>
    </row>
    <row r="67" spans="2:19" x14ac:dyDescent="0.25">
      <c r="B67" s="1">
        <v>564</v>
      </c>
      <c r="C67" s="19">
        <f t="shared" si="0"/>
        <v>13206.812702593304</v>
      </c>
      <c r="D67" s="172">
        <f>SUM('Yearly Pension'!$G67:$AV67) *E67</f>
        <v>233203.66657295008</v>
      </c>
      <c r="E67" s="171">
        <f t="shared" si="1"/>
        <v>6.3632010266940444</v>
      </c>
      <c r="F67" s="19">
        <f>VLOOKUP(I67,'Yearly Pension'!$C$3:$AW$81, 47, FALSE)</f>
        <v>2075.4982668612638</v>
      </c>
      <c r="H67" s="11">
        <v>600</v>
      </c>
      <c r="I67" s="11">
        <v>564</v>
      </c>
      <c r="J67" s="11">
        <v>1</v>
      </c>
      <c r="K67" s="11">
        <v>19640811</v>
      </c>
      <c r="L67" s="177">
        <f t="shared" si="2"/>
        <v>23600</v>
      </c>
      <c r="M67" s="178">
        <f t="shared" si="3"/>
        <v>54.390143737166326</v>
      </c>
      <c r="N67" s="178">
        <f t="shared" si="4"/>
        <v>54</v>
      </c>
      <c r="O67" s="178">
        <f t="shared" si="5"/>
        <v>55</v>
      </c>
      <c r="P67" s="178">
        <f t="shared" si="6"/>
        <v>0.39014373716632633</v>
      </c>
      <c r="Q67" s="178">
        <f t="shared" si="7"/>
        <v>0.60985626283367367</v>
      </c>
      <c r="R67" s="179">
        <f>IF(J67=1,VLOOKUP(N67,'Annuity Factors '!$K$10:$O$92,5, FALSE),VLOOKUP(N67,'Annuity Factors '!$A$10:$E$92,5,FALSE))</f>
        <v>6.11341</v>
      </c>
      <c r="S67" s="179">
        <f>IF(J67=1,VLOOKUP(O67,'Annuity Factors '!$K$10:$O$92,5, FALSE),VLOOKUP(O67,'Annuity Factors '!$A$10:$E$92,5,FALSE))</f>
        <v>6.5229999999999997</v>
      </c>
    </row>
    <row r="68" spans="2:19" x14ac:dyDescent="0.25">
      <c r="B68" s="1">
        <v>561</v>
      </c>
      <c r="C68" s="19">
        <f t="shared" ref="C68:C81" si="8">E68*F68</f>
        <v>17383.186713028397</v>
      </c>
      <c r="D68" s="172">
        <f>SUM('Yearly Pension'!$G68:$AV68) *E68</f>
        <v>308259.68927733594</v>
      </c>
      <c r="E68" s="171">
        <f t="shared" ref="E68:E81" si="9">IF(P68&gt;=Q68, P68*S68+ Q68*R68, P68*R68+Q68*S68)</f>
        <v>8.2989616632443557</v>
      </c>
      <c r="F68" s="19">
        <f>VLOOKUP(I68,'Yearly Pension'!$C$3:$AW$81, 47, FALSE)</f>
        <v>2094.6218838457316</v>
      </c>
      <c r="H68" s="11">
        <v>600</v>
      </c>
      <c r="I68" s="11">
        <v>561</v>
      </c>
      <c r="J68" s="11">
        <v>1</v>
      </c>
      <c r="K68" s="11">
        <v>19600414</v>
      </c>
      <c r="L68" s="177">
        <f t="shared" ref="L68:L81" si="10">DATE(LEFT(K68,4), MID(K68, 5, 2), RIGHT(K68, 2))</f>
        <v>22020</v>
      </c>
      <c r="M68" s="178">
        <f t="shared" ref="M68:M81" si="11">($A$2-L68)/365.25</f>
        <v>58.715947980835047</v>
      </c>
      <c r="N68" s="178">
        <f t="shared" ref="N68:N81" si="12">ROUNDDOWN(M68, 0)</f>
        <v>58</v>
      </c>
      <c r="O68" s="178">
        <f t="shared" ref="O68:O81" si="13">ROUNDUP(M68,0)</f>
        <v>59</v>
      </c>
      <c r="P68" s="178">
        <f t="shared" ref="P68:P81" si="14">M68-N68</f>
        <v>0.71594798083504685</v>
      </c>
      <c r="Q68" s="178">
        <f t="shared" ref="Q68:Q81" si="15">1-P68</f>
        <v>0.28405201916495315</v>
      </c>
      <c r="R68" s="179">
        <f>IF(J68=1,VLOOKUP(N68,'Annuity Factors '!$K$10:$O$92,5, FALSE),VLOOKUP(N68,'Annuity Factors '!$A$10:$E$92,5,FALSE))</f>
        <v>7.9210700000000003</v>
      </c>
      <c r="S68" s="179">
        <f>IF(J68=1,VLOOKUP(O68,'Annuity Factors '!$K$10:$O$92,5, FALSE),VLOOKUP(O68,'Annuity Factors '!$A$10:$E$92,5,FALSE))</f>
        <v>8.4488900000000022</v>
      </c>
    </row>
    <row r="69" spans="2:19" x14ac:dyDescent="0.25">
      <c r="B69" s="1">
        <v>553</v>
      </c>
      <c r="C69" s="19">
        <f t="shared" si="8"/>
        <v>11018.5101505741</v>
      </c>
      <c r="D69" s="172">
        <f>SUM('Yearly Pension'!$G69:$AV69) *E69</f>
        <v>196212.95703503973</v>
      </c>
      <c r="E69" s="171">
        <f t="shared" si="9"/>
        <v>5.2127894045174541</v>
      </c>
      <c r="F69" s="19">
        <f>VLOOKUP(I69,'Yearly Pension'!$C$3:$AW$81, 47, FALSE)</f>
        <v>2113.745500830199</v>
      </c>
      <c r="H69" s="11">
        <v>600</v>
      </c>
      <c r="I69" s="11">
        <v>553</v>
      </c>
      <c r="J69" s="11">
        <v>1</v>
      </c>
      <c r="K69" s="11">
        <v>19670620</v>
      </c>
      <c r="L69" s="177">
        <f t="shared" si="10"/>
        <v>24643</v>
      </c>
      <c r="M69" s="178">
        <f t="shared" si="11"/>
        <v>51.534565366187543</v>
      </c>
      <c r="N69" s="178">
        <f t="shared" si="12"/>
        <v>51</v>
      </c>
      <c r="O69" s="178">
        <f t="shared" si="13"/>
        <v>52</v>
      </c>
      <c r="P69" s="178">
        <f t="shared" si="14"/>
        <v>0.53456536618754313</v>
      </c>
      <c r="Q69" s="178">
        <f t="shared" si="15"/>
        <v>0.46543463381245687</v>
      </c>
      <c r="R69" s="179">
        <f>IF(J69=1,VLOOKUP(N69,'Annuity Factors '!$K$10:$O$92,5, FALSE),VLOOKUP(N69,'Annuity Factors '!$A$10:$E$92,5,FALSE))</f>
        <v>5.0325500000000005</v>
      </c>
      <c r="S69" s="179">
        <f>IF(J69=1,VLOOKUP(O69,'Annuity Factors '!$K$10:$O$92,5, FALSE),VLOOKUP(O69,'Annuity Factors '!$A$10:$E$92,5,FALSE))</f>
        <v>5.36972</v>
      </c>
    </row>
    <row r="70" spans="2:19" x14ac:dyDescent="0.25">
      <c r="B70" s="1">
        <v>547</v>
      </c>
      <c r="C70" s="19">
        <f t="shared" si="8"/>
        <v>11137.88771524358</v>
      </c>
      <c r="D70" s="172">
        <f>SUM('Yearly Pension'!$G70:$AV70) *E70</f>
        <v>200180.62094206014</v>
      </c>
      <c r="E70" s="171">
        <f t="shared" si="9"/>
        <v>5.222020616016426</v>
      </c>
      <c r="F70" s="19">
        <f>VLOOKUP(I70,'Yearly Pension'!$C$3:$AW$81, 47, FALSE)</f>
        <v>2132.8693496694814</v>
      </c>
      <c r="H70" s="11">
        <v>600</v>
      </c>
      <c r="I70" s="11">
        <v>547</v>
      </c>
      <c r="J70" s="11">
        <v>1</v>
      </c>
      <c r="K70" s="11">
        <v>19670610</v>
      </c>
      <c r="L70" s="177">
        <f t="shared" si="10"/>
        <v>24633</v>
      </c>
      <c r="M70" s="178">
        <f t="shared" si="11"/>
        <v>51.561943874058862</v>
      </c>
      <c r="N70" s="178">
        <f t="shared" si="12"/>
        <v>51</v>
      </c>
      <c r="O70" s="178">
        <f t="shared" si="13"/>
        <v>52</v>
      </c>
      <c r="P70" s="178">
        <f t="shared" si="14"/>
        <v>0.56194387405886204</v>
      </c>
      <c r="Q70" s="178">
        <f t="shared" si="15"/>
        <v>0.43805612594113796</v>
      </c>
      <c r="R70" s="179">
        <f>IF(J70=1,VLOOKUP(N70,'Annuity Factors '!$K$10:$O$92,5, FALSE),VLOOKUP(N70,'Annuity Factors '!$A$10:$E$92,5,FALSE))</f>
        <v>5.0325500000000005</v>
      </c>
      <c r="S70" s="179">
        <f>IF(J70=1,VLOOKUP(O70,'Annuity Factors '!$K$10:$O$92,5, FALSE),VLOOKUP(O70,'Annuity Factors '!$A$10:$E$92,5,FALSE))</f>
        <v>5.36972</v>
      </c>
    </row>
    <row r="71" spans="2:19" x14ac:dyDescent="0.25">
      <c r="B71" s="1">
        <v>524</v>
      </c>
      <c r="C71" s="19">
        <f t="shared" si="8"/>
        <v>22982.812284998086</v>
      </c>
      <c r="D71" s="172">
        <f>SUM('Yearly Pension'!$G71:$AV71) *E71</f>
        <v>417692.56380600476</v>
      </c>
      <c r="E71" s="171">
        <f t="shared" si="9"/>
        <v>10.679780390143735</v>
      </c>
      <c r="F71" s="19">
        <f>VLOOKUP(I71,'Yearly Pension'!$C$3:$AW$81, 47, FALSE)</f>
        <v>2151.9929666539492</v>
      </c>
      <c r="H71" s="11">
        <v>600</v>
      </c>
      <c r="I71" s="11">
        <v>524</v>
      </c>
      <c r="J71" s="11">
        <v>1</v>
      </c>
      <c r="K71" s="11">
        <v>19560513</v>
      </c>
      <c r="L71" s="177">
        <f t="shared" si="10"/>
        <v>20588</v>
      </c>
      <c r="M71" s="178">
        <f t="shared" si="11"/>
        <v>62.636550308008211</v>
      </c>
      <c r="N71" s="178">
        <f t="shared" si="12"/>
        <v>62</v>
      </c>
      <c r="O71" s="178">
        <f t="shared" si="13"/>
        <v>63</v>
      </c>
      <c r="P71" s="178">
        <f t="shared" si="14"/>
        <v>0.63655030800821066</v>
      </c>
      <c r="Q71" s="178">
        <f t="shared" si="15"/>
        <v>0.36344969199178934</v>
      </c>
      <c r="R71" s="179">
        <f>IF(J71=1,VLOOKUP(N71,'Annuity Factors '!$K$10:$O$92,5, FALSE),VLOOKUP(N71,'Annuity Factors '!$A$10:$E$92,5,FALSE))</f>
        <v>10.24755</v>
      </c>
      <c r="S71" s="179">
        <f>IF(J71=1,VLOOKUP(O71,'Annuity Factors '!$K$10:$O$92,5, FALSE),VLOOKUP(O71,'Annuity Factors '!$A$10:$E$92,5,FALSE))</f>
        <v>10.92657</v>
      </c>
    </row>
    <row r="72" spans="2:19" x14ac:dyDescent="0.25">
      <c r="B72" s="1">
        <v>514</v>
      </c>
      <c r="C72" s="19">
        <f t="shared" si="8"/>
        <v>16093.893216419881</v>
      </c>
      <c r="D72" s="172">
        <f>SUM('Yearly Pension'!$G72:$AV72) *E72</f>
        <v>296028.49355229636</v>
      </c>
      <c r="E72" s="171">
        <f t="shared" si="9"/>
        <v>7.4127263997262158</v>
      </c>
      <c r="F72" s="19">
        <f>VLOOKUP(I72,'Yearly Pension'!$C$3:$AW$81, 47, FALSE)</f>
        <v>2171.1165836384166</v>
      </c>
      <c r="H72" s="11">
        <v>600</v>
      </c>
      <c r="I72" s="11">
        <v>514</v>
      </c>
      <c r="J72" s="11">
        <v>1</v>
      </c>
      <c r="K72" s="11">
        <v>19621222</v>
      </c>
      <c r="L72" s="177">
        <f t="shared" si="10"/>
        <v>23002</v>
      </c>
      <c r="M72" s="178">
        <f t="shared" si="11"/>
        <v>56.027378507871319</v>
      </c>
      <c r="N72" s="178">
        <f t="shared" si="12"/>
        <v>56</v>
      </c>
      <c r="O72" s="178">
        <f t="shared" si="13"/>
        <v>57</v>
      </c>
      <c r="P72" s="178">
        <f t="shared" si="14"/>
        <v>2.7378507871318902E-2</v>
      </c>
      <c r="Q72" s="178">
        <f t="shared" si="15"/>
        <v>0.9726214921286811</v>
      </c>
      <c r="R72" s="179">
        <f>IF(J72=1,VLOOKUP(N72,'Annuity Factors '!$K$10:$O$92,5, FALSE),VLOOKUP(N72,'Annuity Factors '!$A$10:$E$92,5,FALSE))</f>
        <v>6.9600099999999996</v>
      </c>
      <c r="S72" s="179">
        <f>IF(J72=1,VLOOKUP(O72,'Annuity Factors '!$K$10:$O$92,5, FALSE),VLOOKUP(O72,'Annuity Factors '!$A$10:$E$92,5,FALSE))</f>
        <v>7.4254699999999998</v>
      </c>
    </row>
    <row r="73" spans="2:19" x14ac:dyDescent="0.25">
      <c r="B73" s="1">
        <v>498</v>
      </c>
      <c r="C73" s="19">
        <f t="shared" si="8"/>
        <v>16070.275449098541</v>
      </c>
      <c r="D73" s="172">
        <f>SUM('Yearly Pension'!$G73:$AV73) *E73</f>
        <v>298069.12995807145</v>
      </c>
      <c r="E73" s="171">
        <f t="shared" si="9"/>
        <v>7.337220568104037</v>
      </c>
      <c r="F73" s="19">
        <f>VLOOKUP(I73,'Yearly Pension'!$C$3:$AW$81, 47, FALSE)</f>
        <v>2190.2402006228845</v>
      </c>
      <c r="H73" s="11">
        <v>600</v>
      </c>
      <c r="I73" s="11">
        <v>498</v>
      </c>
      <c r="J73" s="11">
        <v>1</v>
      </c>
      <c r="K73" s="11">
        <v>19620311</v>
      </c>
      <c r="L73" s="177">
        <f t="shared" si="10"/>
        <v>22716</v>
      </c>
      <c r="M73" s="178">
        <f t="shared" si="11"/>
        <v>56.810403832991099</v>
      </c>
      <c r="N73" s="178">
        <f t="shared" si="12"/>
        <v>56</v>
      </c>
      <c r="O73" s="178">
        <f t="shared" si="13"/>
        <v>57</v>
      </c>
      <c r="P73" s="178">
        <f t="shared" si="14"/>
        <v>0.81040383299109919</v>
      </c>
      <c r="Q73" s="178">
        <f t="shared" si="15"/>
        <v>0.18959616700890081</v>
      </c>
      <c r="R73" s="179">
        <f>IF(J73=1,VLOOKUP(N73,'Annuity Factors '!$K$10:$O$92,5, FALSE),VLOOKUP(N73,'Annuity Factors '!$A$10:$E$92,5,FALSE))</f>
        <v>6.9600099999999996</v>
      </c>
      <c r="S73" s="179">
        <f>IF(J73=1,VLOOKUP(O73,'Annuity Factors '!$K$10:$O$92,5, FALSE),VLOOKUP(O73,'Annuity Factors '!$A$10:$E$92,5,FALSE))</f>
        <v>7.4254699999999998</v>
      </c>
    </row>
    <row r="74" spans="2:19" x14ac:dyDescent="0.25">
      <c r="B74" s="1">
        <v>482</v>
      </c>
      <c r="C74" s="19">
        <f t="shared" si="8"/>
        <v>18991.213615073651</v>
      </c>
      <c r="D74" s="172">
        <f>SUM('Yearly Pension'!$G74:$AV74) *E74</f>
        <v>354343.36771521403</v>
      </c>
      <c r="E74" s="171">
        <f t="shared" si="9"/>
        <v>8.5957828542094479</v>
      </c>
      <c r="F74" s="19">
        <f>VLOOKUP(I74,'Yearly Pension'!$C$3:$AW$81, 47, FALSE)</f>
        <v>2209.3640494621673</v>
      </c>
      <c r="H74" s="11">
        <v>600</v>
      </c>
      <c r="I74" s="11">
        <v>482</v>
      </c>
      <c r="J74" s="11">
        <v>2</v>
      </c>
      <c r="K74" s="11">
        <v>19600207</v>
      </c>
      <c r="L74" s="177">
        <f t="shared" si="10"/>
        <v>21953</v>
      </c>
      <c r="M74" s="178">
        <f t="shared" si="11"/>
        <v>58.899383983572896</v>
      </c>
      <c r="N74" s="178">
        <f t="shared" si="12"/>
        <v>58</v>
      </c>
      <c r="O74" s="178">
        <f t="shared" si="13"/>
        <v>59</v>
      </c>
      <c r="P74" s="178">
        <f t="shared" si="14"/>
        <v>0.89938398357289628</v>
      </c>
      <c r="Q74" s="178">
        <f t="shared" si="15"/>
        <v>0.10061601642710372</v>
      </c>
      <c r="R74" s="179">
        <f>IF(J74=1,VLOOKUP(N74,'Annuity Factors '!$K$10:$O$92,5, FALSE),VLOOKUP(N74,'Annuity Factors '!$A$10:$E$92,5,FALSE))</f>
        <v>8.1210699999999996</v>
      </c>
      <c r="S74" s="179">
        <f>IF(J74=1,VLOOKUP(O74,'Annuity Factors '!$K$10:$O$92,5, FALSE),VLOOKUP(O74,'Annuity Factors '!$A$10:$E$92,5,FALSE))</f>
        <v>8.6488900000000015</v>
      </c>
    </row>
    <row r="75" spans="2:19" x14ac:dyDescent="0.25">
      <c r="B75" s="1">
        <v>481</v>
      </c>
      <c r="C75" s="19">
        <f t="shared" si="8"/>
        <v>24209.206194510738</v>
      </c>
      <c r="D75" s="172">
        <f>SUM('Yearly Pension'!$G75:$AV75) *E75</f>
        <v>451853.13796743361</v>
      </c>
      <c r="E75" s="171">
        <f t="shared" si="9"/>
        <v>10.8635136550308</v>
      </c>
      <c r="F75" s="19">
        <f>VLOOKUP(I75,'Yearly Pension'!$C$3:$AW$81, 47, FALSE)</f>
        <v>2228.4876664466346</v>
      </c>
      <c r="H75" s="11">
        <v>600</v>
      </c>
      <c r="I75" s="11">
        <v>481</v>
      </c>
      <c r="J75" s="11">
        <v>2</v>
      </c>
      <c r="K75" s="11">
        <v>19560812</v>
      </c>
      <c r="L75" s="177">
        <f t="shared" si="10"/>
        <v>20679</v>
      </c>
      <c r="M75" s="178">
        <f t="shared" si="11"/>
        <v>62.387405886379192</v>
      </c>
      <c r="N75" s="178">
        <f t="shared" si="12"/>
        <v>62</v>
      </c>
      <c r="O75" s="178">
        <f t="shared" si="13"/>
        <v>63</v>
      </c>
      <c r="P75" s="178">
        <f t="shared" si="14"/>
        <v>0.3874058863791916</v>
      </c>
      <c r="Q75" s="178">
        <f t="shared" si="15"/>
        <v>0.6125941136208084</v>
      </c>
      <c r="R75" s="179">
        <f>IF(J75=1,VLOOKUP(N75,'Annuity Factors '!$K$10:$O$92,5, FALSE),VLOOKUP(N75,'Annuity Factors '!$A$10:$E$92,5,FALSE))</f>
        <v>10.44755</v>
      </c>
      <c r="S75" s="179">
        <f>IF(J75=1,VLOOKUP(O75,'Annuity Factors '!$K$10:$O$92,5, FALSE),VLOOKUP(O75,'Annuity Factors '!$A$10:$E$92,5,FALSE))</f>
        <v>11.126569999999999</v>
      </c>
    </row>
    <row r="76" spans="2:19" x14ac:dyDescent="0.25">
      <c r="B76" s="1">
        <v>474</v>
      </c>
      <c r="C76" s="19">
        <f t="shared" si="8"/>
        <v>16305.042449408582</v>
      </c>
      <c r="D76" s="172">
        <f>SUM('Yearly Pension'!$G76:$AV76) *E76</f>
        <v>306125.5182284601</v>
      </c>
      <c r="E76" s="171">
        <f t="shared" si="9"/>
        <v>7.2543871663244346</v>
      </c>
      <c r="F76" s="19">
        <f>VLOOKUP(I76,'Yearly Pension'!$C$3:$AW$81, 47, FALSE)</f>
        <v>2247.6112834311025</v>
      </c>
      <c r="H76" s="11">
        <v>600</v>
      </c>
      <c r="I76" s="11">
        <v>474</v>
      </c>
      <c r="J76" s="11">
        <v>1</v>
      </c>
      <c r="K76" s="11">
        <v>19620515</v>
      </c>
      <c r="L76" s="177">
        <f t="shared" si="10"/>
        <v>22781</v>
      </c>
      <c r="M76" s="178">
        <f t="shared" si="11"/>
        <v>56.632443531827512</v>
      </c>
      <c r="N76" s="178">
        <f t="shared" si="12"/>
        <v>56</v>
      </c>
      <c r="O76" s="178">
        <f t="shared" si="13"/>
        <v>57</v>
      </c>
      <c r="P76" s="178">
        <f t="shared" si="14"/>
        <v>0.63244353182751212</v>
      </c>
      <c r="Q76" s="178">
        <f t="shared" si="15"/>
        <v>0.36755646817248788</v>
      </c>
      <c r="R76" s="179">
        <f>IF(J76=1,VLOOKUP(N76,'Annuity Factors '!$K$10:$O$92,5, FALSE),VLOOKUP(N76,'Annuity Factors '!$A$10:$E$92,5,FALSE))</f>
        <v>6.9600099999999996</v>
      </c>
      <c r="S76" s="179">
        <f>IF(J76=1,VLOOKUP(O76,'Annuity Factors '!$K$10:$O$92,5, FALSE),VLOOKUP(O76,'Annuity Factors '!$A$10:$E$92,5,FALSE))</f>
        <v>7.4254699999999998</v>
      </c>
    </row>
    <row r="77" spans="2:19" x14ac:dyDescent="0.25">
      <c r="B77" s="1">
        <v>452</v>
      </c>
      <c r="C77" s="19">
        <f t="shared" si="8"/>
        <v>22755.979267340495</v>
      </c>
      <c r="D77" s="172">
        <f>SUM('Yearly Pension'!$G77:$AV77) *E77</f>
        <v>434906.1841946668</v>
      </c>
      <c r="E77" s="171">
        <f t="shared" si="9"/>
        <v>9.955111738535253</v>
      </c>
      <c r="F77" s="19">
        <f>VLOOKUP(I77,'Yearly Pension'!$C$3:$AW$81, 47, FALSE)</f>
        <v>2285.8587492548527</v>
      </c>
      <c r="H77" s="11">
        <v>600</v>
      </c>
      <c r="I77" s="11">
        <v>452</v>
      </c>
      <c r="J77" s="11">
        <v>1</v>
      </c>
      <c r="K77" s="11">
        <v>19570617</v>
      </c>
      <c r="L77" s="177">
        <f t="shared" si="10"/>
        <v>20988</v>
      </c>
      <c r="M77" s="178">
        <f t="shared" si="11"/>
        <v>61.541409993155376</v>
      </c>
      <c r="N77" s="178">
        <f t="shared" si="12"/>
        <v>61</v>
      </c>
      <c r="O77" s="178">
        <f t="shared" si="13"/>
        <v>62</v>
      </c>
      <c r="P77" s="178">
        <f t="shared" si="14"/>
        <v>0.54140999315537641</v>
      </c>
      <c r="Q77" s="178">
        <f t="shared" si="15"/>
        <v>0.45859000684462359</v>
      </c>
      <c r="R77" s="179">
        <f>IF(J77=1,VLOOKUP(N77,'Annuity Factors '!$K$10:$O$92,5, FALSE),VLOOKUP(N77,'Annuity Factors '!$A$10:$E$92,5,FALSE))</f>
        <v>9.6098600000000012</v>
      </c>
      <c r="S77" s="179">
        <f>IF(J77=1,VLOOKUP(O77,'Annuity Factors '!$K$10:$O$92,5, FALSE),VLOOKUP(O77,'Annuity Factors '!$A$10:$E$92,5,FALSE))</f>
        <v>10.24755</v>
      </c>
    </row>
    <row r="78" spans="2:19" x14ac:dyDescent="0.25">
      <c r="B78" s="1">
        <v>391</v>
      </c>
      <c r="C78" s="19">
        <f t="shared" si="8"/>
        <v>19796.14877542121</v>
      </c>
      <c r="D78" s="172">
        <f>SUM('Yearly Pension'!$G78:$AV78) *E78</f>
        <v>385581.51346045203</v>
      </c>
      <c r="E78" s="171">
        <f t="shared" si="9"/>
        <v>8.5177478644763873</v>
      </c>
      <c r="F78" s="19">
        <f>VLOOKUP(I78,'Yearly Pension'!$C$3:$AW$81, 47, FALSE)</f>
        <v>2324.1059832237875</v>
      </c>
      <c r="H78" s="11">
        <v>600</v>
      </c>
      <c r="I78" s="11">
        <v>391</v>
      </c>
      <c r="J78" s="11">
        <v>2</v>
      </c>
      <c r="K78" s="11">
        <v>19600401</v>
      </c>
      <c r="L78" s="177">
        <f t="shared" si="10"/>
        <v>22007</v>
      </c>
      <c r="M78" s="178">
        <f t="shared" si="11"/>
        <v>58.751540041067763</v>
      </c>
      <c r="N78" s="178">
        <f t="shared" si="12"/>
        <v>58</v>
      </c>
      <c r="O78" s="178">
        <f t="shared" si="13"/>
        <v>59</v>
      </c>
      <c r="P78" s="178">
        <f t="shared" si="14"/>
        <v>0.75154004106776284</v>
      </c>
      <c r="Q78" s="178">
        <f t="shared" si="15"/>
        <v>0.24845995893223716</v>
      </c>
      <c r="R78" s="179">
        <f>IF(J78=1,VLOOKUP(N78,'Annuity Factors '!$K$10:$O$92,5, FALSE),VLOOKUP(N78,'Annuity Factors '!$A$10:$E$92,5,FALSE))</f>
        <v>8.1210699999999996</v>
      </c>
      <c r="S78" s="179">
        <f>IF(J78=1,VLOOKUP(O78,'Annuity Factors '!$K$10:$O$92,5, FALSE),VLOOKUP(O78,'Annuity Factors '!$A$10:$E$92,5,FALSE))</f>
        <v>8.6488900000000015</v>
      </c>
    </row>
    <row r="79" spans="2:19" x14ac:dyDescent="0.25">
      <c r="B79" s="1">
        <v>386</v>
      </c>
      <c r="C79" s="19">
        <f t="shared" si="8"/>
        <v>23350.636006252957</v>
      </c>
      <c r="D79" s="172">
        <f>SUM('Yearly Pension'!$G79:$AV79) *E79</f>
        <v>456301.31692709407</v>
      </c>
      <c r="E79" s="171">
        <f t="shared" si="9"/>
        <v>9.9651506639288172</v>
      </c>
      <c r="F79" s="19">
        <f>VLOOKUP(I79,'Yearly Pension'!$C$3:$AW$81, 47, FALSE)</f>
        <v>2343.2296002082558</v>
      </c>
      <c r="H79" s="11">
        <v>600</v>
      </c>
      <c r="I79" s="11">
        <v>386</v>
      </c>
      <c r="J79" s="11">
        <v>1</v>
      </c>
      <c r="K79" s="11">
        <v>19570723</v>
      </c>
      <c r="L79" s="177">
        <f t="shared" si="10"/>
        <v>21024</v>
      </c>
      <c r="M79" s="178">
        <f t="shared" si="11"/>
        <v>61.442847364818618</v>
      </c>
      <c r="N79" s="178">
        <f t="shared" si="12"/>
        <v>61</v>
      </c>
      <c r="O79" s="178">
        <f t="shared" si="13"/>
        <v>62</v>
      </c>
      <c r="P79" s="178">
        <f t="shared" si="14"/>
        <v>0.44284736481861842</v>
      </c>
      <c r="Q79" s="178">
        <f t="shared" si="15"/>
        <v>0.55715263518138158</v>
      </c>
      <c r="R79" s="179">
        <f>IF(J79=1,VLOOKUP(N79,'Annuity Factors '!$K$10:$O$92,5, FALSE),VLOOKUP(N79,'Annuity Factors '!$A$10:$E$92,5,FALSE))</f>
        <v>9.6098600000000012</v>
      </c>
      <c r="S79" s="179">
        <f>IF(J79=1,VLOOKUP(O79,'Annuity Factors '!$K$10:$O$92,5, FALSE),VLOOKUP(O79,'Annuity Factors '!$A$10:$E$92,5,FALSE))</f>
        <v>10.24755</v>
      </c>
    </row>
    <row r="80" spans="2:19" x14ac:dyDescent="0.25">
      <c r="B80" s="1">
        <v>360</v>
      </c>
      <c r="C80" s="19">
        <f t="shared" si="8"/>
        <v>25297.512659011001</v>
      </c>
      <c r="D80" s="172">
        <f>SUM('Yearly Pension'!$G80:$AV80) *E80</f>
        <v>497508.8099834724</v>
      </c>
      <c r="E80" s="171">
        <f t="shared" si="9"/>
        <v>10.622614435318276</v>
      </c>
      <c r="F80" s="19">
        <f>VLOOKUP(I80,'Yearly Pension'!$C$3:$AW$81, 47, FALSE)</f>
        <v>2381.477066032006</v>
      </c>
      <c r="H80" s="11">
        <v>600</v>
      </c>
      <c r="I80" s="11">
        <v>360</v>
      </c>
      <c r="J80" s="11">
        <v>1</v>
      </c>
      <c r="K80" s="11">
        <v>19560721</v>
      </c>
      <c r="L80" s="177">
        <f t="shared" si="10"/>
        <v>20657</v>
      </c>
      <c r="M80" s="178">
        <f t="shared" si="11"/>
        <v>62.447638603696099</v>
      </c>
      <c r="N80" s="178">
        <f t="shared" si="12"/>
        <v>62</v>
      </c>
      <c r="O80" s="178">
        <f t="shared" si="13"/>
        <v>63</v>
      </c>
      <c r="P80" s="178">
        <f t="shared" si="14"/>
        <v>0.44763860369609887</v>
      </c>
      <c r="Q80" s="178">
        <f t="shared" si="15"/>
        <v>0.55236139630390113</v>
      </c>
      <c r="R80" s="179">
        <f>IF(J80=1,VLOOKUP(N80,'Annuity Factors '!$K$10:$O$92,5, FALSE),VLOOKUP(N80,'Annuity Factors '!$A$10:$E$92,5,FALSE))</f>
        <v>10.24755</v>
      </c>
      <c r="S80" s="179">
        <f>IF(J80=1,VLOOKUP(O80,'Annuity Factors '!$K$10:$O$92,5, FALSE),VLOOKUP(O80,'Annuity Factors '!$A$10:$E$92,5,FALSE))</f>
        <v>10.92657</v>
      </c>
    </row>
    <row r="81" spans="2:19" x14ac:dyDescent="0.25">
      <c r="B81" s="1">
        <v>316</v>
      </c>
      <c r="C81" s="19">
        <f t="shared" si="8"/>
        <v>23037.004002978381</v>
      </c>
      <c r="D81" s="172">
        <f>SUM('Yearly Pension'!$G81:$AV81) *E81</f>
        <v>469392.40004515613</v>
      </c>
      <c r="E81" s="171">
        <f t="shared" si="9"/>
        <v>9.5963498494182069</v>
      </c>
      <c r="F81" s="19">
        <f>VLOOKUP(I81,'Yearly Pension'!$C$3:$AW$81, 47, FALSE)</f>
        <v>2400.6006830164738</v>
      </c>
      <c r="H81" s="11">
        <v>600</v>
      </c>
      <c r="I81" s="11">
        <v>316</v>
      </c>
      <c r="J81" s="11">
        <v>2</v>
      </c>
      <c r="K81" s="11">
        <v>19580511</v>
      </c>
      <c r="L81" s="177">
        <f t="shared" si="10"/>
        <v>21316</v>
      </c>
      <c r="M81" s="178">
        <f t="shared" si="11"/>
        <v>60.643394934976044</v>
      </c>
      <c r="N81" s="178">
        <f t="shared" si="12"/>
        <v>60</v>
      </c>
      <c r="O81" s="178">
        <f t="shared" si="13"/>
        <v>61</v>
      </c>
      <c r="P81" s="178">
        <f t="shared" si="14"/>
        <v>0.64339493497604394</v>
      </c>
      <c r="Q81" s="178">
        <f t="shared" si="15"/>
        <v>0.35660506502395606</v>
      </c>
      <c r="R81" s="179">
        <f>IF(J81=1,VLOOKUP(N81,'Annuity Factors '!$K$10:$O$92,5, FALSE),VLOOKUP(N81,'Annuity Factors '!$A$10:$E$92,5,FALSE))</f>
        <v>9.2111300000000007</v>
      </c>
      <c r="S81" s="179">
        <f>IF(J81=1,VLOOKUP(O81,'Annuity Factors '!$K$10:$O$92,5, FALSE),VLOOKUP(O81,'Annuity Factors '!$A$10:$E$92,5,FALSE))</f>
        <v>9.8098600000000005</v>
      </c>
    </row>
    <row r="111" spans="7:7" ht="13.8" thickBot="1" x14ac:dyDescent="0.3">
      <c r="G111" s="181"/>
    </row>
  </sheetData>
  <mergeCells count="1">
    <mergeCell ref="B1:B2"/>
  </mergeCells>
  <pageMargins left="0.7" right="0.7" top="0.75" bottom="0.75" header="0.3" footer="0.3"/>
  <pageSetup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1"/>
  <sheetViews>
    <sheetView showGridLine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ColWidth="8.77734375" defaultRowHeight="13.2" x14ac:dyDescent="0.25"/>
  <cols>
    <col min="1" max="1" width="14.44140625" style="1" bestFit="1" customWidth="1"/>
    <col min="2" max="2" width="12.77734375" style="1" bestFit="1" customWidth="1"/>
    <col min="3" max="5" width="16.5546875" style="1" bestFit="1" customWidth="1"/>
    <col min="6" max="6" width="14" style="1" bestFit="1" customWidth="1"/>
    <col min="7" max="8" width="8.77734375" style="1"/>
    <col min="9" max="9" width="12.77734375" style="1" bestFit="1" customWidth="1"/>
    <col min="10" max="10" width="16.77734375" style="1" bestFit="1" customWidth="1"/>
    <col min="11" max="12" width="11.88671875" style="1" bestFit="1" customWidth="1"/>
    <col min="13" max="13" width="5.5546875" style="1" bestFit="1" customWidth="1"/>
    <col min="14" max="14" width="16.33203125" style="1" bestFit="1" customWidth="1"/>
    <col min="15" max="15" width="13.77734375" style="1" bestFit="1" customWidth="1"/>
    <col min="16" max="16" width="8.77734375" style="17"/>
    <col min="17" max="16384" width="8.77734375" style="1"/>
  </cols>
  <sheetData>
    <row r="1" spans="1:19" ht="13.8" thickBot="1" x14ac:dyDescent="0.3">
      <c r="A1" s="78" t="s">
        <v>60</v>
      </c>
      <c r="B1" s="142" t="s">
        <v>4</v>
      </c>
      <c r="C1" s="79" t="s">
        <v>64</v>
      </c>
      <c r="D1" s="79" t="s">
        <v>65</v>
      </c>
      <c r="E1" s="79" t="s">
        <v>31</v>
      </c>
      <c r="F1" s="160" t="s">
        <v>61</v>
      </c>
      <c r="G1" s="83"/>
      <c r="P1" s="1"/>
      <c r="S1" s="17"/>
    </row>
    <row r="2" spans="1:19" ht="13.8" thickBot="1" x14ac:dyDescent="0.3">
      <c r="A2" s="174">
        <v>43831</v>
      </c>
      <c r="B2" s="143"/>
      <c r="C2" s="173" t="s">
        <v>68</v>
      </c>
      <c r="D2" s="173" t="s">
        <v>68</v>
      </c>
      <c r="E2" s="173" t="s">
        <v>68</v>
      </c>
      <c r="F2" s="144" t="s">
        <v>67</v>
      </c>
      <c r="G2" s="180"/>
      <c r="H2" s="48" t="s">
        <v>0</v>
      </c>
      <c r="I2" s="48" t="s">
        <v>4</v>
      </c>
      <c r="J2" s="48" t="s">
        <v>3</v>
      </c>
      <c r="K2" s="48" t="s">
        <v>1</v>
      </c>
      <c r="L2" s="48" t="s">
        <v>1</v>
      </c>
      <c r="M2" s="175" t="s">
        <v>7</v>
      </c>
      <c r="N2" s="175" t="s">
        <v>54</v>
      </c>
      <c r="O2" s="175" t="s">
        <v>55</v>
      </c>
      <c r="P2" s="175" t="s">
        <v>59</v>
      </c>
      <c r="Q2" s="175" t="s">
        <v>58</v>
      </c>
      <c r="R2" s="175" t="s">
        <v>56</v>
      </c>
      <c r="S2" s="176" t="s">
        <v>57</v>
      </c>
    </row>
    <row r="3" spans="1:19" x14ac:dyDescent="0.25">
      <c r="A3" s="18"/>
      <c r="B3" s="1">
        <v>761</v>
      </c>
      <c r="C3" s="19">
        <f>E3*F3</f>
        <v>3453.4174521560572</v>
      </c>
      <c r="D3" s="172">
        <f>SUM('Yearly Pension'!$G3:$AW3) *E3</f>
        <v>55254.679234496914</v>
      </c>
      <c r="E3" s="171">
        <f>IF(P3&gt;=Q3, P3*S3+ Q3*R3, P3*R3+Q3*S3)</f>
        <v>4.7964131279945237</v>
      </c>
      <c r="F3" s="19">
        <f>VLOOKUP(I3,'Yearly Pension'!$C$3:$AX$81,48,FALSE)</f>
        <v>720</v>
      </c>
      <c r="G3" s="46"/>
      <c r="H3" s="11">
        <v>500</v>
      </c>
      <c r="I3" s="11">
        <v>761</v>
      </c>
      <c r="J3" s="11">
        <v>2</v>
      </c>
      <c r="K3" s="11">
        <v>19700319</v>
      </c>
      <c r="L3" s="177">
        <f>DATE(LEFT(K3,4), MID(K3, 5, 2), RIGHT(K3, 2))</f>
        <v>25646</v>
      </c>
      <c r="M3" s="178">
        <f>($A$2-L3)/365.25</f>
        <v>49.787816563997261</v>
      </c>
      <c r="N3" s="178">
        <f>ROUNDDOWN(M3, 0)</f>
        <v>49</v>
      </c>
      <c r="O3" s="178">
        <f>ROUNDUP(M3,0)</f>
        <v>50</v>
      </c>
      <c r="P3" s="178">
        <f>M3-N3</f>
        <v>0.78781656399726074</v>
      </c>
      <c r="Q3" s="178">
        <f>1-P3</f>
        <v>0.21218343600273926</v>
      </c>
      <c r="R3" s="179">
        <f>IF(J3=1,VLOOKUP(N3,'Annuity Factors '!$K$10:$O$92,5, FALSE),VLOOKUP(N3,'Annuity Factors '!$A$10:$E$92,5,FALSE))</f>
        <v>4.5559399999999997</v>
      </c>
      <c r="S3" s="179">
        <f>IF(J3=1,VLOOKUP(O3,'Annuity Factors '!$K$10:$O$92,5, FALSE),VLOOKUP(O3,'Annuity Factors '!$A$10:$E$92,5,FALSE))</f>
        <v>4.8611800000000001</v>
      </c>
    </row>
    <row r="4" spans="1:19" x14ac:dyDescent="0.25">
      <c r="B4" s="1">
        <v>735</v>
      </c>
      <c r="C4" s="19">
        <f t="shared" ref="C4:C67" si="0">E4*F4</f>
        <v>2801.1073577002053</v>
      </c>
      <c r="D4" s="172">
        <f>SUM('Yearly Pension'!$G4:$AW4) *E4</f>
        <v>52287.33734373717</v>
      </c>
      <c r="E4" s="171">
        <f t="shared" ref="E4:E67" si="1">IF(P4&gt;=Q4, P4*S4+ Q4*R4, P4*R4+Q4*S4)</f>
        <v>3.8904268856947297</v>
      </c>
      <c r="F4" s="19">
        <f>VLOOKUP(I4,'Yearly Pension'!$C$3:$AX$81,48,FALSE)</f>
        <v>720</v>
      </c>
      <c r="G4" s="46"/>
      <c r="H4" s="11">
        <v>500</v>
      </c>
      <c r="I4" s="11">
        <v>735</v>
      </c>
      <c r="J4" s="11">
        <v>2</v>
      </c>
      <c r="K4" s="11">
        <v>19730611</v>
      </c>
      <c r="L4" s="177">
        <f t="shared" ref="L4:L67" si="2">DATE(LEFT(K4,4), MID(K4, 5, 2), RIGHT(K4, 2))</f>
        <v>26826</v>
      </c>
      <c r="M4" s="178">
        <f t="shared" ref="M4:M67" si="3">($A$2-L4)/365.25</f>
        <v>46.557152635181382</v>
      </c>
      <c r="N4" s="178">
        <f t="shared" ref="N4:N67" si="4">ROUNDDOWN(M4, 0)</f>
        <v>46</v>
      </c>
      <c r="O4" s="178">
        <f t="shared" ref="O4:O67" si="5">ROUNDUP(M4,0)</f>
        <v>47</v>
      </c>
      <c r="P4" s="178">
        <f t="shared" ref="P4:P67" si="6">M4-N4</f>
        <v>0.55715263518138158</v>
      </c>
      <c r="Q4" s="178">
        <f t="shared" ref="Q4:Q67" si="7">1-P4</f>
        <v>0.44284736481861842</v>
      </c>
      <c r="R4" s="179">
        <f>IF(J4=1,VLOOKUP(N4,'Annuity Factors '!$K$10:$O$92,5, FALSE),VLOOKUP(N4,'Annuity Factors '!$A$10:$E$92,5,FALSE))</f>
        <v>3.7504200000000001</v>
      </c>
      <c r="S4" s="179">
        <f>IF(J4=1,VLOOKUP(O4,'Annuity Factors '!$K$10:$O$92,5, FALSE),VLOOKUP(O4,'Annuity Factors '!$A$10:$E$92,5,FALSE))</f>
        <v>4.0017100000000001</v>
      </c>
    </row>
    <row r="5" spans="1:19" x14ac:dyDescent="0.25">
      <c r="B5" s="1">
        <v>769</v>
      </c>
      <c r="C5" s="19">
        <f t="shared" si="0"/>
        <v>2500.2871392197126</v>
      </c>
      <c r="D5" s="172">
        <f>SUM('Yearly Pension'!$G5:$AW5) *E5</f>
        <v>38754.450657905545</v>
      </c>
      <c r="E5" s="171">
        <f t="shared" si="1"/>
        <v>3.4726210266940454</v>
      </c>
      <c r="F5" s="19">
        <f>VLOOKUP(I5,'Yearly Pension'!$C$3:$AX$81,48,FALSE)</f>
        <v>720</v>
      </c>
      <c r="G5" s="46"/>
      <c r="H5" s="11">
        <v>500</v>
      </c>
      <c r="I5" s="11">
        <v>769</v>
      </c>
      <c r="J5" s="11">
        <v>2</v>
      </c>
      <c r="K5" s="11">
        <v>19751023</v>
      </c>
      <c r="L5" s="177">
        <f t="shared" si="2"/>
        <v>27690</v>
      </c>
      <c r="M5" s="178">
        <f t="shared" si="3"/>
        <v>44.191649555099247</v>
      </c>
      <c r="N5" s="178">
        <f t="shared" si="4"/>
        <v>44</v>
      </c>
      <c r="O5" s="178">
        <f t="shared" si="5"/>
        <v>45</v>
      </c>
      <c r="P5" s="178">
        <f t="shared" si="6"/>
        <v>0.19164955509924653</v>
      </c>
      <c r="Q5" s="178">
        <f t="shared" si="7"/>
        <v>0.80835044490075347</v>
      </c>
      <c r="R5" s="179">
        <f>IF(J5=1,VLOOKUP(N5,'Annuity Factors '!$K$10:$O$92,5, FALSE),VLOOKUP(N5,'Annuity Factors '!$A$10:$E$92,5,FALSE))</f>
        <v>3.2942099999999996</v>
      </c>
      <c r="S5" s="179">
        <f>IF(J5=1,VLOOKUP(O5,'Annuity Factors '!$K$10:$O$92,5, FALSE),VLOOKUP(O5,'Annuity Factors '!$A$10:$E$92,5,FALSE))</f>
        <v>3.51492</v>
      </c>
    </row>
    <row r="6" spans="1:19" x14ac:dyDescent="0.25">
      <c r="B6" s="1">
        <v>786</v>
      </c>
      <c r="C6" s="19">
        <f t="shared" si="0"/>
        <v>3257.7193626283365</v>
      </c>
      <c r="D6" s="172">
        <f>SUM('Yearly Pension'!$G6:$AW6) *E6</f>
        <v>46422.500917453792</v>
      </c>
      <c r="E6" s="171">
        <f t="shared" si="1"/>
        <v>4.5246102258726895</v>
      </c>
      <c r="F6" s="19">
        <f>VLOOKUP(I6,'Yearly Pension'!$C$3:$AX$81,48,FALSE)</f>
        <v>720</v>
      </c>
      <c r="G6" s="46"/>
      <c r="H6" s="11">
        <v>500</v>
      </c>
      <c r="I6" s="11">
        <v>786</v>
      </c>
      <c r="J6" s="11">
        <v>2</v>
      </c>
      <c r="K6" s="11">
        <v>19711122</v>
      </c>
      <c r="L6" s="177">
        <f t="shared" si="2"/>
        <v>26259</v>
      </c>
      <c r="M6" s="178">
        <f t="shared" si="3"/>
        <v>48.109514031485283</v>
      </c>
      <c r="N6" s="178">
        <f t="shared" si="4"/>
        <v>48</v>
      </c>
      <c r="O6" s="178">
        <f t="shared" si="5"/>
        <v>49</v>
      </c>
      <c r="P6" s="178">
        <f t="shared" si="6"/>
        <v>0.10951403148528271</v>
      </c>
      <c r="Q6" s="178">
        <f t="shared" si="7"/>
        <v>0.89048596851471729</v>
      </c>
      <c r="R6" s="179">
        <f>IF(J6=1,VLOOKUP(N6,'Annuity Factors '!$K$10:$O$92,5, FALSE),VLOOKUP(N6,'Annuity Factors '!$A$10:$E$92,5,FALSE))</f>
        <v>4.2698600000000004</v>
      </c>
      <c r="S6" s="179">
        <f>IF(J6=1,VLOOKUP(O6,'Annuity Factors '!$K$10:$O$92,5, FALSE),VLOOKUP(O6,'Annuity Factors '!$A$10:$E$92,5,FALSE))</f>
        <v>4.5559399999999997</v>
      </c>
    </row>
    <row r="7" spans="1:19" x14ac:dyDescent="0.25">
      <c r="B7" s="1">
        <v>785</v>
      </c>
      <c r="C7" s="19">
        <f t="shared" si="0"/>
        <v>1218.0154546201231</v>
      </c>
      <c r="D7" s="172">
        <f>SUM('Yearly Pension'!$G7:$AW7) *E7</f>
        <v>17356.720228336755</v>
      </c>
      <c r="E7" s="171">
        <f t="shared" si="1"/>
        <v>1.6916881314168377</v>
      </c>
      <c r="F7" s="19">
        <f>VLOOKUP(I7,'Yearly Pension'!$C$3:$AX$81,48,FALSE)</f>
        <v>720</v>
      </c>
      <c r="G7" s="46"/>
      <c r="H7" s="11">
        <v>500</v>
      </c>
      <c r="I7" s="11">
        <v>785</v>
      </c>
      <c r="J7" s="11">
        <v>2</v>
      </c>
      <c r="K7" s="11">
        <v>19860414</v>
      </c>
      <c r="L7" s="177">
        <f t="shared" si="2"/>
        <v>31516</v>
      </c>
      <c r="M7" s="178">
        <f t="shared" si="3"/>
        <v>33.716632443531829</v>
      </c>
      <c r="N7" s="178">
        <f t="shared" si="4"/>
        <v>33</v>
      </c>
      <c r="O7" s="178">
        <f t="shared" si="5"/>
        <v>34</v>
      </c>
      <c r="P7" s="178">
        <f t="shared" si="6"/>
        <v>0.71663244353182876</v>
      </c>
      <c r="Q7" s="178">
        <f t="shared" si="7"/>
        <v>0.28336755646817124</v>
      </c>
      <c r="R7" s="179">
        <f>IF(J7=1,VLOOKUP(N7,'Annuity Factors '!$K$10:$O$92,5, FALSE),VLOOKUP(N7,'Annuity Factors '!$A$10:$E$92,5,FALSE))</f>
        <v>1.6141700000000001</v>
      </c>
      <c r="S7" s="179">
        <f>IF(J7=1,VLOOKUP(O7,'Annuity Factors '!$K$10:$O$92,5, FALSE),VLOOKUP(O7,'Annuity Factors '!$A$10:$E$92,5,FALSE))</f>
        <v>1.7223399999999998</v>
      </c>
    </row>
    <row r="8" spans="1:19" x14ac:dyDescent="0.25">
      <c r="B8" s="1">
        <v>784</v>
      </c>
      <c r="C8" s="19">
        <f t="shared" si="0"/>
        <v>5034.3878439425062</v>
      </c>
      <c r="D8" s="172">
        <f>SUM('Yearly Pension'!$G8:$AW8) *E8</f>
        <v>72579.091416837793</v>
      </c>
      <c r="E8" s="171">
        <f t="shared" si="1"/>
        <v>6.9922053388090362</v>
      </c>
      <c r="F8" s="19">
        <f>VLOOKUP(I8,'Yearly Pension'!$C$3:$AX$81,48,FALSE)</f>
        <v>720</v>
      </c>
      <c r="G8" s="46"/>
      <c r="H8" s="11">
        <v>500</v>
      </c>
      <c r="I8" s="11">
        <v>784</v>
      </c>
      <c r="J8" s="11">
        <v>2</v>
      </c>
      <c r="K8" s="11">
        <v>19640813</v>
      </c>
      <c r="L8" s="177">
        <f t="shared" si="2"/>
        <v>23602</v>
      </c>
      <c r="M8" s="178">
        <f t="shared" si="3"/>
        <v>55.383983572895275</v>
      </c>
      <c r="N8" s="178">
        <f t="shared" si="4"/>
        <v>55</v>
      </c>
      <c r="O8" s="178">
        <f t="shared" si="5"/>
        <v>56</v>
      </c>
      <c r="P8" s="178">
        <f t="shared" si="6"/>
        <v>0.38398357289527496</v>
      </c>
      <c r="Q8" s="178">
        <f t="shared" si="7"/>
        <v>0.61601642710472504</v>
      </c>
      <c r="R8" s="179">
        <f>IF(J8=1,VLOOKUP(N8,'Annuity Factors '!$K$10:$O$92,5, FALSE),VLOOKUP(N8,'Annuity Factors '!$A$10:$E$92,5,FALSE))</f>
        <v>6.7229999999999999</v>
      </c>
      <c r="S8" s="179">
        <f>IF(J8=1,VLOOKUP(O8,'Annuity Factors '!$K$10:$O$92,5, FALSE),VLOOKUP(O8,'Annuity Factors '!$A$10:$E$92,5,FALSE))</f>
        <v>7.1600099999999998</v>
      </c>
    </row>
    <row r="9" spans="1:19" x14ac:dyDescent="0.25">
      <c r="B9" s="1">
        <v>783</v>
      </c>
      <c r="C9" s="19">
        <f t="shared" si="0"/>
        <v>4663.0526784394251</v>
      </c>
      <c r="D9" s="172">
        <f>SUM('Yearly Pension'!$G9:$AW9) *E9</f>
        <v>67225.676114168382</v>
      </c>
      <c r="E9" s="171">
        <f t="shared" si="1"/>
        <v>6.4764620533880901</v>
      </c>
      <c r="F9" s="19">
        <f>VLOOKUP(I9,'Yearly Pension'!$C$3:$AX$81,48,FALSE)</f>
        <v>720</v>
      </c>
      <c r="G9" s="46"/>
      <c r="H9" s="11">
        <v>500</v>
      </c>
      <c r="I9" s="11">
        <v>783</v>
      </c>
      <c r="J9" s="11">
        <v>1</v>
      </c>
      <c r="K9" s="11">
        <v>19651120</v>
      </c>
      <c r="L9" s="177">
        <f t="shared" si="2"/>
        <v>24066</v>
      </c>
      <c r="M9" s="178">
        <f t="shared" si="3"/>
        <v>54.113620807665981</v>
      </c>
      <c r="N9" s="178">
        <f t="shared" si="4"/>
        <v>54</v>
      </c>
      <c r="O9" s="178">
        <f t="shared" si="5"/>
        <v>55</v>
      </c>
      <c r="P9" s="178">
        <f t="shared" si="6"/>
        <v>0.11362080766598126</v>
      </c>
      <c r="Q9" s="178">
        <f t="shared" si="7"/>
        <v>0.88637919233401874</v>
      </c>
      <c r="R9" s="179">
        <f>IF(J9=1,VLOOKUP(N9,'Annuity Factors '!$K$10:$O$92,5, FALSE),VLOOKUP(N9,'Annuity Factors '!$A$10:$E$92,5,FALSE))</f>
        <v>6.11341</v>
      </c>
      <c r="S9" s="179">
        <f>IF(J9=1,VLOOKUP(O9,'Annuity Factors '!$K$10:$O$92,5, FALSE),VLOOKUP(O9,'Annuity Factors '!$A$10:$E$92,5,FALSE))</f>
        <v>6.5229999999999997</v>
      </c>
    </row>
    <row r="10" spans="1:19" x14ac:dyDescent="0.25">
      <c r="B10" s="1">
        <v>782</v>
      </c>
      <c r="C10" s="19">
        <f t="shared" si="0"/>
        <v>1404.2613141683773</v>
      </c>
      <c r="D10" s="172">
        <f>SUM('Yearly Pension'!$G10:$AW10) *E10</f>
        <v>20478.81083162217</v>
      </c>
      <c r="E10" s="171">
        <f t="shared" si="1"/>
        <v>1.9503629363449686</v>
      </c>
      <c r="F10" s="19">
        <f>VLOOKUP(I10,'Yearly Pension'!$C$3:$AX$81,48,FALSE)</f>
        <v>720</v>
      </c>
      <c r="G10" s="46"/>
      <c r="H10" s="11">
        <v>500</v>
      </c>
      <c r="I10" s="11">
        <v>782</v>
      </c>
      <c r="J10" s="11">
        <v>2</v>
      </c>
      <c r="K10" s="11">
        <v>19840201</v>
      </c>
      <c r="L10" s="177">
        <f t="shared" si="2"/>
        <v>30713</v>
      </c>
      <c r="M10" s="178">
        <f t="shared" si="3"/>
        <v>35.915126625598901</v>
      </c>
      <c r="N10" s="178">
        <f t="shared" si="4"/>
        <v>35</v>
      </c>
      <c r="O10" s="178">
        <f t="shared" si="5"/>
        <v>36</v>
      </c>
      <c r="P10" s="178">
        <f t="shared" si="6"/>
        <v>0.91512662559890146</v>
      </c>
      <c r="Q10" s="178">
        <f t="shared" si="7"/>
        <v>8.4873374401098545E-2</v>
      </c>
      <c r="R10" s="179">
        <f>IF(J10=1,VLOOKUP(N10,'Annuity Factors '!$K$10:$O$92,5, FALSE),VLOOKUP(N10,'Annuity Factors '!$A$10:$E$92,5,FALSE))</f>
        <v>1.83772</v>
      </c>
      <c r="S10" s="179">
        <f>IF(J10=1,VLOOKUP(O10,'Annuity Factors '!$K$10:$O$92,5, FALSE),VLOOKUP(O10,'Annuity Factors '!$A$10:$E$92,5,FALSE))</f>
        <v>1.9608099999999999</v>
      </c>
    </row>
    <row r="11" spans="1:19" x14ac:dyDescent="0.25">
      <c r="B11" s="1">
        <v>781</v>
      </c>
      <c r="C11" s="19">
        <f t="shared" si="0"/>
        <v>5721.3877305954829</v>
      </c>
      <c r="D11" s="172">
        <f>SUM('Yearly Pension'!$G11:$AW11) *E11</f>
        <v>85344.033648049284</v>
      </c>
      <c r="E11" s="171">
        <f t="shared" si="1"/>
        <v>7.9463718480492815</v>
      </c>
      <c r="F11" s="19">
        <f>VLOOKUP(I11,'Yearly Pension'!$C$3:$AX$81,48,FALSE)</f>
        <v>720</v>
      </c>
      <c r="G11" s="46"/>
      <c r="H11" s="11">
        <v>500</v>
      </c>
      <c r="I11" s="11">
        <v>781</v>
      </c>
      <c r="J11" s="11">
        <v>2</v>
      </c>
      <c r="K11" s="11">
        <v>19620825</v>
      </c>
      <c r="L11" s="177">
        <f t="shared" si="2"/>
        <v>22883</v>
      </c>
      <c r="M11" s="178">
        <f t="shared" si="3"/>
        <v>57.352498288843258</v>
      </c>
      <c r="N11" s="178">
        <f t="shared" si="4"/>
        <v>57</v>
      </c>
      <c r="O11" s="178">
        <f t="shared" si="5"/>
        <v>58</v>
      </c>
      <c r="P11" s="178">
        <f t="shared" si="6"/>
        <v>0.35249828884325751</v>
      </c>
      <c r="Q11" s="178">
        <f t="shared" si="7"/>
        <v>0.64750171115674249</v>
      </c>
      <c r="R11" s="179">
        <f>IF(J11=1,VLOOKUP(N11,'Annuity Factors '!$K$10:$O$92,5, FALSE),VLOOKUP(N11,'Annuity Factors '!$A$10:$E$92,5,FALSE))</f>
        <v>7.62547</v>
      </c>
      <c r="S11" s="179">
        <f>IF(J11=1,VLOOKUP(O11,'Annuity Factors '!$K$10:$O$92,5, FALSE),VLOOKUP(O11,'Annuity Factors '!$A$10:$E$92,5,FALSE))</f>
        <v>8.1210699999999996</v>
      </c>
    </row>
    <row r="12" spans="1:19" x14ac:dyDescent="0.25">
      <c r="B12" s="1">
        <v>780</v>
      </c>
      <c r="C12" s="19">
        <f t="shared" si="0"/>
        <v>1883.3250579055448</v>
      </c>
      <c r="D12" s="172">
        <f>SUM('Yearly Pension'!$G12:$AW12) *E12</f>
        <v>27622.100849281323</v>
      </c>
      <c r="E12" s="171">
        <f t="shared" si="1"/>
        <v>2.6157292470910343</v>
      </c>
      <c r="F12" s="19">
        <f>VLOOKUP(I12,'Yearly Pension'!$C$3:$AX$81,48,FALSE)</f>
        <v>720</v>
      </c>
      <c r="G12" s="46"/>
      <c r="H12" s="11">
        <v>500</v>
      </c>
      <c r="I12" s="11">
        <v>780</v>
      </c>
      <c r="J12" s="11">
        <v>1</v>
      </c>
      <c r="K12" s="11">
        <v>19791128</v>
      </c>
      <c r="L12" s="177">
        <f t="shared" si="2"/>
        <v>29187</v>
      </c>
      <c r="M12" s="178">
        <f t="shared" si="3"/>
        <v>40.093086926762489</v>
      </c>
      <c r="N12" s="178">
        <f t="shared" si="4"/>
        <v>40</v>
      </c>
      <c r="O12" s="178">
        <f t="shared" si="5"/>
        <v>41</v>
      </c>
      <c r="P12" s="178">
        <f t="shared" si="6"/>
        <v>9.3086926762488531E-2</v>
      </c>
      <c r="Q12" s="178">
        <f t="shared" si="7"/>
        <v>0.90691307323751147</v>
      </c>
      <c r="R12" s="179">
        <f>IF(J12=1,VLOOKUP(N12,'Annuity Factors '!$K$10:$O$92,5, FALSE),VLOOKUP(N12,'Annuity Factors '!$A$10:$E$92,5,FALSE))</f>
        <v>2.4658799999999998</v>
      </c>
      <c r="S12" s="179">
        <f>IF(J12=1,VLOOKUP(O12,'Annuity Factors '!$K$10:$O$92,5, FALSE),VLOOKUP(O12,'Annuity Factors '!$A$10:$E$92,5,FALSE))</f>
        <v>2.6311100000000001</v>
      </c>
    </row>
    <row r="13" spans="1:19" x14ac:dyDescent="0.25">
      <c r="B13" s="1">
        <v>779</v>
      </c>
      <c r="C13" s="19">
        <f t="shared" si="0"/>
        <v>4186.6885453798768</v>
      </c>
      <c r="D13" s="172">
        <f>SUM('Yearly Pension'!$G13:$AW13) *E13</f>
        <v>62102.546756468175</v>
      </c>
      <c r="E13" s="171">
        <f t="shared" si="1"/>
        <v>5.814845201916496</v>
      </c>
      <c r="F13" s="19">
        <f>VLOOKUP(I13,'Yearly Pension'!$C$3:$AX$81,48,FALSE)</f>
        <v>720</v>
      </c>
      <c r="G13" s="46"/>
      <c r="H13" s="11">
        <v>500</v>
      </c>
      <c r="I13" s="11">
        <v>779</v>
      </c>
      <c r="J13" s="11">
        <v>2</v>
      </c>
      <c r="K13" s="11">
        <v>19671004</v>
      </c>
      <c r="L13" s="177">
        <f t="shared" si="2"/>
        <v>24749</v>
      </c>
      <c r="M13" s="178">
        <f t="shared" si="3"/>
        <v>52.243668720054757</v>
      </c>
      <c r="N13" s="178">
        <f t="shared" si="4"/>
        <v>52</v>
      </c>
      <c r="O13" s="178">
        <f t="shared" si="5"/>
        <v>53</v>
      </c>
      <c r="P13" s="178">
        <f t="shared" si="6"/>
        <v>0.2436687200547567</v>
      </c>
      <c r="Q13" s="178">
        <f t="shared" si="7"/>
        <v>0.7563312799452433</v>
      </c>
      <c r="R13" s="179">
        <f>IF(J13=1,VLOOKUP(N13,'Annuity Factors '!$K$10:$O$92,5, FALSE),VLOOKUP(N13,'Annuity Factors '!$A$10:$E$92,5,FALSE))</f>
        <v>5.5343900000000001</v>
      </c>
      <c r="S13" s="179">
        <f>IF(J13=1,VLOOKUP(O13,'Annuity Factors '!$K$10:$O$92,5, FALSE),VLOOKUP(O13,'Annuity Factors '!$A$10:$E$92,5,FALSE))</f>
        <v>5.9052000000000007</v>
      </c>
    </row>
    <row r="14" spans="1:19" x14ac:dyDescent="0.25">
      <c r="B14" s="1">
        <v>778</v>
      </c>
      <c r="C14" s="19">
        <f t="shared" si="0"/>
        <v>4264.8772583162208</v>
      </c>
      <c r="D14" s="172">
        <f>SUM('Yearly Pension'!$G14:$AW14) *E14</f>
        <v>54732.591481724834</v>
      </c>
      <c r="E14" s="171">
        <f t="shared" si="1"/>
        <v>5.9234406365503069</v>
      </c>
      <c r="F14" s="19">
        <f>VLOOKUP(I14,'Yearly Pension'!$C$3:$AX$81,48,FALSE)</f>
        <v>720</v>
      </c>
      <c r="G14" s="46"/>
      <c r="H14" s="11">
        <v>500</v>
      </c>
      <c r="I14" s="11">
        <v>778</v>
      </c>
      <c r="J14" s="11">
        <v>1</v>
      </c>
      <c r="K14" s="11">
        <v>19660704</v>
      </c>
      <c r="L14" s="177">
        <f t="shared" si="2"/>
        <v>24292</v>
      </c>
      <c r="M14" s="178">
        <f t="shared" si="3"/>
        <v>53.494866529774129</v>
      </c>
      <c r="N14" s="178">
        <f t="shared" si="4"/>
        <v>53</v>
      </c>
      <c r="O14" s="178">
        <f t="shared" si="5"/>
        <v>54</v>
      </c>
      <c r="P14" s="178">
        <f t="shared" si="6"/>
        <v>0.49486652977412859</v>
      </c>
      <c r="Q14" s="178">
        <f t="shared" si="7"/>
        <v>0.50513347022587141</v>
      </c>
      <c r="R14" s="179">
        <f>IF(J14=1,VLOOKUP(N14,'Annuity Factors '!$K$10:$O$92,5, FALSE),VLOOKUP(N14,'Annuity Factors '!$A$10:$E$92,5,FALSE))</f>
        <v>5.7295299999999996</v>
      </c>
      <c r="S14" s="179">
        <f>IF(J14=1,VLOOKUP(O14,'Annuity Factors '!$K$10:$O$92,5, FALSE),VLOOKUP(O14,'Annuity Factors '!$A$10:$E$92,5,FALSE))</f>
        <v>6.11341</v>
      </c>
    </row>
    <row r="15" spans="1:19" x14ac:dyDescent="0.25">
      <c r="B15" s="1">
        <v>777</v>
      </c>
      <c r="C15" s="19">
        <f t="shared" si="0"/>
        <v>2939.6036008213555</v>
      </c>
      <c r="D15" s="172">
        <f>SUM('Yearly Pension'!$G15:$AW15) *E15</f>
        <v>43604.120078850108</v>
      </c>
      <c r="E15" s="171">
        <f t="shared" si="1"/>
        <v>4.0827827789185491</v>
      </c>
      <c r="F15" s="19">
        <f>VLOOKUP(I15,'Yearly Pension'!$C$3:$AX$81,48,FALSE)</f>
        <v>720</v>
      </c>
      <c r="G15" s="46"/>
      <c r="H15" s="11">
        <v>500</v>
      </c>
      <c r="I15" s="11">
        <v>777</v>
      </c>
      <c r="J15" s="11">
        <v>1</v>
      </c>
      <c r="K15" s="11">
        <v>19721008</v>
      </c>
      <c r="L15" s="177">
        <f t="shared" si="2"/>
        <v>26580</v>
      </c>
      <c r="M15" s="178">
        <f t="shared" si="3"/>
        <v>47.230663928815879</v>
      </c>
      <c r="N15" s="178">
        <f t="shared" si="4"/>
        <v>47</v>
      </c>
      <c r="O15" s="178">
        <f t="shared" si="5"/>
        <v>48</v>
      </c>
      <c r="P15" s="178">
        <f t="shared" si="6"/>
        <v>0.23066392881587916</v>
      </c>
      <c r="Q15" s="178">
        <f t="shared" si="7"/>
        <v>0.76933607118412084</v>
      </c>
      <c r="R15" s="179">
        <f>IF(J15=1,VLOOKUP(N15,'Annuity Factors '!$K$10:$O$92,5, FALSE),VLOOKUP(N15,'Annuity Factors '!$A$10:$E$92,5,FALSE))</f>
        <v>3.8826399999999999</v>
      </c>
      <c r="S15" s="179">
        <f>IF(J15=1,VLOOKUP(O15,'Annuity Factors '!$K$10:$O$92,5, FALSE),VLOOKUP(O15,'Annuity Factors '!$A$10:$E$92,5,FALSE))</f>
        <v>4.1427899999999998</v>
      </c>
    </row>
    <row r="16" spans="1:19" x14ac:dyDescent="0.25">
      <c r="B16" s="1">
        <v>776</v>
      </c>
      <c r="C16" s="19">
        <f t="shared" si="0"/>
        <v>7358.1912295687898</v>
      </c>
      <c r="D16" s="172">
        <f>SUM('Yearly Pension'!$G16:$AW16) *E16</f>
        <v>109759.68584106778</v>
      </c>
      <c r="E16" s="171">
        <f t="shared" si="1"/>
        <v>10.219710041067763</v>
      </c>
      <c r="F16" s="19">
        <f>VLOOKUP(I16,'Yearly Pension'!$C$3:$AX$81,48,FALSE)</f>
        <v>720</v>
      </c>
      <c r="G16" s="46"/>
      <c r="H16" s="11">
        <v>500</v>
      </c>
      <c r="I16" s="11">
        <v>776</v>
      </c>
      <c r="J16" s="11">
        <v>2</v>
      </c>
      <c r="K16" s="11">
        <v>19580511</v>
      </c>
      <c r="L16" s="177">
        <f t="shared" si="2"/>
        <v>21316</v>
      </c>
      <c r="M16" s="178">
        <f t="shared" si="3"/>
        <v>61.642710472279262</v>
      </c>
      <c r="N16" s="178">
        <f t="shared" si="4"/>
        <v>61</v>
      </c>
      <c r="O16" s="178">
        <f t="shared" si="5"/>
        <v>62</v>
      </c>
      <c r="P16" s="178">
        <f t="shared" si="6"/>
        <v>0.64271047227926204</v>
      </c>
      <c r="Q16" s="178">
        <f t="shared" si="7"/>
        <v>0.35728952772073796</v>
      </c>
      <c r="R16" s="179">
        <f>IF(J16=1,VLOOKUP(N16,'Annuity Factors '!$K$10:$O$92,5, FALSE),VLOOKUP(N16,'Annuity Factors '!$A$10:$E$92,5,FALSE))</f>
        <v>9.8098600000000005</v>
      </c>
      <c r="S16" s="179">
        <f>IF(J16=1,VLOOKUP(O16,'Annuity Factors '!$K$10:$O$92,5, FALSE),VLOOKUP(O16,'Annuity Factors '!$A$10:$E$92,5,FALSE))</f>
        <v>10.44755</v>
      </c>
    </row>
    <row r="17" spans="2:19" x14ac:dyDescent="0.25">
      <c r="B17" s="1">
        <v>775</v>
      </c>
      <c r="C17" s="19">
        <f t="shared" si="0"/>
        <v>6508.9904082135527</v>
      </c>
      <c r="D17" s="172">
        <f>SUM('Yearly Pension'!$G17:$AW17) *E17</f>
        <v>97634.856123203295</v>
      </c>
      <c r="E17" s="171">
        <f t="shared" si="1"/>
        <v>9.0402644558521565</v>
      </c>
      <c r="F17" s="19">
        <f>VLOOKUP(I17,'Yearly Pension'!$C$3:$AX$81,48,FALSE)</f>
        <v>720</v>
      </c>
      <c r="G17" s="46"/>
      <c r="H17" s="11">
        <v>500</v>
      </c>
      <c r="I17" s="11">
        <v>775</v>
      </c>
      <c r="J17" s="11">
        <v>2</v>
      </c>
      <c r="K17" s="11">
        <v>19600421</v>
      </c>
      <c r="L17" s="177">
        <f t="shared" si="2"/>
        <v>22027</v>
      </c>
      <c r="M17" s="178">
        <f t="shared" si="3"/>
        <v>59.696098562628336</v>
      </c>
      <c r="N17" s="178">
        <f t="shared" si="4"/>
        <v>59</v>
      </c>
      <c r="O17" s="178">
        <f t="shared" si="5"/>
        <v>60</v>
      </c>
      <c r="P17" s="178">
        <f t="shared" si="6"/>
        <v>0.69609856262833603</v>
      </c>
      <c r="Q17" s="178">
        <f t="shared" si="7"/>
        <v>0.30390143737166397</v>
      </c>
      <c r="R17" s="179">
        <f>IF(J17=1,VLOOKUP(N17,'Annuity Factors '!$K$10:$O$92,5, FALSE),VLOOKUP(N17,'Annuity Factors '!$A$10:$E$92,5,FALSE))</f>
        <v>8.6488900000000015</v>
      </c>
      <c r="S17" s="179">
        <f>IF(J17=1,VLOOKUP(O17,'Annuity Factors '!$K$10:$O$92,5, FALSE),VLOOKUP(O17,'Annuity Factors '!$A$10:$E$92,5,FALSE))</f>
        <v>9.2111300000000007</v>
      </c>
    </row>
    <row r="18" spans="2:19" x14ac:dyDescent="0.25">
      <c r="B18" s="1">
        <v>774</v>
      </c>
      <c r="C18" s="19">
        <f t="shared" si="0"/>
        <v>4219.3990127310062</v>
      </c>
      <c r="D18" s="172">
        <f>SUM('Yearly Pension'!$G18:$AW18) *E18</f>
        <v>63994.218359753599</v>
      </c>
      <c r="E18" s="171">
        <f t="shared" si="1"/>
        <v>5.8602764065708426</v>
      </c>
      <c r="F18" s="19">
        <f>VLOOKUP(I18,'Yearly Pension'!$C$3:$AX$81,48,FALSE)</f>
        <v>720</v>
      </c>
      <c r="G18" s="46"/>
      <c r="H18" s="11">
        <v>500</v>
      </c>
      <c r="I18" s="11">
        <v>774</v>
      </c>
      <c r="J18" s="11">
        <v>2</v>
      </c>
      <c r="K18" s="11">
        <v>19670214</v>
      </c>
      <c r="L18" s="177">
        <f t="shared" si="2"/>
        <v>24517</v>
      </c>
      <c r="M18" s="178">
        <f t="shared" si="3"/>
        <v>52.878850102669404</v>
      </c>
      <c r="N18" s="178">
        <f t="shared" si="4"/>
        <v>52</v>
      </c>
      <c r="O18" s="178">
        <f t="shared" si="5"/>
        <v>53</v>
      </c>
      <c r="P18" s="178">
        <f t="shared" si="6"/>
        <v>0.87885010266940355</v>
      </c>
      <c r="Q18" s="178">
        <f t="shared" si="7"/>
        <v>0.12114989733059645</v>
      </c>
      <c r="R18" s="179">
        <f>IF(J18=1,VLOOKUP(N18,'Annuity Factors '!$K$10:$O$92,5, FALSE),VLOOKUP(N18,'Annuity Factors '!$A$10:$E$92,5,FALSE))</f>
        <v>5.5343900000000001</v>
      </c>
      <c r="S18" s="179">
        <f>IF(J18=1,VLOOKUP(O18,'Annuity Factors '!$K$10:$O$92,5, FALSE),VLOOKUP(O18,'Annuity Factors '!$A$10:$E$92,5,FALSE))</f>
        <v>5.9052000000000007</v>
      </c>
    </row>
    <row r="19" spans="2:19" x14ac:dyDescent="0.25">
      <c r="B19" s="1">
        <v>772</v>
      </c>
      <c r="C19" s="19">
        <f t="shared" si="0"/>
        <v>2912.5522743326492</v>
      </c>
      <c r="D19" s="172">
        <f>SUM('Yearly Pension'!$G19:$AW19) *E19</f>
        <v>44901.84756262834</v>
      </c>
      <c r="E19" s="171">
        <f t="shared" si="1"/>
        <v>4.0452114921286793</v>
      </c>
      <c r="F19" s="19">
        <f>VLOOKUP(I19,'Yearly Pension'!$C$3:$AX$81,48,FALSE)</f>
        <v>720</v>
      </c>
      <c r="G19" s="46"/>
      <c r="H19" s="11">
        <v>500</v>
      </c>
      <c r="I19" s="11">
        <v>772</v>
      </c>
      <c r="J19" s="11">
        <v>1</v>
      </c>
      <c r="K19" s="11">
        <v>19720517</v>
      </c>
      <c r="L19" s="177">
        <f t="shared" si="2"/>
        <v>26436</v>
      </c>
      <c r="M19" s="178">
        <f t="shared" si="3"/>
        <v>47.624914442162904</v>
      </c>
      <c r="N19" s="178">
        <f t="shared" si="4"/>
        <v>47</v>
      </c>
      <c r="O19" s="178">
        <f t="shared" si="5"/>
        <v>48</v>
      </c>
      <c r="P19" s="178">
        <f t="shared" si="6"/>
        <v>0.62491444216290404</v>
      </c>
      <c r="Q19" s="178">
        <f t="shared" si="7"/>
        <v>0.37508555783709596</v>
      </c>
      <c r="R19" s="179">
        <f>IF(J19=1,VLOOKUP(N19,'Annuity Factors '!$K$10:$O$92,5, FALSE),VLOOKUP(N19,'Annuity Factors '!$A$10:$E$92,5,FALSE))</f>
        <v>3.8826399999999999</v>
      </c>
      <c r="S19" s="179">
        <f>IF(J19=1,VLOOKUP(O19,'Annuity Factors '!$K$10:$O$92,5, FALSE),VLOOKUP(O19,'Annuity Factors '!$A$10:$E$92,5,FALSE))</f>
        <v>4.1427899999999998</v>
      </c>
    </row>
    <row r="20" spans="2:19" x14ac:dyDescent="0.25">
      <c r="B20" s="1">
        <v>771</v>
      </c>
      <c r="C20" s="19">
        <f t="shared" si="0"/>
        <v>1526.8247999999996</v>
      </c>
      <c r="D20" s="172">
        <f>SUM('Yearly Pension'!$G20:$AW20) *E20</f>
        <v>23665.784399999993</v>
      </c>
      <c r="E20" s="171">
        <f t="shared" si="1"/>
        <v>2.1205899999999995</v>
      </c>
      <c r="F20" s="19">
        <f>VLOOKUP(I20,'Yearly Pension'!$C$3:$AX$81,48,FALSE)</f>
        <v>720</v>
      </c>
      <c r="G20" s="46"/>
      <c r="H20" s="11">
        <v>500</v>
      </c>
      <c r="I20" s="11">
        <v>771</v>
      </c>
      <c r="J20" s="11">
        <v>1</v>
      </c>
      <c r="K20" s="11">
        <v>19820901</v>
      </c>
      <c r="L20" s="177">
        <f t="shared" si="2"/>
        <v>30195</v>
      </c>
      <c r="M20" s="178">
        <f t="shared" si="3"/>
        <v>37.333333333333336</v>
      </c>
      <c r="N20" s="178">
        <f t="shared" si="4"/>
        <v>37</v>
      </c>
      <c r="O20" s="178">
        <f t="shared" si="5"/>
        <v>38</v>
      </c>
      <c r="P20" s="178">
        <f t="shared" si="6"/>
        <v>0.3333333333333357</v>
      </c>
      <c r="Q20" s="178">
        <f t="shared" si="7"/>
        <v>0.6666666666666643</v>
      </c>
      <c r="R20" s="179">
        <f>IF(J20=1,VLOOKUP(N20,'Annuity Factors '!$K$10:$O$92,5, FALSE),VLOOKUP(N20,'Annuity Factors '!$A$10:$E$92,5,FALSE))</f>
        <v>2.0299100000000001</v>
      </c>
      <c r="S20" s="179">
        <f>IF(J20=1,VLOOKUP(O20,'Annuity Factors '!$K$10:$O$92,5, FALSE),VLOOKUP(O20,'Annuity Factors '!$A$10:$E$92,5,FALSE))</f>
        <v>2.1659299999999999</v>
      </c>
    </row>
    <row r="21" spans="2:19" x14ac:dyDescent="0.25">
      <c r="B21" s="1">
        <v>768</v>
      </c>
      <c r="C21" s="19">
        <f t="shared" si="0"/>
        <v>5453.6368312114992</v>
      </c>
      <c r="D21" s="172">
        <f>SUM('Yearly Pension'!$G21:$AW21) *E21</f>
        <v>85440.310355646827</v>
      </c>
      <c r="E21" s="171">
        <f t="shared" si="1"/>
        <v>7.5744955989048606</v>
      </c>
      <c r="F21" s="19">
        <f>VLOOKUP(I21,'Yearly Pension'!$C$3:$AX$81,48,FALSE)</f>
        <v>720</v>
      </c>
      <c r="G21" s="46"/>
      <c r="H21" s="11">
        <v>500</v>
      </c>
      <c r="I21" s="11">
        <v>768</v>
      </c>
      <c r="J21" s="11">
        <v>2</v>
      </c>
      <c r="K21" s="11">
        <v>19631122</v>
      </c>
      <c r="L21" s="177">
        <f t="shared" si="2"/>
        <v>23337</v>
      </c>
      <c r="M21" s="178">
        <f t="shared" si="3"/>
        <v>56.109514031485283</v>
      </c>
      <c r="N21" s="178">
        <f t="shared" si="4"/>
        <v>56</v>
      </c>
      <c r="O21" s="178">
        <f t="shared" si="5"/>
        <v>57</v>
      </c>
      <c r="P21" s="178">
        <f t="shared" si="6"/>
        <v>0.10951403148528271</v>
      </c>
      <c r="Q21" s="178">
        <f t="shared" si="7"/>
        <v>0.89048596851471729</v>
      </c>
      <c r="R21" s="179">
        <f>IF(J21=1,VLOOKUP(N21,'Annuity Factors '!$K$10:$O$92,5, FALSE),VLOOKUP(N21,'Annuity Factors '!$A$10:$E$92,5,FALSE))</f>
        <v>7.1600099999999998</v>
      </c>
      <c r="S21" s="179">
        <f>IF(J21=1,VLOOKUP(O21,'Annuity Factors '!$K$10:$O$92,5, FALSE),VLOOKUP(O21,'Annuity Factors '!$A$10:$E$92,5,FALSE))</f>
        <v>7.62547</v>
      </c>
    </row>
    <row r="22" spans="2:19" x14ac:dyDescent="0.25">
      <c r="B22" s="1">
        <v>767</v>
      </c>
      <c r="C22" s="19">
        <f t="shared" si="0"/>
        <v>2252.6038127310067</v>
      </c>
      <c r="D22" s="172">
        <f>SUM('Yearly Pension'!$G22:$AW22) *E22</f>
        <v>35478.510050513352</v>
      </c>
      <c r="E22" s="171">
        <f t="shared" si="1"/>
        <v>3.1286164065708424</v>
      </c>
      <c r="F22" s="19">
        <f>VLOOKUP(I22,'Yearly Pension'!$C$3:$AX$81,48,FALSE)</f>
        <v>720</v>
      </c>
      <c r="G22" s="46"/>
      <c r="H22" s="11">
        <v>500</v>
      </c>
      <c r="I22" s="11">
        <v>767</v>
      </c>
      <c r="J22" s="11">
        <v>1</v>
      </c>
      <c r="K22" s="11">
        <v>19760503</v>
      </c>
      <c r="L22" s="177">
        <f t="shared" si="2"/>
        <v>27883</v>
      </c>
      <c r="M22" s="178">
        <f t="shared" si="3"/>
        <v>43.663244353182755</v>
      </c>
      <c r="N22" s="178">
        <f t="shared" si="4"/>
        <v>43</v>
      </c>
      <c r="O22" s="178">
        <f t="shared" si="5"/>
        <v>44</v>
      </c>
      <c r="P22" s="178">
        <f t="shared" si="6"/>
        <v>0.66324435318275476</v>
      </c>
      <c r="Q22" s="178">
        <f t="shared" si="7"/>
        <v>0.33675564681724524</v>
      </c>
      <c r="R22" s="179">
        <f>IF(J22=1,VLOOKUP(N22,'Annuity Factors '!$K$10:$O$92,5, FALSE),VLOOKUP(N22,'Annuity Factors '!$A$10:$E$92,5,FALSE))</f>
        <v>2.9954900000000002</v>
      </c>
      <c r="S22" s="179">
        <f>IF(J22=1,VLOOKUP(O22,'Annuity Factors '!$K$10:$O$92,5, FALSE),VLOOKUP(O22,'Annuity Factors '!$A$10:$E$92,5,FALSE))</f>
        <v>3.1962099999999998</v>
      </c>
    </row>
    <row r="23" spans="2:19" x14ac:dyDescent="0.25">
      <c r="B23" s="1">
        <v>766</v>
      </c>
      <c r="C23" s="19">
        <f t="shared" si="0"/>
        <v>4891.4646652977399</v>
      </c>
      <c r="D23" s="172">
        <f>SUM('Yearly Pension'!$G23:$AW23) *E23</f>
        <v>77855.812589322362</v>
      </c>
      <c r="E23" s="171">
        <f t="shared" si="1"/>
        <v>6.7937009240246393</v>
      </c>
      <c r="F23" s="19">
        <f>VLOOKUP(I23,'Yearly Pension'!$C$3:$AX$81,48,FALSE)</f>
        <v>720</v>
      </c>
      <c r="G23" s="46"/>
      <c r="H23" s="11">
        <v>500</v>
      </c>
      <c r="I23" s="11">
        <v>766</v>
      </c>
      <c r="J23" s="11">
        <v>1</v>
      </c>
      <c r="K23" s="11">
        <v>19640519</v>
      </c>
      <c r="L23" s="177">
        <f t="shared" si="2"/>
        <v>23516</v>
      </c>
      <c r="M23" s="178">
        <f t="shared" si="3"/>
        <v>55.619438740588635</v>
      </c>
      <c r="N23" s="178">
        <f t="shared" si="4"/>
        <v>55</v>
      </c>
      <c r="O23" s="178">
        <f t="shared" si="5"/>
        <v>56</v>
      </c>
      <c r="P23" s="178">
        <f t="shared" si="6"/>
        <v>0.61943874058863457</v>
      </c>
      <c r="Q23" s="178">
        <f t="shared" si="7"/>
        <v>0.38056125941136543</v>
      </c>
      <c r="R23" s="179">
        <f>IF(J23=1,VLOOKUP(N23,'Annuity Factors '!$K$10:$O$92,5, FALSE),VLOOKUP(N23,'Annuity Factors '!$A$10:$E$92,5,FALSE))</f>
        <v>6.5229999999999997</v>
      </c>
      <c r="S23" s="179">
        <f>IF(J23=1,VLOOKUP(O23,'Annuity Factors '!$K$10:$O$92,5, FALSE),VLOOKUP(O23,'Annuity Factors '!$A$10:$E$92,5,FALSE))</f>
        <v>6.9600099999999996</v>
      </c>
    </row>
    <row r="24" spans="2:19" x14ac:dyDescent="0.25">
      <c r="B24" s="1">
        <v>765</v>
      </c>
      <c r="C24" s="19">
        <f t="shared" si="0"/>
        <v>2070.8564870636551</v>
      </c>
      <c r="D24" s="172">
        <f>SUM('Yearly Pension'!$G24:$AW24) *E24</f>
        <v>138057.09913757702</v>
      </c>
      <c r="E24" s="171">
        <f t="shared" si="1"/>
        <v>11.504758261464751</v>
      </c>
      <c r="F24" s="19">
        <f>VLOOKUP(I24,'Yearly Pension'!$C$3:$AX$81,48,FALSE)</f>
        <v>180</v>
      </c>
      <c r="G24" s="46"/>
      <c r="H24" s="11">
        <v>500</v>
      </c>
      <c r="I24" s="11">
        <v>765</v>
      </c>
      <c r="J24" s="11">
        <v>1</v>
      </c>
      <c r="K24" s="11">
        <v>19550330</v>
      </c>
      <c r="L24" s="177">
        <f t="shared" si="2"/>
        <v>20178</v>
      </c>
      <c r="M24" s="178">
        <f t="shared" si="3"/>
        <v>64.758384668035589</v>
      </c>
      <c r="N24" s="178">
        <f t="shared" si="4"/>
        <v>64</v>
      </c>
      <c r="O24" s="178">
        <f t="shared" si="5"/>
        <v>65</v>
      </c>
      <c r="P24" s="178">
        <f t="shared" si="6"/>
        <v>0.75838466803558902</v>
      </c>
      <c r="Q24" s="178">
        <f t="shared" si="7"/>
        <v>0.24161533196441098</v>
      </c>
      <c r="R24" s="179">
        <f>IF(J24=1,VLOOKUP(N24,'Annuity Factors '!$K$10:$O$92,5, FALSE),VLOOKUP(N24,'Annuity Factors '!$A$10:$E$92,5,FALSE))</f>
        <v>11.64986</v>
      </c>
      <c r="S24" s="179">
        <f>IF(J24=1,VLOOKUP(O24,'Annuity Factors '!$K$10:$O$92,5, FALSE),VLOOKUP(O24,'Annuity Factors '!$A$10:$E$92,5,FALSE))</f>
        <v>11.458530000000001</v>
      </c>
    </row>
    <row r="25" spans="2:19" x14ac:dyDescent="0.25">
      <c r="B25" s="1">
        <v>762</v>
      </c>
      <c r="C25" s="19">
        <f t="shared" si="0"/>
        <v>3175.5530562628337</v>
      </c>
      <c r="D25" s="172">
        <f>SUM('Yearly Pension'!$G25:$AW25) *E25</f>
        <v>52925.884271047231</v>
      </c>
      <c r="E25" s="171">
        <f t="shared" si="1"/>
        <v>4.4104903559206026</v>
      </c>
      <c r="F25" s="19">
        <f>VLOOKUP(I25,'Yearly Pension'!$C$3:$AX$81,48,FALSE)</f>
        <v>720</v>
      </c>
      <c r="G25" s="46"/>
      <c r="H25" s="11">
        <v>500</v>
      </c>
      <c r="I25" s="11">
        <v>762</v>
      </c>
      <c r="J25" s="11">
        <v>1</v>
      </c>
      <c r="K25" s="11">
        <v>19711219</v>
      </c>
      <c r="L25" s="177">
        <f t="shared" si="2"/>
        <v>26286</v>
      </c>
      <c r="M25" s="178">
        <f t="shared" si="3"/>
        <v>48.035592060232716</v>
      </c>
      <c r="N25" s="178">
        <f t="shared" si="4"/>
        <v>48</v>
      </c>
      <c r="O25" s="178">
        <f t="shared" si="5"/>
        <v>49</v>
      </c>
      <c r="P25" s="178">
        <f t="shared" si="6"/>
        <v>3.5592060232715994E-2</v>
      </c>
      <c r="Q25" s="178">
        <f t="shared" si="7"/>
        <v>0.96440793976728401</v>
      </c>
      <c r="R25" s="179">
        <f>IF(J25=1,VLOOKUP(N25,'Annuity Factors '!$K$10:$O$92,5, FALSE),VLOOKUP(N25,'Annuity Factors '!$A$10:$E$92,5,FALSE))</f>
        <v>4.1427899999999998</v>
      </c>
      <c r="S25" s="179">
        <f>IF(J25=1,VLOOKUP(O25,'Annuity Factors '!$K$10:$O$92,5, FALSE),VLOOKUP(O25,'Annuity Factors '!$A$10:$E$92,5,FALSE))</f>
        <v>4.4203700000000001</v>
      </c>
    </row>
    <row r="26" spans="2:19" x14ac:dyDescent="0.25">
      <c r="B26" s="1">
        <v>758</v>
      </c>
      <c r="C26" s="19">
        <f t="shared" si="0"/>
        <v>2197.5027794661191</v>
      </c>
      <c r="D26" s="172">
        <f>SUM('Yearly Pension'!$G26:$AW26) *E26</f>
        <v>35709.420166324438</v>
      </c>
      <c r="E26" s="171">
        <f t="shared" si="1"/>
        <v>3.0520871937029432</v>
      </c>
      <c r="F26" s="19">
        <f>VLOOKUP(I26,'Yearly Pension'!$C$3:$AX$81,48,FALSE)</f>
        <v>720</v>
      </c>
      <c r="G26" s="46"/>
      <c r="H26" s="11">
        <v>500</v>
      </c>
      <c r="I26" s="11">
        <v>758</v>
      </c>
      <c r="J26" s="11">
        <v>2</v>
      </c>
      <c r="K26" s="11">
        <v>19771026</v>
      </c>
      <c r="L26" s="177">
        <f t="shared" si="2"/>
        <v>28424</v>
      </c>
      <c r="M26" s="178">
        <f t="shared" si="3"/>
        <v>42.182067077344286</v>
      </c>
      <c r="N26" s="178">
        <f t="shared" si="4"/>
        <v>42</v>
      </c>
      <c r="O26" s="178">
        <f t="shared" si="5"/>
        <v>43</v>
      </c>
      <c r="P26" s="178">
        <f t="shared" si="6"/>
        <v>0.18206707734428562</v>
      </c>
      <c r="Q26" s="178">
        <f t="shared" si="7"/>
        <v>0.81793292265571438</v>
      </c>
      <c r="R26" s="179">
        <f>IF(J26=1,VLOOKUP(N26,'Annuity Factors '!$K$10:$O$92,5, FALSE),VLOOKUP(N26,'Annuity Factors '!$A$10:$E$92,5,FALSE))</f>
        <v>2.8934899999999999</v>
      </c>
      <c r="S26" s="179">
        <f>IF(J26=1,VLOOKUP(O26,'Annuity Factors '!$K$10:$O$92,5, FALSE),VLOOKUP(O26,'Annuity Factors '!$A$10:$E$92,5,FALSE))</f>
        <v>3.0873900000000001</v>
      </c>
    </row>
    <row r="27" spans="2:19" x14ac:dyDescent="0.25">
      <c r="B27" s="1">
        <v>757</v>
      </c>
      <c r="C27" s="19">
        <f t="shared" si="0"/>
        <v>3129.4531170431219</v>
      </c>
      <c r="D27" s="172">
        <f>SUM('Yearly Pension'!$G27:$AW27) *E27</f>
        <v>51375.188671457916</v>
      </c>
      <c r="E27" s="171">
        <f t="shared" si="1"/>
        <v>4.3464626625598912</v>
      </c>
      <c r="F27" s="19">
        <f>VLOOKUP(I27,'Yearly Pension'!$C$3:$AX$81,48,FALSE)</f>
        <v>720</v>
      </c>
      <c r="G27" s="46"/>
      <c r="H27" s="11">
        <v>500</v>
      </c>
      <c r="I27" s="11">
        <v>757</v>
      </c>
      <c r="J27" s="11">
        <v>1</v>
      </c>
      <c r="K27" s="11">
        <v>19710408</v>
      </c>
      <c r="L27" s="177">
        <f t="shared" si="2"/>
        <v>26031</v>
      </c>
      <c r="M27" s="178">
        <f t="shared" si="3"/>
        <v>48.733744010951405</v>
      </c>
      <c r="N27" s="178">
        <f t="shared" si="4"/>
        <v>48</v>
      </c>
      <c r="O27" s="178">
        <f t="shared" si="5"/>
        <v>49</v>
      </c>
      <c r="P27" s="178">
        <f t="shared" si="6"/>
        <v>0.73374401095140485</v>
      </c>
      <c r="Q27" s="178">
        <f t="shared" si="7"/>
        <v>0.26625598904859515</v>
      </c>
      <c r="R27" s="179">
        <f>IF(J27=1,VLOOKUP(N27,'Annuity Factors '!$K$10:$O$92,5, FALSE),VLOOKUP(N27,'Annuity Factors '!$A$10:$E$92,5,FALSE))</f>
        <v>4.1427899999999998</v>
      </c>
      <c r="S27" s="179">
        <f>IF(J27=1,VLOOKUP(O27,'Annuity Factors '!$K$10:$O$92,5, FALSE),VLOOKUP(O27,'Annuity Factors '!$A$10:$E$92,5,FALSE))</f>
        <v>4.4203700000000001</v>
      </c>
    </row>
    <row r="28" spans="2:19" x14ac:dyDescent="0.25">
      <c r="B28" s="1">
        <v>756</v>
      </c>
      <c r="C28" s="19">
        <f t="shared" si="0"/>
        <v>3691.6799802874743</v>
      </c>
      <c r="D28" s="172">
        <f>SUM('Yearly Pension'!$G28:$AW28) *E28</f>
        <v>60297.439678028742</v>
      </c>
      <c r="E28" s="171">
        <f t="shared" si="1"/>
        <v>5.1273333059548252</v>
      </c>
      <c r="F28" s="19">
        <f>VLOOKUP(I28,'Yearly Pension'!$C$3:$AX$81,48,FALSE)</f>
        <v>720</v>
      </c>
      <c r="G28" s="46"/>
      <c r="H28" s="11">
        <v>500</v>
      </c>
      <c r="I28" s="11">
        <v>756</v>
      </c>
      <c r="J28" s="11">
        <v>2</v>
      </c>
      <c r="K28" s="11">
        <v>19690308</v>
      </c>
      <c r="L28" s="177">
        <f t="shared" si="2"/>
        <v>25270</v>
      </c>
      <c r="M28" s="178">
        <f t="shared" si="3"/>
        <v>50.817248459958932</v>
      </c>
      <c r="N28" s="178">
        <f t="shared" si="4"/>
        <v>50</v>
      </c>
      <c r="O28" s="178">
        <f t="shared" si="5"/>
        <v>51</v>
      </c>
      <c r="P28" s="178">
        <f t="shared" si="6"/>
        <v>0.81724845995893247</v>
      </c>
      <c r="Q28" s="178">
        <f t="shared" si="7"/>
        <v>0.18275154004106753</v>
      </c>
      <c r="R28" s="179">
        <f>IF(J28=1,VLOOKUP(N28,'Annuity Factors '!$K$10:$O$92,5, FALSE),VLOOKUP(N28,'Annuity Factors '!$A$10:$E$92,5,FALSE))</f>
        <v>4.8611800000000001</v>
      </c>
      <c r="S28" s="179">
        <f>IF(J28=1,VLOOKUP(O28,'Annuity Factors '!$K$10:$O$92,5, FALSE),VLOOKUP(O28,'Annuity Factors '!$A$10:$E$92,5,FALSE))</f>
        <v>5.1868499999999997</v>
      </c>
    </row>
    <row r="29" spans="2:19" x14ac:dyDescent="0.25">
      <c r="B29" s="1">
        <v>755</v>
      </c>
      <c r="C29" s="19">
        <f t="shared" si="0"/>
        <v>2456.3445486652972</v>
      </c>
      <c r="D29" s="172">
        <f>SUM('Yearly Pension'!$G29:$AW29) *E29</f>
        <v>40939.075811088289</v>
      </c>
      <c r="E29" s="171">
        <f t="shared" si="1"/>
        <v>3.4115896509240242</v>
      </c>
      <c r="F29" s="19">
        <f>VLOOKUP(I29,'Yearly Pension'!$C$3:$AX$81,48,FALSE)</f>
        <v>720</v>
      </c>
      <c r="G29" s="46"/>
      <c r="H29" s="11">
        <v>500</v>
      </c>
      <c r="I29" s="11">
        <v>755</v>
      </c>
      <c r="J29" s="11">
        <v>2</v>
      </c>
      <c r="K29" s="11">
        <v>19750714</v>
      </c>
      <c r="L29" s="177">
        <f t="shared" si="2"/>
        <v>27589</v>
      </c>
      <c r="M29" s="178">
        <f t="shared" si="3"/>
        <v>44.468172484599592</v>
      </c>
      <c r="N29" s="178">
        <f t="shared" si="4"/>
        <v>44</v>
      </c>
      <c r="O29" s="178">
        <f t="shared" si="5"/>
        <v>45</v>
      </c>
      <c r="P29" s="178">
        <f t="shared" si="6"/>
        <v>0.4681724845995916</v>
      </c>
      <c r="Q29" s="178">
        <f t="shared" si="7"/>
        <v>0.5318275154004084</v>
      </c>
      <c r="R29" s="179">
        <f>IF(J29=1,VLOOKUP(N29,'Annuity Factors '!$K$10:$O$92,5, FALSE),VLOOKUP(N29,'Annuity Factors '!$A$10:$E$92,5,FALSE))</f>
        <v>3.2942099999999996</v>
      </c>
      <c r="S29" s="179">
        <f>IF(J29=1,VLOOKUP(O29,'Annuity Factors '!$K$10:$O$92,5, FALSE),VLOOKUP(O29,'Annuity Factors '!$A$10:$E$92,5,FALSE))</f>
        <v>3.51492</v>
      </c>
    </row>
    <row r="30" spans="2:19" x14ac:dyDescent="0.25">
      <c r="B30" s="1">
        <v>754</v>
      </c>
      <c r="C30" s="19">
        <f t="shared" si="0"/>
        <v>3317.2468913384687</v>
      </c>
      <c r="D30" s="172">
        <f>SUM('Yearly Pension'!$G30:$AW30) *E30</f>
        <v>42214.951606067218</v>
      </c>
      <c r="E30" s="171">
        <f t="shared" si="1"/>
        <v>2.5384516563997264</v>
      </c>
      <c r="F30" s="19">
        <f>VLOOKUP(I30,'Yearly Pension'!$C$3:$AX$81,48,FALSE)</f>
        <v>1306.7993172039778</v>
      </c>
      <c r="G30" s="46"/>
      <c r="H30" s="11">
        <v>600</v>
      </c>
      <c r="I30" s="11">
        <v>754</v>
      </c>
      <c r="J30" s="11">
        <v>2</v>
      </c>
      <c r="K30" s="11">
        <v>19800108</v>
      </c>
      <c r="L30" s="177">
        <f t="shared" si="2"/>
        <v>29228</v>
      </c>
      <c r="M30" s="178">
        <f t="shared" si="3"/>
        <v>39.980835044490078</v>
      </c>
      <c r="N30" s="178">
        <f t="shared" si="4"/>
        <v>39</v>
      </c>
      <c r="O30" s="178">
        <f t="shared" si="5"/>
        <v>40</v>
      </c>
      <c r="P30" s="178">
        <f t="shared" si="6"/>
        <v>0.98083504449007819</v>
      </c>
      <c r="Q30" s="178">
        <f t="shared" si="7"/>
        <v>1.9164955509921811E-2</v>
      </c>
      <c r="R30" s="179">
        <f>IF(J30=1,VLOOKUP(N30,'Annuity Factors '!$K$10:$O$92,5, FALSE),VLOOKUP(N30,'Annuity Factors '!$A$10:$E$92,5,FALSE))</f>
        <v>2.3819300000000001</v>
      </c>
      <c r="S30" s="179">
        <f>IF(J30=1,VLOOKUP(O30,'Annuity Factors '!$K$10:$O$92,5, FALSE),VLOOKUP(O30,'Annuity Factors '!$A$10:$E$92,5,FALSE))</f>
        <v>2.5415099999999997</v>
      </c>
    </row>
    <row r="31" spans="2:19" x14ac:dyDescent="0.25">
      <c r="B31" s="1">
        <v>753</v>
      </c>
      <c r="C31" s="19">
        <f t="shared" si="0"/>
        <v>7612.0356483582973</v>
      </c>
      <c r="D31" s="172">
        <f>SUM('Yearly Pension'!$G31:$AW31) *E31</f>
        <v>94108.90981399978</v>
      </c>
      <c r="E31" s="171">
        <f t="shared" si="1"/>
        <v>5.7384497125256688</v>
      </c>
      <c r="F31" s="19">
        <f>VLOOKUP(I31,'Yearly Pension'!$C$3:$AX$81,48,FALSE)</f>
        <v>1326.4968815084389</v>
      </c>
      <c r="G31" s="46"/>
      <c r="H31" s="11">
        <v>600</v>
      </c>
      <c r="I31" s="11">
        <v>753</v>
      </c>
      <c r="J31" s="11">
        <v>2</v>
      </c>
      <c r="K31" s="11">
        <v>19670614</v>
      </c>
      <c r="L31" s="177">
        <f t="shared" si="2"/>
        <v>24637</v>
      </c>
      <c r="M31" s="178">
        <f t="shared" si="3"/>
        <v>52.550308008213555</v>
      </c>
      <c r="N31" s="178">
        <f t="shared" si="4"/>
        <v>52</v>
      </c>
      <c r="O31" s="178">
        <f t="shared" si="5"/>
        <v>53</v>
      </c>
      <c r="P31" s="178">
        <f t="shared" si="6"/>
        <v>0.55030800821355541</v>
      </c>
      <c r="Q31" s="178">
        <f t="shared" si="7"/>
        <v>0.44969199178644459</v>
      </c>
      <c r="R31" s="179">
        <f>IF(J31=1,VLOOKUP(N31,'Annuity Factors '!$K$10:$O$92,5, FALSE),VLOOKUP(N31,'Annuity Factors '!$A$10:$E$92,5,FALSE))</f>
        <v>5.5343900000000001</v>
      </c>
      <c r="S31" s="179">
        <f>IF(J31=1,VLOOKUP(O31,'Annuity Factors '!$K$10:$O$92,5, FALSE),VLOOKUP(O31,'Annuity Factors '!$A$10:$E$92,5,FALSE))</f>
        <v>5.9052000000000007</v>
      </c>
    </row>
    <row r="32" spans="2:19" x14ac:dyDescent="0.25">
      <c r="B32" s="1">
        <v>752</v>
      </c>
      <c r="C32" s="19">
        <f t="shared" si="0"/>
        <v>2933.0203244380614</v>
      </c>
      <c r="D32" s="172">
        <f>SUM('Yearly Pension'!$G32:$AW32) *E32</f>
        <v>36398.655296630837</v>
      </c>
      <c r="E32" s="171">
        <f t="shared" si="1"/>
        <v>2.1787497741273096</v>
      </c>
      <c r="F32" s="19">
        <f>VLOOKUP(I32,'Yearly Pension'!$C$3:$AX$81,48,FALSE)</f>
        <v>1346.1942070024411</v>
      </c>
      <c r="G32" s="46"/>
      <c r="H32" s="11">
        <v>600</v>
      </c>
      <c r="I32" s="11">
        <v>752</v>
      </c>
      <c r="J32" s="11">
        <v>2</v>
      </c>
      <c r="K32" s="11">
        <v>19820814</v>
      </c>
      <c r="L32" s="177">
        <f t="shared" si="2"/>
        <v>30177</v>
      </c>
      <c r="M32" s="178">
        <f t="shared" si="3"/>
        <v>37.382614647501711</v>
      </c>
      <c r="N32" s="178">
        <f t="shared" si="4"/>
        <v>37</v>
      </c>
      <c r="O32" s="178">
        <f t="shared" si="5"/>
        <v>38</v>
      </c>
      <c r="P32" s="178">
        <f t="shared" si="6"/>
        <v>0.38261464750171115</v>
      </c>
      <c r="Q32" s="178">
        <f t="shared" si="7"/>
        <v>0.61738535249828885</v>
      </c>
      <c r="R32" s="179">
        <f>IF(J32=1,VLOOKUP(N32,'Annuity Factors '!$K$10:$O$92,5, FALSE),VLOOKUP(N32,'Annuity Factors '!$A$10:$E$92,5,FALSE))</f>
        <v>2.0921799999999999</v>
      </c>
      <c r="S32" s="179">
        <f>IF(J32=1,VLOOKUP(O32,'Annuity Factors '!$K$10:$O$92,5, FALSE),VLOOKUP(O32,'Annuity Factors '!$A$10:$E$92,5,FALSE))</f>
        <v>2.2323999999999997</v>
      </c>
    </row>
    <row r="33" spans="2:19" x14ac:dyDescent="0.25">
      <c r="B33" s="1">
        <v>747</v>
      </c>
      <c r="C33" s="19">
        <f t="shared" si="0"/>
        <v>8202.751121061463</v>
      </c>
      <c r="D33" s="172">
        <f>SUM('Yearly Pension'!$G33:$AW33) *E33</f>
        <v>105502.66867510244</v>
      </c>
      <c r="E33" s="171">
        <f t="shared" si="1"/>
        <v>6.0054191170431208</v>
      </c>
      <c r="F33" s="19">
        <f>VLOOKUP(I33,'Yearly Pension'!$C$3:$AX$81,48,FALSE)</f>
        <v>1365.8915324964428</v>
      </c>
      <c r="G33" s="46"/>
      <c r="H33" s="11">
        <v>600</v>
      </c>
      <c r="I33" s="11">
        <v>747</v>
      </c>
      <c r="J33" s="11">
        <v>1</v>
      </c>
      <c r="K33" s="11">
        <v>19660920</v>
      </c>
      <c r="L33" s="177">
        <f t="shared" si="2"/>
        <v>24370</v>
      </c>
      <c r="M33" s="178">
        <f t="shared" si="3"/>
        <v>53.281314168377826</v>
      </c>
      <c r="N33" s="178">
        <f t="shared" si="4"/>
        <v>53</v>
      </c>
      <c r="O33" s="178">
        <f t="shared" si="5"/>
        <v>54</v>
      </c>
      <c r="P33" s="178">
        <f t="shared" si="6"/>
        <v>0.28131416837782552</v>
      </c>
      <c r="Q33" s="178">
        <f t="shared" si="7"/>
        <v>0.71868583162217448</v>
      </c>
      <c r="R33" s="179">
        <f>IF(J33=1,VLOOKUP(N33,'Annuity Factors '!$K$10:$O$92,5, FALSE),VLOOKUP(N33,'Annuity Factors '!$A$10:$E$92,5,FALSE))</f>
        <v>5.7295299999999996</v>
      </c>
      <c r="S33" s="179">
        <f>IF(J33=1,VLOOKUP(O33,'Annuity Factors '!$K$10:$O$92,5, FALSE),VLOOKUP(O33,'Annuity Factors '!$A$10:$E$92,5,FALSE))</f>
        <v>6.11341</v>
      </c>
    </row>
    <row r="34" spans="2:19" x14ac:dyDescent="0.25">
      <c r="B34" s="1">
        <v>746</v>
      </c>
      <c r="C34" s="19">
        <f t="shared" si="0"/>
        <v>16155.38090285917</v>
      </c>
      <c r="D34" s="172">
        <f>SUM('Yearly Pension'!$G34:$AW34) *E34</f>
        <v>207863.63941138724</v>
      </c>
      <c r="E34" s="171">
        <f t="shared" si="1"/>
        <v>11.659577665982203</v>
      </c>
      <c r="F34" s="19">
        <f>VLOOKUP(I34,'Yearly Pension'!$C$3:$AX$81,48,FALSE)</f>
        <v>1385.5888579904442</v>
      </c>
      <c r="G34" s="46"/>
      <c r="H34" s="11">
        <v>600</v>
      </c>
      <c r="I34" s="11">
        <v>746</v>
      </c>
      <c r="J34" s="11">
        <v>2</v>
      </c>
      <c r="K34" s="11">
        <v>19551230</v>
      </c>
      <c r="L34" s="177">
        <f t="shared" si="2"/>
        <v>20453</v>
      </c>
      <c r="M34" s="178">
        <f t="shared" si="3"/>
        <v>64.005475701574269</v>
      </c>
      <c r="N34" s="178">
        <f t="shared" si="4"/>
        <v>64</v>
      </c>
      <c r="O34" s="178">
        <f t="shared" si="5"/>
        <v>65</v>
      </c>
      <c r="P34" s="178">
        <f t="shared" si="6"/>
        <v>5.4757015742694648E-3</v>
      </c>
      <c r="Q34" s="178">
        <f t="shared" si="7"/>
        <v>0.99452429842573054</v>
      </c>
      <c r="R34" s="179">
        <f>IF(J34=1,VLOOKUP(N34,'Annuity Factors '!$K$10:$O$92,5, FALSE),VLOOKUP(N34,'Annuity Factors '!$A$10:$E$92,5,FALSE))</f>
        <v>11.84986</v>
      </c>
      <c r="S34" s="179">
        <f>IF(J34=1,VLOOKUP(O34,'Annuity Factors '!$K$10:$O$92,5, FALSE),VLOOKUP(O34,'Annuity Factors '!$A$10:$E$92,5,FALSE))</f>
        <v>11.658529999999999</v>
      </c>
    </row>
    <row r="35" spans="2:19" x14ac:dyDescent="0.25">
      <c r="B35" s="1">
        <v>743</v>
      </c>
      <c r="C35" s="19">
        <f t="shared" si="0"/>
        <v>4326.357861661254</v>
      </c>
      <c r="D35" s="172">
        <f>SUM('Yearly Pension'!$G35:$AW35) *E35</f>
        <v>56203.879425926454</v>
      </c>
      <c r="E35" s="171">
        <f t="shared" si="1"/>
        <v>3.0786306570841893</v>
      </c>
      <c r="F35" s="19">
        <f>VLOOKUP(I35,'Yearly Pension'!$C$3:$AX$81,48,FALSE)</f>
        <v>1405.2864222949054</v>
      </c>
      <c r="G35" s="46"/>
      <c r="H35" s="11">
        <v>600</v>
      </c>
      <c r="I35" s="11">
        <v>743</v>
      </c>
      <c r="J35" s="11">
        <v>2</v>
      </c>
      <c r="K35" s="11">
        <v>19771215</v>
      </c>
      <c r="L35" s="177">
        <f t="shared" si="2"/>
        <v>28474</v>
      </c>
      <c r="M35" s="178">
        <f t="shared" si="3"/>
        <v>42.045174537987677</v>
      </c>
      <c r="N35" s="178">
        <f t="shared" si="4"/>
        <v>42</v>
      </c>
      <c r="O35" s="178">
        <f t="shared" si="5"/>
        <v>43</v>
      </c>
      <c r="P35" s="178">
        <f t="shared" si="6"/>
        <v>4.5174537987676899E-2</v>
      </c>
      <c r="Q35" s="178">
        <f t="shared" si="7"/>
        <v>0.9548254620123231</v>
      </c>
      <c r="R35" s="179">
        <f>IF(J35=1,VLOOKUP(N35,'Annuity Factors '!$K$10:$O$92,5, FALSE),VLOOKUP(N35,'Annuity Factors '!$A$10:$E$92,5,FALSE))</f>
        <v>2.8934899999999999</v>
      </c>
      <c r="S35" s="179">
        <f>IF(J35=1,VLOOKUP(O35,'Annuity Factors '!$K$10:$O$92,5, FALSE),VLOOKUP(O35,'Annuity Factors '!$A$10:$E$92,5,FALSE))</f>
        <v>3.0873900000000001</v>
      </c>
    </row>
    <row r="36" spans="2:19" x14ac:dyDescent="0.25">
      <c r="B36" s="1">
        <v>742</v>
      </c>
      <c r="C36" s="19">
        <f t="shared" si="0"/>
        <v>9118.5931352051848</v>
      </c>
      <c r="D36" s="172">
        <f>SUM('Yearly Pension'!$G36:$AW36) *E36</f>
        <v>119209.24103922518</v>
      </c>
      <c r="E36" s="171">
        <f t="shared" si="1"/>
        <v>6.3990857084188901</v>
      </c>
      <c r="F36" s="19">
        <f>VLOOKUP(I36,'Yearly Pension'!$C$3:$AX$81,48,FALSE)</f>
        <v>1424.9837477889073</v>
      </c>
      <c r="G36" s="46"/>
      <c r="H36" s="11">
        <v>600</v>
      </c>
      <c r="I36" s="11">
        <v>742</v>
      </c>
      <c r="J36" s="11">
        <v>1</v>
      </c>
      <c r="K36" s="11">
        <v>19650912</v>
      </c>
      <c r="L36" s="177">
        <f t="shared" si="2"/>
        <v>23997</v>
      </c>
      <c r="M36" s="178">
        <f t="shared" si="3"/>
        <v>54.3025325119781</v>
      </c>
      <c r="N36" s="178">
        <f t="shared" si="4"/>
        <v>54</v>
      </c>
      <c r="O36" s="178">
        <f t="shared" si="5"/>
        <v>55</v>
      </c>
      <c r="P36" s="178">
        <f t="shared" si="6"/>
        <v>0.30253251197810016</v>
      </c>
      <c r="Q36" s="178">
        <f t="shared" si="7"/>
        <v>0.69746748802189984</v>
      </c>
      <c r="R36" s="179">
        <f>IF(J36=1,VLOOKUP(N36,'Annuity Factors '!$K$10:$O$92,5, FALSE),VLOOKUP(N36,'Annuity Factors '!$A$10:$E$92,5,FALSE))</f>
        <v>6.11341</v>
      </c>
      <c r="S36" s="179">
        <f>IF(J36=1,VLOOKUP(O36,'Annuity Factors '!$K$10:$O$92,5, FALSE),VLOOKUP(O36,'Annuity Factors '!$A$10:$E$92,5,FALSE))</f>
        <v>6.5229999999999997</v>
      </c>
    </row>
    <row r="37" spans="2:19" x14ac:dyDescent="0.25">
      <c r="B37" s="1">
        <v>740</v>
      </c>
      <c r="C37" s="19">
        <f t="shared" si="0"/>
        <v>5141.6424122503931</v>
      </c>
      <c r="D37" s="172">
        <f>SUM('Yearly Pension'!$G37:$AW37) *E37</f>
        <v>67263.335010210401</v>
      </c>
      <c r="E37" s="171">
        <f t="shared" si="1"/>
        <v>3.5111433059548252</v>
      </c>
      <c r="F37" s="19">
        <f>VLOOKUP(I37,'Yearly Pension'!$C$3:$AX$81,48,FALSE)</f>
        <v>1464.37839877691</v>
      </c>
      <c r="G37" s="46"/>
      <c r="H37" s="11">
        <v>600</v>
      </c>
      <c r="I37" s="11">
        <v>740</v>
      </c>
      <c r="J37" s="11">
        <v>2</v>
      </c>
      <c r="K37" s="11">
        <v>19750107</v>
      </c>
      <c r="L37" s="177">
        <f t="shared" si="2"/>
        <v>27401</v>
      </c>
      <c r="M37" s="178">
        <f t="shared" si="3"/>
        <v>44.982888432580424</v>
      </c>
      <c r="N37" s="178">
        <f t="shared" si="4"/>
        <v>44</v>
      </c>
      <c r="O37" s="178">
        <f t="shared" si="5"/>
        <v>45</v>
      </c>
      <c r="P37" s="178">
        <f t="shared" si="6"/>
        <v>0.98288843258042391</v>
      </c>
      <c r="Q37" s="178">
        <f t="shared" si="7"/>
        <v>1.711156741957609E-2</v>
      </c>
      <c r="R37" s="179">
        <f>IF(J37=1,VLOOKUP(N37,'Annuity Factors '!$K$10:$O$92,5, FALSE),VLOOKUP(N37,'Annuity Factors '!$A$10:$E$92,5,FALSE))</f>
        <v>3.2942099999999996</v>
      </c>
      <c r="S37" s="179">
        <f>IF(J37=1,VLOOKUP(O37,'Annuity Factors '!$K$10:$O$92,5, FALSE),VLOOKUP(O37,'Annuity Factors '!$A$10:$E$92,5,FALSE))</f>
        <v>3.51492</v>
      </c>
    </row>
    <row r="38" spans="2:19" x14ac:dyDescent="0.25">
      <c r="B38" s="1">
        <v>734</v>
      </c>
      <c r="C38" s="19">
        <f t="shared" si="0"/>
        <v>17723.466884229587</v>
      </c>
      <c r="D38" s="172">
        <f>SUM('Yearly Pension'!$G38:$AW38) *E38</f>
        <v>236844.547919487</v>
      </c>
      <c r="E38" s="171">
        <f t="shared" si="1"/>
        <v>11.785996611909653</v>
      </c>
      <c r="F38" s="19">
        <f>VLOOKUP(I38,'Yearly Pension'!$C$3:$AX$81,48,FALSE)</f>
        <v>1503.7732885753733</v>
      </c>
      <c r="G38" s="46"/>
      <c r="H38" s="11">
        <v>600</v>
      </c>
      <c r="I38" s="11">
        <v>734</v>
      </c>
      <c r="J38" s="11">
        <v>2</v>
      </c>
      <c r="K38" s="11">
        <v>19561129</v>
      </c>
      <c r="L38" s="177">
        <f t="shared" si="2"/>
        <v>20788</v>
      </c>
      <c r="M38" s="178">
        <f t="shared" si="3"/>
        <v>63.088295687885008</v>
      </c>
      <c r="N38" s="178">
        <f t="shared" si="4"/>
        <v>63</v>
      </c>
      <c r="O38" s="178">
        <f t="shared" si="5"/>
        <v>64</v>
      </c>
      <c r="P38" s="178">
        <f t="shared" si="6"/>
        <v>8.8295687885008078E-2</v>
      </c>
      <c r="Q38" s="178">
        <f t="shared" si="7"/>
        <v>0.91170431211499192</v>
      </c>
      <c r="R38" s="179">
        <f>IF(J38=1,VLOOKUP(N38,'Annuity Factors '!$K$10:$O$92,5, FALSE),VLOOKUP(N38,'Annuity Factors '!$A$10:$E$92,5,FALSE))</f>
        <v>11.126569999999999</v>
      </c>
      <c r="S38" s="179">
        <f>IF(J38=1,VLOOKUP(O38,'Annuity Factors '!$K$10:$O$92,5, FALSE),VLOOKUP(O38,'Annuity Factors '!$A$10:$E$92,5,FALSE))</f>
        <v>11.84986</v>
      </c>
    </row>
    <row r="39" spans="2:19" x14ac:dyDescent="0.25">
      <c r="B39" s="1">
        <v>732</v>
      </c>
      <c r="C39" s="19">
        <f t="shared" si="0"/>
        <v>4775.5644701887268</v>
      </c>
      <c r="D39" s="172">
        <f>SUM('Yearly Pension'!$G39:$AW39) *E39</f>
        <v>64744.275219444236</v>
      </c>
      <c r="E39" s="171">
        <f t="shared" si="1"/>
        <v>3.1346613620807657</v>
      </c>
      <c r="F39" s="19">
        <f>VLOOKUP(I39,'Yearly Pension'!$C$3:$AX$81,48,FALSE)</f>
        <v>1523.4706140693747</v>
      </c>
      <c r="G39" s="46"/>
      <c r="H39" s="11">
        <v>600</v>
      </c>
      <c r="I39" s="11">
        <v>732</v>
      </c>
      <c r="J39" s="11">
        <v>1</v>
      </c>
      <c r="K39" s="11">
        <v>19760422</v>
      </c>
      <c r="L39" s="177">
        <f t="shared" si="2"/>
        <v>27872</v>
      </c>
      <c r="M39" s="178">
        <f t="shared" si="3"/>
        <v>43.693360711841201</v>
      </c>
      <c r="N39" s="178">
        <f t="shared" si="4"/>
        <v>43</v>
      </c>
      <c r="O39" s="178">
        <f t="shared" si="5"/>
        <v>44</v>
      </c>
      <c r="P39" s="178">
        <f t="shared" si="6"/>
        <v>0.69336071184120129</v>
      </c>
      <c r="Q39" s="178">
        <f t="shared" si="7"/>
        <v>0.30663928815879871</v>
      </c>
      <c r="R39" s="179">
        <f>IF(J39=1,VLOOKUP(N39,'Annuity Factors '!$K$10:$O$92,5, FALSE),VLOOKUP(N39,'Annuity Factors '!$A$10:$E$92,5,FALSE))</f>
        <v>2.9954900000000002</v>
      </c>
      <c r="S39" s="179">
        <f>IF(J39=1,VLOOKUP(O39,'Annuity Factors '!$K$10:$O$92,5, FALSE),VLOOKUP(O39,'Annuity Factors '!$A$10:$E$92,5,FALSE))</f>
        <v>3.1962099999999998</v>
      </c>
    </row>
    <row r="40" spans="2:19" x14ac:dyDescent="0.25">
      <c r="B40" s="1">
        <v>730</v>
      </c>
      <c r="C40" s="19">
        <f t="shared" si="0"/>
        <v>7563.4444912235886</v>
      </c>
      <c r="D40" s="172">
        <f>SUM('Yearly Pension'!$G40:$AW40) *E40</f>
        <v>103137.87420192962</v>
      </c>
      <c r="E40" s="171">
        <f t="shared" si="1"/>
        <v>4.9012452224503757</v>
      </c>
      <c r="F40" s="19">
        <f>VLOOKUP(I40,'Yearly Pension'!$C$3:$AX$81,48,FALSE)</f>
        <v>1543.1679395633764</v>
      </c>
      <c r="G40" s="46"/>
      <c r="H40" s="11">
        <v>600</v>
      </c>
      <c r="I40" s="11">
        <v>730</v>
      </c>
      <c r="J40" s="11">
        <v>1</v>
      </c>
      <c r="K40" s="11">
        <v>19690601</v>
      </c>
      <c r="L40" s="177">
        <f t="shared" si="2"/>
        <v>25355</v>
      </c>
      <c r="M40" s="178">
        <f t="shared" si="3"/>
        <v>50.5845311430527</v>
      </c>
      <c r="N40" s="178">
        <f t="shared" si="4"/>
        <v>50</v>
      </c>
      <c r="O40" s="178">
        <f t="shared" si="5"/>
        <v>51</v>
      </c>
      <c r="P40" s="178">
        <f t="shared" si="6"/>
        <v>0.58453114305270049</v>
      </c>
      <c r="Q40" s="178">
        <f t="shared" si="7"/>
        <v>0.41546885694729951</v>
      </c>
      <c r="R40" s="179">
        <f>IF(J40=1,VLOOKUP(N40,'Annuity Factors '!$K$10:$O$92,5, FALSE),VLOOKUP(N40,'Annuity Factors '!$A$10:$E$92,5,FALSE))</f>
        <v>4.7165099999999995</v>
      </c>
      <c r="S40" s="179">
        <f>IF(J40=1,VLOOKUP(O40,'Annuity Factors '!$K$10:$O$92,5, FALSE),VLOOKUP(O40,'Annuity Factors '!$A$10:$E$92,5,FALSE))</f>
        <v>5.0325500000000005</v>
      </c>
    </row>
    <row r="41" spans="2:19" x14ac:dyDescent="0.25">
      <c r="B41" s="1">
        <v>729</v>
      </c>
      <c r="C41" s="19">
        <f t="shared" si="0"/>
        <v>4642.5122932817912</v>
      </c>
      <c r="D41" s="172">
        <f>SUM('Yearly Pension'!$G41:$AW41) *E41</f>
        <v>63673.725878706646</v>
      </c>
      <c r="E41" s="171">
        <f t="shared" si="1"/>
        <v>2.9705129979466114</v>
      </c>
      <c r="F41" s="19">
        <f>VLOOKUP(I41,'Yearly Pension'!$C$3:$AX$81,48,FALSE)</f>
        <v>1562.8655038678376</v>
      </c>
      <c r="G41" s="46"/>
      <c r="H41" s="11">
        <v>600</v>
      </c>
      <c r="I41" s="11">
        <v>729</v>
      </c>
      <c r="J41" s="11">
        <v>1</v>
      </c>
      <c r="K41" s="11">
        <v>19771113</v>
      </c>
      <c r="L41" s="177">
        <f t="shared" si="2"/>
        <v>28442</v>
      </c>
      <c r="M41" s="178">
        <f t="shared" si="3"/>
        <v>42.13278576317591</v>
      </c>
      <c r="N41" s="178">
        <f t="shared" si="4"/>
        <v>42</v>
      </c>
      <c r="O41" s="178">
        <f t="shared" si="5"/>
        <v>43</v>
      </c>
      <c r="P41" s="178">
        <f t="shared" si="6"/>
        <v>0.13278576317591018</v>
      </c>
      <c r="Q41" s="178">
        <f t="shared" si="7"/>
        <v>0.86721423682408982</v>
      </c>
      <c r="R41" s="179">
        <f>IF(J41=1,VLOOKUP(N41,'Annuity Factors '!$K$10:$O$92,5, FALSE),VLOOKUP(N41,'Annuity Factors '!$A$10:$E$92,5,FALSE))</f>
        <v>2.8073899999999998</v>
      </c>
      <c r="S41" s="179">
        <f>IF(J41=1,VLOOKUP(O41,'Annuity Factors '!$K$10:$O$92,5, FALSE),VLOOKUP(O41,'Annuity Factors '!$A$10:$E$92,5,FALSE))</f>
        <v>2.9954900000000002</v>
      </c>
    </row>
    <row r="42" spans="2:19" x14ac:dyDescent="0.25">
      <c r="B42" s="1">
        <v>726</v>
      </c>
      <c r="C42" s="19">
        <f t="shared" si="0"/>
        <v>6178.65011018923</v>
      </c>
      <c r="D42" s="172">
        <f>SUM('Yearly Pension'!$G42:$AW42) *E42</f>
        <v>255692.24582902744</v>
      </c>
      <c r="E42" s="171">
        <f t="shared" si="1"/>
        <v>11.71261575633128</v>
      </c>
      <c r="F42" s="19">
        <f>VLOOKUP(I42,'Yearly Pension'!$C$3:$AX$81,48,FALSE)</f>
        <v>527.52094312061308</v>
      </c>
      <c r="G42" s="46"/>
      <c r="H42" s="11">
        <v>600</v>
      </c>
      <c r="I42" s="11">
        <v>726</v>
      </c>
      <c r="J42" s="11">
        <v>2</v>
      </c>
      <c r="K42" s="11">
        <v>19550414</v>
      </c>
      <c r="L42" s="177">
        <f t="shared" si="2"/>
        <v>20193</v>
      </c>
      <c r="M42" s="178">
        <f t="shared" si="3"/>
        <v>64.717316906228604</v>
      </c>
      <c r="N42" s="178">
        <f t="shared" si="4"/>
        <v>64</v>
      </c>
      <c r="O42" s="178">
        <f t="shared" si="5"/>
        <v>65</v>
      </c>
      <c r="P42" s="178">
        <f t="shared" si="6"/>
        <v>0.71731690622860356</v>
      </c>
      <c r="Q42" s="178">
        <f t="shared" si="7"/>
        <v>0.28268309377139644</v>
      </c>
      <c r="R42" s="179">
        <f>IF(J42=1,VLOOKUP(N42,'Annuity Factors '!$K$10:$O$92,5, FALSE),VLOOKUP(N42,'Annuity Factors '!$A$10:$E$92,5,FALSE))</f>
        <v>11.84986</v>
      </c>
      <c r="S42" s="179">
        <f>IF(J42=1,VLOOKUP(O42,'Annuity Factors '!$K$10:$O$92,5, FALSE),VLOOKUP(O42,'Annuity Factors '!$A$10:$E$92,5,FALSE))</f>
        <v>11.658529999999999</v>
      </c>
    </row>
    <row r="43" spans="2:19" x14ac:dyDescent="0.25">
      <c r="B43" s="1">
        <v>721</v>
      </c>
      <c r="C43" s="19">
        <f t="shared" si="0"/>
        <v>14741.361739002859</v>
      </c>
      <c r="D43" s="172">
        <f>SUM('Yearly Pension'!$G43:$AW43) *E43</f>
        <v>209256.79818516015</v>
      </c>
      <c r="E43" s="171">
        <f t="shared" si="1"/>
        <v>9.2003546954141022</v>
      </c>
      <c r="F43" s="19">
        <f>VLOOKUP(I43,'Yearly Pension'!$C$3:$AX$81,48,FALSE)</f>
        <v>1602.2601548558405</v>
      </c>
      <c r="G43" s="46"/>
      <c r="H43" s="11">
        <v>600</v>
      </c>
      <c r="I43" s="11">
        <v>721</v>
      </c>
      <c r="J43" s="11">
        <v>2</v>
      </c>
      <c r="K43" s="11">
        <v>19600108</v>
      </c>
      <c r="L43" s="177">
        <f t="shared" si="2"/>
        <v>21923</v>
      </c>
      <c r="M43" s="178">
        <f t="shared" si="3"/>
        <v>59.980835044490078</v>
      </c>
      <c r="N43" s="178">
        <f t="shared" si="4"/>
        <v>59</v>
      </c>
      <c r="O43" s="178">
        <f t="shared" si="5"/>
        <v>60</v>
      </c>
      <c r="P43" s="178">
        <f t="shared" si="6"/>
        <v>0.98083504449007819</v>
      </c>
      <c r="Q43" s="178">
        <f t="shared" si="7"/>
        <v>1.9164955509921811E-2</v>
      </c>
      <c r="R43" s="179">
        <f>IF(J43=1,VLOOKUP(N43,'Annuity Factors '!$K$10:$O$92,5, FALSE),VLOOKUP(N43,'Annuity Factors '!$A$10:$E$92,5,FALSE))</f>
        <v>8.6488900000000015</v>
      </c>
      <c r="S43" s="179">
        <f>IF(J43=1,VLOOKUP(O43,'Annuity Factors '!$K$10:$O$92,5, FALSE),VLOOKUP(O43,'Annuity Factors '!$A$10:$E$92,5,FALSE))</f>
        <v>9.2111300000000007</v>
      </c>
    </row>
    <row r="44" spans="2:19" x14ac:dyDescent="0.25">
      <c r="B44" s="1">
        <v>718</v>
      </c>
      <c r="C44" s="19">
        <f t="shared" si="0"/>
        <v>12061.761616936867</v>
      </c>
      <c r="D44" s="172">
        <f>SUM('Yearly Pension'!$G44:$AW44) *E44</f>
        <v>163777.81126363322</v>
      </c>
      <c r="E44" s="171">
        <f t="shared" si="1"/>
        <v>7.4365461259411374</v>
      </c>
      <c r="F44" s="19">
        <f>VLOOKUP(I44,'Yearly Pension'!$C$3:$AX$81,48,FALSE)</f>
        <v>1621.9574803498422</v>
      </c>
      <c r="G44" s="46"/>
      <c r="H44" s="11">
        <v>600</v>
      </c>
      <c r="I44" s="11">
        <v>718</v>
      </c>
      <c r="J44" s="11">
        <v>2</v>
      </c>
      <c r="K44" s="11">
        <v>19630529</v>
      </c>
      <c r="L44" s="177">
        <f t="shared" si="2"/>
        <v>23160</v>
      </c>
      <c r="M44" s="178">
        <f t="shared" si="3"/>
        <v>56.594113620807668</v>
      </c>
      <c r="N44" s="178">
        <f t="shared" si="4"/>
        <v>56</v>
      </c>
      <c r="O44" s="178">
        <f t="shared" si="5"/>
        <v>57</v>
      </c>
      <c r="P44" s="178">
        <f t="shared" si="6"/>
        <v>0.5941136208076685</v>
      </c>
      <c r="Q44" s="178">
        <f t="shared" si="7"/>
        <v>0.4058863791923315</v>
      </c>
      <c r="R44" s="179">
        <f>IF(J44=1,VLOOKUP(N44,'Annuity Factors '!$K$10:$O$92,5, FALSE),VLOOKUP(N44,'Annuity Factors '!$A$10:$E$92,5,FALSE))</f>
        <v>7.1600099999999998</v>
      </c>
      <c r="S44" s="179">
        <f>IF(J44=1,VLOOKUP(O44,'Annuity Factors '!$K$10:$O$92,5, FALSE),VLOOKUP(O44,'Annuity Factors '!$A$10:$E$92,5,FALSE))</f>
        <v>7.62547</v>
      </c>
    </row>
    <row r="45" spans="2:19" x14ac:dyDescent="0.25">
      <c r="B45" s="1">
        <v>714</v>
      </c>
      <c r="C45" s="19">
        <f t="shared" si="0"/>
        <v>11029.730947928518</v>
      </c>
      <c r="D45" s="172">
        <f>SUM('Yearly Pension'!$G45:$AW45) *E45</f>
        <v>153113.26219029803</v>
      </c>
      <c r="E45" s="171">
        <f t="shared" si="1"/>
        <v>6.7186654004106785</v>
      </c>
      <c r="F45" s="19">
        <f>VLOOKUP(I45,'Yearly Pension'!$C$3:$AX$81,48,FALSE)</f>
        <v>1641.6550446543038</v>
      </c>
      <c r="G45" s="46"/>
      <c r="H45" s="11">
        <v>600</v>
      </c>
      <c r="I45" s="11">
        <v>714</v>
      </c>
      <c r="J45" s="11">
        <v>2</v>
      </c>
      <c r="K45" s="11">
        <v>19650104</v>
      </c>
      <c r="L45" s="177">
        <f t="shared" si="2"/>
        <v>23746</v>
      </c>
      <c r="M45" s="178">
        <f t="shared" si="3"/>
        <v>54.989733059548257</v>
      </c>
      <c r="N45" s="178">
        <f t="shared" si="4"/>
        <v>54</v>
      </c>
      <c r="O45" s="178">
        <f t="shared" si="5"/>
        <v>55</v>
      </c>
      <c r="P45" s="178">
        <f t="shared" si="6"/>
        <v>0.98973305954825719</v>
      </c>
      <c r="Q45" s="178">
        <f t="shared" si="7"/>
        <v>1.0266940451742812E-2</v>
      </c>
      <c r="R45" s="179">
        <f>IF(J45=1,VLOOKUP(N45,'Annuity Factors '!$K$10:$O$92,5, FALSE),VLOOKUP(N45,'Annuity Factors '!$A$10:$E$92,5,FALSE))</f>
        <v>6.3008100000000002</v>
      </c>
      <c r="S45" s="179">
        <f>IF(J45=1,VLOOKUP(O45,'Annuity Factors '!$K$10:$O$92,5, FALSE),VLOOKUP(O45,'Annuity Factors '!$A$10:$E$92,5,FALSE))</f>
        <v>6.7229999999999999</v>
      </c>
    </row>
    <row r="46" spans="2:19" x14ac:dyDescent="0.25">
      <c r="B46" s="1">
        <v>709</v>
      </c>
      <c r="C46" s="19">
        <f t="shared" si="0"/>
        <v>5551.5888280342942</v>
      </c>
      <c r="D46" s="172">
        <f>SUM('Yearly Pension'!$G46:$AW46) *E46</f>
        <v>83202.490312163893</v>
      </c>
      <c r="E46" s="171">
        <f t="shared" si="1"/>
        <v>3.3416082751540039</v>
      </c>
      <c r="F46" s="19">
        <f>VLOOKUP(I46,'Yearly Pension'!$C$3:$AX$81,48,FALSE)</f>
        <v>1661.3523701483052</v>
      </c>
      <c r="G46" s="46"/>
      <c r="H46" s="11">
        <v>600</v>
      </c>
      <c r="I46" s="11">
        <v>709</v>
      </c>
      <c r="J46" s="11">
        <v>1</v>
      </c>
      <c r="K46" s="11">
        <v>19750428</v>
      </c>
      <c r="L46" s="177">
        <f t="shared" si="2"/>
        <v>27512</v>
      </c>
      <c r="M46" s="178">
        <f t="shared" si="3"/>
        <v>44.67898699520876</v>
      </c>
      <c r="N46" s="178">
        <f t="shared" si="4"/>
        <v>44</v>
      </c>
      <c r="O46" s="178">
        <f t="shared" si="5"/>
        <v>45</v>
      </c>
      <c r="P46" s="178">
        <f t="shared" si="6"/>
        <v>0.67898699520875994</v>
      </c>
      <c r="Q46" s="178">
        <f t="shared" si="7"/>
        <v>0.32101300479124006</v>
      </c>
      <c r="R46" s="179">
        <f>IF(J46=1,VLOOKUP(N46,'Annuity Factors '!$K$10:$O$92,5, FALSE),VLOOKUP(N46,'Annuity Factors '!$A$10:$E$92,5,FALSE))</f>
        <v>3.1962099999999998</v>
      </c>
      <c r="S46" s="179">
        <f>IF(J46=1,VLOOKUP(O46,'Annuity Factors '!$K$10:$O$92,5, FALSE),VLOOKUP(O46,'Annuity Factors '!$A$10:$E$92,5,FALSE))</f>
        <v>3.4103500000000002</v>
      </c>
    </row>
    <row r="47" spans="2:19" x14ac:dyDescent="0.25">
      <c r="B47" s="1">
        <v>703</v>
      </c>
      <c r="C47" s="19">
        <f t="shared" si="0"/>
        <v>5509.8881855942527</v>
      </c>
      <c r="D47" s="172">
        <f>SUM('Yearly Pension'!$G47:$AW47) *E47</f>
        <v>84359.749540666162</v>
      </c>
      <c r="E47" s="171">
        <f t="shared" si="1"/>
        <v>3.2776474127310067</v>
      </c>
      <c r="F47" s="19">
        <f>VLOOKUP(I47,'Yearly Pension'!$C$3:$AX$81,48,FALSE)</f>
        <v>1681.0496956423067</v>
      </c>
      <c r="G47" s="46"/>
      <c r="H47" s="11">
        <v>600</v>
      </c>
      <c r="I47" s="11">
        <v>703</v>
      </c>
      <c r="J47" s="11">
        <v>2</v>
      </c>
      <c r="K47" s="11">
        <v>19761202</v>
      </c>
      <c r="L47" s="177">
        <f t="shared" si="2"/>
        <v>28096</v>
      </c>
      <c r="M47" s="178">
        <f t="shared" si="3"/>
        <v>43.080082135523611</v>
      </c>
      <c r="N47" s="178">
        <f t="shared" si="4"/>
        <v>43</v>
      </c>
      <c r="O47" s="178">
        <f t="shared" si="5"/>
        <v>44</v>
      </c>
      <c r="P47" s="178">
        <f t="shared" si="6"/>
        <v>8.0082135523610987E-2</v>
      </c>
      <c r="Q47" s="178">
        <f t="shared" si="7"/>
        <v>0.91991786447638901</v>
      </c>
      <c r="R47" s="179">
        <f>IF(J47=1,VLOOKUP(N47,'Annuity Factors '!$K$10:$O$92,5, FALSE),VLOOKUP(N47,'Annuity Factors '!$A$10:$E$92,5,FALSE))</f>
        <v>3.0873900000000001</v>
      </c>
      <c r="S47" s="179">
        <f>IF(J47=1,VLOOKUP(O47,'Annuity Factors '!$K$10:$O$92,5, FALSE),VLOOKUP(O47,'Annuity Factors '!$A$10:$E$92,5,FALSE))</f>
        <v>3.2942099999999996</v>
      </c>
    </row>
    <row r="48" spans="2:19" x14ac:dyDescent="0.25">
      <c r="B48" s="1">
        <v>698</v>
      </c>
      <c r="C48" s="19">
        <f t="shared" si="0"/>
        <v>5484.8868274079923</v>
      </c>
      <c r="D48" s="172">
        <f>SUM('Yearly Pension'!$G48:$AW48) *E48</f>
        <v>85029.752090116875</v>
      </c>
      <c r="E48" s="171">
        <f t="shared" si="1"/>
        <v>3.2249868788501024</v>
      </c>
      <c r="F48" s="19">
        <f>VLOOKUP(I48,'Yearly Pension'!$C$3:$AX$81,48,FALSE)</f>
        <v>1700.7470211363084</v>
      </c>
      <c r="G48" s="46"/>
      <c r="H48" s="11">
        <v>600</v>
      </c>
      <c r="I48" s="11">
        <v>698</v>
      </c>
      <c r="J48" s="11">
        <v>2</v>
      </c>
      <c r="K48" s="11">
        <v>19760831</v>
      </c>
      <c r="L48" s="177">
        <f t="shared" si="2"/>
        <v>28003</v>
      </c>
      <c r="M48" s="178">
        <f t="shared" si="3"/>
        <v>43.3347022587269</v>
      </c>
      <c r="N48" s="178">
        <f t="shared" si="4"/>
        <v>43</v>
      </c>
      <c r="O48" s="178">
        <f t="shared" si="5"/>
        <v>44</v>
      </c>
      <c r="P48" s="178">
        <f t="shared" si="6"/>
        <v>0.33470225872689952</v>
      </c>
      <c r="Q48" s="178">
        <f t="shared" si="7"/>
        <v>0.66529774127310048</v>
      </c>
      <c r="R48" s="179">
        <f>IF(J48=1,VLOOKUP(N48,'Annuity Factors '!$K$10:$O$92,5, FALSE),VLOOKUP(N48,'Annuity Factors '!$A$10:$E$92,5,FALSE))</f>
        <v>3.0873900000000001</v>
      </c>
      <c r="S48" s="179">
        <f>IF(J48=1,VLOOKUP(O48,'Annuity Factors '!$K$10:$O$92,5, FALSE),VLOOKUP(O48,'Annuity Factors '!$A$10:$E$92,5,FALSE))</f>
        <v>3.2942099999999996</v>
      </c>
    </row>
    <row r="49" spans="2:19" x14ac:dyDescent="0.25">
      <c r="B49" s="1">
        <v>697</v>
      </c>
      <c r="C49" s="19">
        <f t="shared" si="0"/>
        <v>14491.716978647433</v>
      </c>
      <c r="D49" s="172">
        <f>SUM('Yearly Pension'!$G49:$AW49) *E49</f>
        <v>215039.81461824119</v>
      </c>
      <c r="E49" s="171">
        <f t="shared" si="1"/>
        <v>8.4232396098562656</v>
      </c>
      <c r="F49" s="19">
        <f>VLOOKUP(I49,'Yearly Pension'!$C$3:$AX$81,48,FALSE)</f>
        <v>1720.4445854407697</v>
      </c>
      <c r="G49" s="46"/>
      <c r="H49" s="11">
        <v>600</v>
      </c>
      <c r="I49" s="11">
        <v>697</v>
      </c>
      <c r="J49" s="11">
        <v>1</v>
      </c>
      <c r="K49" s="11">
        <v>19610118</v>
      </c>
      <c r="L49" s="177">
        <f t="shared" si="2"/>
        <v>22299</v>
      </c>
      <c r="M49" s="178">
        <f t="shared" si="3"/>
        <v>58.951403148528406</v>
      </c>
      <c r="N49" s="178">
        <f t="shared" si="4"/>
        <v>58</v>
      </c>
      <c r="O49" s="178">
        <f t="shared" si="5"/>
        <v>59</v>
      </c>
      <c r="P49" s="178">
        <f t="shared" si="6"/>
        <v>0.95140314852840646</v>
      </c>
      <c r="Q49" s="178">
        <f t="shared" si="7"/>
        <v>4.8596851471593538E-2</v>
      </c>
      <c r="R49" s="179">
        <f>IF(J49=1,VLOOKUP(N49,'Annuity Factors '!$K$10:$O$92,5, FALSE),VLOOKUP(N49,'Annuity Factors '!$A$10:$E$92,5,FALSE))</f>
        <v>7.9210700000000003</v>
      </c>
      <c r="S49" s="179">
        <f>IF(J49=1,VLOOKUP(O49,'Annuity Factors '!$K$10:$O$92,5, FALSE),VLOOKUP(O49,'Annuity Factors '!$A$10:$E$92,5,FALSE))</f>
        <v>8.4488900000000022</v>
      </c>
    </row>
    <row r="50" spans="2:19" x14ac:dyDescent="0.25">
      <c r="B50" s="1">
        <v>696</v>
      </c>
      <c r="C50" s="19">
        <f t="shared" si="0"/>
        <v>9885.7697314100024</v>
      </c>
      <c r="D50" s="172">
        <f>SUM('Yearly Pension'!$G50:$AW50) *E50</f>
        <v>150897.89960455743</v>
      </c>
      <c r="E50" s="171">
        <f t="shared" si="1"/>
        <v>5.6810135249828884</v>
      </c>
      <c r="F50" s="19">
        <f>VLOOKUP(I50,'Yearly Pension'!$C$3:$AX$81,48,FALSE)</f>
        <v>1740.141910934771</v>
      </c>
      <c r="G50" s="46"/>
      <c r="H50" s="11">
        <v>600</v>
      </c>
      <c r="I50" s="11">
        <v>696</v>
      </c>
      <c r="J50" s="11">
        <v>1</v>
      </c>
      <c r="K50" s="11">
        <v>19670219</v>
      </c>
      <c r="L50" s="177">
        <f t="shared" si="2"/>
        <v>24522</v>
      </c>
      <c r="M50" s="178">
        <f t="shared" si="3"/>
        <v>52.865160848733744</v>
      </c>
      <c r="N50" s="178">
        <f t="shared" si="4"/>
        <v>52</v>
      </c>
      <c r="O50" s="178">
        <f t="shared" si="5"/>
        <v>53</v>
      </c>
      <c r="P50" s="178">
        <f t="shared" si="6"/>
        <v>0.8651608487337441</v>
      </c>
      <c r="Q50" s="178">
        <f t="shared" si="7"/>
        <v>0.1348391512662559</v>
      </c>
      <c r="R50" s="179">
        <f>IF(J50=1,VLOOKUP(N50,'Annuity Factors '!$K$10:$O$92,5, FALSE),VLOOKUP(N50,'Annuity Factors '!$A$10:$E$92,5,FALSE))</f>
        <v>5.36972</v>
      </c>
      <c r="S50" s="179">
        <f>IF(J50=1,VLOOKUP(O50,'Annuity Factors '!$K$10:$O$92,5, FALSE),VLOOKUP(O50,'Annuity Factors '!$A$10:$E$92,5,FALSE))</f>
        <v>5.7295299999999996</v>
      </c>
    </row>
    <row r="51" spans="2:19" x14ac:dyDescent="0.25">
      <c r="B51" s="1">
        <v>694</v>
      </c>
      <c r="C51" s="19">
        <f t="shared" si="0"/>
        <v>8514.0833626785152</v>
      </c>
      <c r="D51" s="172">
        <f>SUM('Yearly Pension'!$G51:$AW51) *E51</f>
        <v>133912.78544435109</v>
      </c>
      <c r="E51" s="171">
        <f t="shared" si="1"/>
        <v>4.8379892813141696</v>
      </c>
      <c r="F51" s="19">
        <f>VLOOKUP(I51,'Yearly Pension'!$C$3:$AX$81,48,FALSE)</f>
        <v>1759.8392364287729</v>
      </c>
      <c r="G51" s="46"/>
      <c r="H51" s="11">
        <v>600</v>
      </c>
      <c r="I51" s="11">
        <v>694</v>
      </c>
      <c r="J51" s="11">
        <v>2</v>
      </c>
      <c r="K51" s="11">
        <v>19701204</v>
      </c>
      <c r="L51" s="177">
        <f t="shared" si="2"/>
        <v>25906</v>
      </c>
      <c r="M51" s="178">
        <f t="shared" si="3"/>
        <v>49.075975359342912</v>
      </c>
      <c r="N51" s="178">
        <f t="shared" si="4"/>
        <v>49</v>
      </c>
      <c r="O51" s="178">
        <f t="shared" si="5"/>
        <v>50</v>
      </c>
      <c r="P51" s="178">
        <f t="shared" si="6"/>
        <v>7.5975359342912441E-2</v>
      </c>
      <c r="Q51" s="178">
        <f t="shared" si="7"/>
        <v>0.92402464065708756</v>
      </c>
      <c r="R51" s="179">
        <f>IF(J51=1,VLOOKUP(N51,'Annuity Factors '!$K$10:$O$92,5, FALSE),VLOOKUP(N51,'Annuity Factors '!$A$10:$E$92,5,FALSE))</f>
        <v>4.5559399999999997</v>
      </c>
      <c r="S51" s="179">
        <f>IF(J51=1,VLOOKUP(O51,'Annuity Factors '!$K$10:$O$92,5, FALSE),VLOOKUP(O51,'Annuity Factors '!$A$10:$E$92,5,FALSE))</f>
        <v>4.8611800000000001</v>
      </c>
    </row>
    <row r="52" spans="2:19" x14ac:dyDescent="0.25">
      <c r="B52" s="1">
        <v>687</v>
      </c>
      <c r="C52" s="19">
        <f t="shared" si="0"/>
        <v>10171.365665327203</v>
      </c>
      <c r="D52" s="172">
        <f>SUM('Yearly Pension'!$G52:$AW52) *E52</f>
        <v>161851.54750981383</v>
      </c>
      <c r="E52" s="171">
        <f t="shared" si="1"/>
        <v>5.7157385147159472</v>
      </c>
      <c r="F52" s="19">
        <f>VLOOKUP(I52,'Yearly Pension'!$C$3:$AX$81,48,FALSE)</f>
        <v>1779.5365619227746</v>
      </c>
      <c r="G52" s="46"/>
      <c r="H52" s="11">
        <v>600</v>
      </c>
      <c r="I52" s="11">
        <v>687</v>
      </c>
      <c r="J52" s="11">
        <v>1</v>
      </c>
      <c r="K52" s="11">
        <v>19671218</v>
      </c>
      <c r="L52" s="177">
        <f t="shared" si="2"/>
        <v>24824</v>
      </c>
      <c r="M52" s="178">
        <f t="shared" si="3"/>
        <v>52.038329911019851</v>
      </c>
      <c r="N52" s="178">
        <f t="shared" si="4"/>
        <v>52</v>
      </c>
      <c r="O52" s="178">
        <f t="shared" si="5"/>
        <v>53</v>
      </c>
      <c r="P52" s="178">
        <f t="shared" si="6"/>
        <v>3.8329911019850726E-2</v>
      </c>
      <c r="Q52" s="178">
        <f t="shared" si="7"/>
        <v>0.96167008898014927</v>
      </c>
      <c r="R52" s="179">
        <f>IF(J52=1,VLOOKUP(N52,'Annuity Factors '!$K$10:$O$92,5, FALSE),VLOOKUP(N52,'Annuity Factors '!$A$10:$E$92,5,FALSE))</f>
        <v>5.36972</v>
      </c>
      <c r="S52" s="179">
        <f>IF(J52=1,VLOOKUP(O52,'Annuity Factors '!$K$10:$O$92,5, FALSE),VLOOKUP(O52,'Annuity Factors '!$A$10:$E$92,5,FALSE))</f>
        <v>5.7295299999999996</v>
      </c>
    </row>
    <row r="53" spans="2:19" x14ac:dyDescent="0.25">
      <c r="B53" s="1">
        <v>685</v>
      </c>
      <c r="C53" s="19">
        <f t="shared" si="0"/>
        <v>7081.4877913010678</v>
      </c>
      <c r="D53" s="172">
        <f>SUM('Yearly Pension'!$G53:$AW53) *E53</f>
        <v>113528.01138398924</v>
      </c>
      <c r="E53" s="171">
        <f t="shared" si="1"/>
        <v>3.9358345242984267</v>
      </c>
      <c r="F53" s="19">
        <f>VLOOKUP(I53,'Yearly Pension'!$C$3:$AX$81,48,FALSE)</f>
        <v>1799.2341262272357</v>
      </c>
      <c r="G53" s="46"/>
      <c r="H53" s="11">
        <v>600</v>
      </c>
      <c r="I53" s="11">
        <v>685</v>
      </c>
      <c r="J53" s="11">
        <v>2</v>
      </c>
      <c r="K53" s="11">
        <v>19730406</v>
      </c>
      <c r="L53" s="177">
        <f t="shared" si="2"/>
        <v>26760</v>
      </c>
      <c r="M53" s="178">
        <f t="shared" si="3"/>
        <v>46.737850787132103</v>
      </c>
      <c r="N53" s="178">
        <f t="shared" si="4"/>
        <v>46</v>
      </c>
      <c r="O53" s="178">
        <f t="shared" si="5"/>
        <v>47</v>
      </c>
      <c r="P53" s="178">
        <f t="shared" si="6"/>
        <v>0.73785078713210339</v>
      </c>
      <c r="Q53" s="178">
        <f t="shared" si="7"/>
        <v>0.26214921286789661</v>
      </c>
      <c r="R53" s="179">
        <f>IF(J53=1,VLOOKUP(N53,'Annuity Factors '!$K$10:$O$92,5, FALSE),VLOOKUP(N53,'Annuity Factors '!$A$10:$E$92,5,FALSE))</f>
        <v>3.7504200000000001</v>
      </c>
      <c r="S53" s="179">
        <f>IF(J53=1,VLOOKUP(O53,'Annuity Factors '!$K$10:$O$92,5, FALSE),VLOOKUP(O53,'Annuity Factors '!$A$10:$E$92,5,FALSE))</f>
        <v>4.0017100000000001</v>
      </c>
    </row>
    <row r="54" spans="2:19" x14ac:dyDescent="0.25">
      <c r="B54" s="1">
        <v>684</v>
      </c>
      <c r="C54" s="19">
        <f t="shared" si="0"/>
        <v>11924.866266944418</v>
      </c>
      <c r="D54" s="172">
        <f>SUM('Yearly Pension'!$G54:$AW54) *E54</f>
        <v>191241.58233089352</v>
      </c>
      <c r="E54" s="171">
        <f t="shared" si="1"/>
        <v>6.5559734291581107</v>
      </c>
      <c r="F54" s="19">
        <f>VLOOKUP(I54,'Yearly Pension'!$C$3:$AX$81,48,FALSE)</f>
        <v>1818.931451721237</v>
      </c>
      <c r="G54" s="46"/>
      <c r="H54" s="11">
        <v>600</v>
      </c>
      <c r="I54" s="11">
        <v>684</v>
      </c>
      <c r="J54" s="11">
        <v>2</v>
      </c>
      <c r="K54" s="11">
        <v>19650809</v>
      </c>
      <c r="L54" s="177">
        <f t="shared" si="2"/>
        <v>23963</v>
      </c>
      <c r="M54" s="178">
        <f t="shared" si="3"/>
        <v>54.395619438740589</v>
      </c>
      <c r="N54" s="178">
        <f t="shared" si="4"/>
        <v>54</v>
      </c>
      <c r="O54" s="178">
        <f t="shared" si="5"/>
        <v>55</v>
      </c>
      <c r="P54" s="178">
        <f t="shared" si="6"/>
        <v>0.39561943874058869</v>
      </c>
      <c r="Q54" s="178">
        <f t="shared" si="7"/>
        <v>0.60438056125941131</v>
      </c>
      <c r="R54" s="179">
        <f>IF(J54=1,VLOOKUP(N54,'Annuity Factors '!$K$10:$O$92,5, FALSE),VLOOKUP(N54,'Annuity Factors '!$A$10:$E$92,5,FALSE))</f>
        <v>6.3008100000000002</v>
      </c>
      <c r="S54" s="179">
        <f>IF(J54=1,VLOOKUP(O54,'Annuity Factors '!$K$10:$O$92,5, FALSE),VLOOKUP(O54,'Annuity Factors '!$A$10:$E$92,5,FALSE))</f>
        <v>6.7229999999999999</v>
      </c>
    </row>
    <row r="55" spans="2:19" x14ac:dyDescent="0.25">
      <c r="B55" s="1">
        <v>681</v>
      </c>
      <c r="C55" s="19">
        <f t="shared" si="0"/>
        <v>12734.728607739931</v>
      </c>
      <c r="D55" s="172">
        <f>SUM('Yearly Pension'!$G55:$AW55) *E55</f>
        <v>206112.81869193434</v>
      </c>
      <c r="E55" s="171">
        <f t="shared" si="1"/>
        <v>6.926209774127309</v>
      </c>
      <c r="F55" s="19">
        <f>VLOOKUP(I55,'Yearly Pension'!$C$3:$AX$81,48,FALSE)</f>
        <v>1838.6287772152391</v>
      </c>
      <c r="G55" s="46"/>
      <c r="H55" s="11">
        <v>600</v>
      </c>
      <c r="I55" s="11">
        <v>681</v>
      </c>
      <c r="J55" s="11">
        <v>1</v>
      </c>
      <c r="K55" s="11">
        <v>19641203</v>
      </c>
      <c r="L55" s="177">
        <f t="shared" si="2"/>
        <v>23714</v>
      </c>
      <c r="M55" s="178">
        <f t="shared" si="3"/>
        <v>55.077344284736483</v>
      </c>
      <c r="N55" s="178">
        <f t="shared" si="4"/>
        <v>55</v>
      </c>
      <c r="O55" s="178">
        <f t="shared" si="5"/>
        <v>56</v>
      </c>
      <c r="P55" s="178">
        <f t="shared" si="6"/>
        <v>7.734428473648336E-2</v>
      </c>
      <c r="Q55" s="178">
        <f t="shared" si="7"/>
        <v>0.92265571526351664</v>
      </c>
      <c r="R55" s="179">
        <f>IF(J55=1,VLOOKUP(N55,'Annuity Factors '!$K$10:$O$92,5, FALSE),VLOOKUP(N55,'Annuity Factors '!$A$10:$E$92,5,FALSE))</f>
        <v>6.5229999999999997</v>
      </c>
      <c r="S55" s="179">
        <f>IF(J55=1,VLOOKUP(O55,'Annuity Factors '!$K$10:$O$92,5, FALSE),VLOOKUP(O55,'Annuity Factors '!$A$10:$E$92,5,FALSE))</f>
        <v>6.9600099999999996</v>
      </c>
    </row>
    <row r="56" spans="2:19" x14ac:dyDescent="0.25">
      <c r="B56" s="1">
        <v>655</v>
      </c>
      <c r="C56" s="19">
        <f t="shared" si="0"/>
        <v>7353.6980961217405</v>
      </c>
      <c r="D56" s="172">
        <f>SUM('Yearly Pension'!$G56:$AW56) *E56</f>
        <v>123840.46800207371</v>
      </c>
      <c r="E56" s="171">
        <f t="shared" si="1"/>
        <v>3.9571623545516768</v>
      </c>
      <c r="F56" s="19">
        <f>VLOOKUP(I56,'Yearly Pension'!$C$3:$AX$81,48,FALSE)</f>
        <v>1858.3261027092408</v>
      </c>
      <c r="G56" s="46"/>
      <c r="H56" s="11">
        <v>600</v>
      </c>
      <c r="I56" s="11">
        <v>655</v>
      </c>
      <c r="J56" s="11">
        <v>2</v>
      </c>
      <c r="K56" s="11">
        <v>19730306</v>
      </c>
      <c r="L56" s="177">
        <f t="shared" si="2"/>
        <v>26729</v>
      </c>
      <c r="M56" s="178">
        <f t="shared" si="3"/>
        <v>46.822724161533195</v>
      </c>
      <c r="N56" s="178">
        <f t="shared" si="4"/>
        <v>46</v>
      </c>
      <c r="O56" s="178">
        <f t="shared" si="5"/>
        <v>47</v>
      </c>
      <c r="P56" s="178">
        <f t="shared" si="6"/>
        <v>0.82272416153319483</v>
      </c>
      <c r="Q56" s="178">
        <f t="shared" si="7"/>
        <v>0.17727583846680517</v>
      </c>
      <c r="R56" s="179">
        <f>IF(J56=1,VLOOKUP(N56,'Annuity Factors '!$K$10:$O$92,5, FALSE),VLOOKUP(N56,'Annuity Factors '!$A$10:$E$92,5,FALSE))</f>
        <v>3.7504200000000001</v>
      </c>
      <c r="S56" s="179">
        <f>IF(J56=1,VLOOKUP(O56,'Annuity Factors '!$K$10:$O$92,5, FALSE),VLOOKUP(O56,'Annuity Factors '!$A$10:$E$92,5,FALSE))</f>
        <v>4.0017100000000001</v>
      </c>
    </row>
    <row r="57" spans="2:19" x14ac:dyDescent="0.25">
      <c r="B57" s="1">
        <v>644</v>
      </c>
      <c r="C57" s="19">
        <f t="shared" si="0"/>
        <v>12958.7137254143</v>
      </c>
      <c r="D57" s="172">
        <f>SUM('Yearly Pension'!$G57:$AW57) *E57</f>
        <v>220981.37949760843</v>
      </c>
      <c r="E57" s="171">
        <f t="shared" si="1"/>
        <v>6.9001865913757712</v>
      </c>
      <c r="F57" s="19">
        <f>VLOOKUP(I57,'Yearly Pension'!$C$3:$AX$81,48,FALSE)</f>
        <v>1878.0236670137015</v>
      </c>
      <c r="G57" s="46"/>
      <c r="H57" s="11">
        <v>600</v>
      </c>
      <c r="I57" s="11">
        <v>644</v>
      </c>
      <c r="J57" s="11">
        <v>1</v>
      </c>
      <c r="K57" s="11">
        <v>19640220</v>
      </c>
      <c r="L57" s="177">
        <f t="shared" si="2"/>
        <v>23427</v>
      </c>
      <c r="M57" s="178">
        <f t="shared" si="3"/>
        <v>55.863107460643398</v>
      </c>
      <c r="N57" s="178">
        <f t="shared" si="4"/>
        <v>55</v>
      </c>
      <c r="O57" s="178">
        <f t="shared" si="5"/>
        <v>56</v>
      </c>
      <c r="P57" s="178">
        <f t="shared" si="6"/>
        <v>0.86310746064339838</v>
      </c>
      <c r="Q57" s="178">
        <f t="shared" si="7"/>
        <v>0.13689253935660162</v>
      </c>
      <c r="R57" s="179">
        <f>IF(J57=1,VLOOKUP(N57,'Annuity Factors '!$K$10:$O$92,5, FALSE),VLOOKUP(N57,'Annuity Factors '!$A$10:$E$92,5,FALSE))</f>
        <v>6.5229999999999997</v>
      </c>
      <c r="S57" s="179">
        <f>IF(J57=1,VLOOKUP(O57,'Annuity Factors '!$K$10:$O$92,5, FALSE),VLOOKUP(O57,'Annuity Factors '!$A$10:$E$92,5,FALSE))</f>
        <v>6.9600099999999996</v>
      </c>
    </row>
    <row r="58" spans="2:19" x14ac:dyDescent="0.25">
      <c r="B58" s="1">
        <v>634</v>
      </c>
      <c r="C58" s="19">
        <f t="shared" si="0"/>
        <v>14188.9760604941</v>
      </c>
      <c r="D58" s="172">
        <f>SUM('Yearly Pension'!$G58:$AW58) *E58</f>
        <v>246505.24510627074</v>
      </c>
      <c r="E58" s="171">
        <f t="shared" si="1"/>
        <v>7.3247955578370965</v>
      </c>
      <c r="F58" s="19">
        <f>VLOOKUP(I58,'Yearly Pension'!$C$3:$AX$81,48,FALSE)</f>
        <v>1937.1156434957065</v>
      </c>
      <c r="G58" s="46"/>
      <c r="H58" s="11">
        <v>600</v>
      </c>
      <c r="I58" s="11">
        <v>634</v>
      </c>
      <c r="J58" s="11">
        <v>1</v>
      </c>
      <c r="K58" s="11">
        <v>19631014</v>
      </c>
      <c r="L58" s="177">
        <f t="shared" si="2"/>
        <v>23298</v>
      </c>
      <c r="M58" s="178">
        <f t="shared" si="3"/>
        <v>56.216290212183438</v>
      </c>
      <c r="N58" s="178">
        <f t="shared" si="4"/>
        <v>56</v>
      </c>
      <c r="O58" s="178">
        <f t="shared" si="5"/>
        <v>57</v>
      </c>
      <c r="P58" s="178">
        <f t="shared" si="6"/>
        <v>0.2162902121834378</v>
      </c>
      <c r="Q58" s="178">
        <f t="shared" si="7"/>
        <v>0.7837097878165622</v>
      </c>
      <c r="R58" s="179">
        <f>IF(J58=1,VLOOKUP(N58,'Annuity Factors '!$K$10:$O$92,5, FALSE),VLOOKUP(N58,'Annuity Factors '!$A$10:$E$92,5,FALSE))</f>
        <v>6.9600099999999996</v>
      </c>
      <c r="S58" s="179">
        <f>IF(J58=1,VLOOKUP(O58,'Annuity Factors '!$K$10:$O$92,5, FALSE),VLOOKUP(O58,'Annuity Factors '!$A$10:$E$92,5,FALSE))</f>
        <v>7.4254699999999998</v>
      </c>
    </row>
    <row r="59" spans="2:19" x14ac:dyDescent="0.25">
      <c r="B59" s="1">
        <v>625</v>
      </c>
      <c r="C59" s="19">
        <f t="shared" si="0"/>
        <v>11702.638656632993</v>
      </c>
      <c r="D59" s="172">
        <f>SUM('Yearly Pension'!$G59:$AW59) *E59</f>
        <v>204826.70351717371</v>
      </c>
      <c r="E59" s="171">
        <f t="shared" si="1"/>
        <v>5.9804577207392189</v>
      </c>
      <c r="F59" s="19">
        <f>VLOOKUP(I59,'Yearly Pension'!$C$3:$AX$81,48,FALSE)</f>
        <v>1956.8132078001681</v>
      </c>
      <c r="G59" s="46"/>
      <c r="H59" s="11">
        <v>600</v>
      </c>
      <c r="I59" s="11">
        <v>625</v>
      </c>
      <c r="J59" s="11">
        <v>1</v>
      </c>
      <c r="K59" s="11">
        <v>19660507</v>
      </c>
      <c r="L59" s="177">
        <f t="shared" si="2"/>
        <v>24234</v>
      </c>
      <c r="M59" s="178">
        <f t="shared" si="3"/>
        <v>53.653661875427787</v>
      </c>
      <c r="N59" s="178">
        <f t="shared" si="4"/>
        <v>53</v>
      </c>
      <c r="O59" s="178">
        <f t="shared" si="5"/>
        <v>54</v>
      </c>
      <c r="P59" s="178">
        <f t="shared" si="6"/>
        <v>0.65366187542778675</v>
      </c>
      <c r="Q59" s="178">
        <f t="shared" si="7"/>
        <v>0.34633812457221325</v>
      </c>
      <c r="R59" s="179">
        <f>IF(J59=1,VLOOKUP(N59,'Annuity Factors '!$K$10:$O$92,5, FALSE),VLOOKUP(N59,'Annuity Factors '!$A$10:$E$92,5,FALSE))</f>
        <v>5.7295299999999996</v>
      </c>
      <c r="S59" s="179">
        <f>IF(J59=1,VLOOKUP(O59,'Annuity Factors '!$K$10:$O$92,5, FALSE),VLOOKUP(O59,'Annuity Factors '!$A$10:$E$92,5,FALSE))</f>
        <v>6.11341</v>
      </c>
    </row>
    <row r="60" spans="2:19" x14ac:dyDescent="0.25">
      <c r="B60" s="1">
        <v>624</v>
      </c>
      <c r="C60" s="19">
        <f t="shared" si="0"/>
        <v>21218.931714249411</v>
      </c>
      <c r="D60" s="172">
        <f>SUM('Yearly Pension'!$G60:$AW60) *E60</f>
        <v>372043.63529832155</v>
      </c>
      <c r="E60" s="171">
        <f t="shared" si="1"/>
        <v>10.735552053388089</v>
      </c>
      <c r="F60" s="19">
        <f>VLOOKUP(I60,'Yearly Pension'!$C$3:$AX$81,48,FALSE)</f>
        <v>1976.5105332941698</v>
      </c>
      <c r="G60" s="46"/>
      <c r="H60" s="11">
        <v>600</v>
      </c>
      <c r="I60" s="11">
        <v>624</v>
      </c>
      <c r="J60" s="11">
        <v>1</v>
      </c>
      <c r="K60" s="11">
        <v>19570413</v>
      </c>
      <c r="L60" s="177">
        <f t="shared" si="2"/>
        <v>20923</v>
      </c>
      <c r="M60" s="178">
        <f t="shared" si="3"/>
        <v>62.718685831622174</v>
      </c>
      <c r="N60" s="178">
        <f t="shared" si="4"/>
        <v>62</v>
      </c>
      <c r="O60" s="178">
        <f t="shared" si="5"/>
        <v>63</v>
      </c>
      <c r="P60" s="178">
        <f t="shared" si="6"/>
        <v>0.71868583162217448</v>
      </c>
      <c r="Q60" s="178">
        <f t="shared" si="7"/>
        <v>0.28131416837782552</v>
      </c>
      <c r="R60" s="179">
        <f>IF(J60=1,VLOOKUP(N60,'Annuity Factors '!$K$10:$O$92,5, FALSE),VLOOKUP(N60,'Annuity Factors '!$A$10:$E$92,5,FALSE))</f>
        <v>10.24755</v>
      </c>
      <c r="S60" s="179">
        <f>IF(J60=1,VLOOKUP(O60,'Annuity Factors '!$K$10:$O$92,5, FALSE),VLOOKUP(O60,'Annuity Factors '!$A$10:$E$92,5,FALSE))</f>
        <v>10.92657</v>
      </c>
    </row>
    <row r="61" spans="2:19" x14ac:dyDescent="0.25">
      <c r="B61" s="1">
        <v>620</v>
      </c>
      <c r="C61" s="19">
        <f t="shared" si="0"/>
        <v>8956.6227216146963</v>
      </c>
      <c r="D61" s="172">
        <f>SUM('Yearly Pension'!$G61:$AW61) *E61</f>
        <v>157531.30239113548</v>
      </c>
      <c r="E61" s="171">
        <f t="shared" si="1"/>
        <v>4.4868186858316212</v>
      </c>
      <c r="F61" s="19">
        <f>VLOOKUP(I61,'Yearly Pension'!$C$3:$AX$81,48,FALSE)</f>
        <v>1996.2078587881711</v>
      </c>
      <c r="G61" s="46"/>
      <c r="H61" s="11">
        <v>600</v>
      </c>
      <c r="I61" s="11">
        <v>620</v>
      </c>
      <c r="J61" s="11">
        <v>2</v>
      </c>
      <c r="K61" s="11">
        <v>19710330</v>
      </c>
      <c r="L61" s="177">
        <f t="shared" si="2"/>
        <v>26022</v>
      </c>
      <c r="M61" s="178">
        <f t="shared" si="3"/>
        <v>48.758384668035589</v>
      </c>
      <c r="N61" s="178">
        <f t="shared" si="4"/>
        <v>48</v>
      </c>
      <c r="O61" s="178">
        <f t="shared" si="5"/>
        <v>49</v>
      </c>
      <c r="P61" s="178">
        <f t="shared" si="6"/>
        <v>0.75838466803558902</v>
      </c>
      <c r="Q61" s="178">
        <f t="shared" si="7"/>
        <v>0.24161533196441098</v>
      </c>
      <c r="R61" s="179">
        <f>IF(J61=1,VLOOKUP(N61,'Annuity Factors '!$K$10:$O$92,5, FALSE),VLOOKUP(N61,'Annuity Factors '!$A$10:$E$92,5,FALSE))</f>
        <v>4.2698600000000004</v>
      </c>
      <c r="S61" s="179">
        <f>IF(J61=1,VLOOKUP(O61,'Annuity Factors '!$K$10:$O$92,5, FALSE),VLOOKUP(O61,'Annuity Factors '!$A$10:$E$92,5,FALSE))</f>
        <v>4.5559399999999997</v>
      </c>
    </row>
    <row r="62" spans="2:19" x14ac:dyDescent="0.25">
      <c r="B62" s="1">
        <v>588</v>
      </c>
      <c r="C62" s="19">
        <f t="shared" si="0"/>
        <v>19958.967495195357</v>
      </c>
      <c r="D62" s="172">
        <f>SUM('Yearly Pension'!$G62:$AW62) *E62</f>
        <v>358350.01811118051</v>
      </c>
      <c r="E62" s="171">
        <f t="shared" si="1"/>
        <v>9.8049422997946607</v>
      </c>
      <c r="F62" s="19">
        <f>VLOOKUP(I62,'Yearly Pension'!$C$3:$AX$81,48,FALSE)</f>
        <v>2035.6027485866334</v>
      </c>
      <c r="G62" s="46"/>
      <c r="H62" s="11">
        <v>600</v>
      </c>
      <c r="I62" s="11">
        <v>588</v>
      </c>
      <c r="J62" s="11">
        <v>2</v>
      </c>
      <c r="K62" s="11">
        <v>19591229</v>
      </c>
      <c r="L62" s="177">
        <f t="shared" si="2"/>
        <v>21913</v>
      </c>
      <c r="M62" s="178">
        <f t="shared" si="3"/>
        <v>60.008213552361397</v>
      </c>
      <c r="N62" s="178">
        <f t="shared" si="4"/>
        <v>60</v>
      </c>
      <c r="O62" s="178">
        <f t="shared" si="5"/>
        <v>61</v>
      </c>
      <c r="P62" s="178">
        <f t="shared" si="6"/>
        <v>8.2135523613970918E-3</v>
      </c>
      <c r="Q62" s="178">
        <f t="shared" si="7"/>
        <v>0.99178644763860291</v>
      </c>
      <c r="R62" s="179">
        <f>IF(J62=1,VLOOKUP(N62,'Annuity Factors '!$K$10:$O$92,5, FALSE),VLOOKUP(N62,'Annuity Factors '!$A$10:$E$92,5,FALSE))</f>
        <v>9.2111300000000007</v>
      </c>
      <c r="S62" s="179">
        <f>IF(J62=1,VLOOKUP(O62,'Annuity Factors '!$K$10:$O$92,5, FALSE),VLOOKUP(O62,'Annuity Factors '!$A$10:$E$92,5,FALSE))</f>
        <v>9.8098600000000005</v>
      </c>
    </row>
    <row r="63" spans="2:19" x14ac:dyDescent="0.25">
      <c r="B63" s="1">
        <v>584</v>
      </c>
      <c r="C63" s="19">
        <f t="shared" si="0"/>
        <v>19741.066418206527</v>
      </c>
      <c r="D63" s="172">
        <f>SUM('Yearly Pension'!$G63:$AW63) *E63</f>
        <v>355013.67497886176</v>
      </c>
      <c r="E63" s="171">
        <f t="shared" si="1"/>
        <v>9.6049558247775479</v>
      </c>
      <c r="F63" s="19">
        <f>VLOOKUP(I63,'Yearly Pension'!$C$3:$AX$81,48,FALSE)</f>
        <v>2055.3000740806356</v>
      </c>
      <c r="G63" s="46"/>
      <c r="H63" s="11">
        <v>600</v>
      </c>
      <c r="I63" s="11">
        <v>584</v>
      </c>
      <c r="J63" s="11">
        <v>2</v>
      </c>
      <c r="K63" s="11">
        <v>19590829</v>
      </c>
      <c r="L63" s="177">
        <f t="shared" si="2"/>
        <v>21791</v>
      </c>
      <c r="M63" s="178">
        <f t="shared" si="3"/>
        <v>60.342231348391515</v>
      </c>
      <c r="N63" s="178">
        <f t="shared" si="4"/>
        <v>60</v>
      </c>
      <c r="O63" s="178">
        <f t="shared" si="5"/>
        <v>61</v>
      </c>
      <c r="P63" s="178">
        <f t="shared" si="6"/>
        <v>0.3422313483915147</v>
      </c>
      <c r="Q63" s="178">
        <f t="shared" si="7"/>
        <v>0.6577686516084853</v>
      </c>
      <c r="R63" s="179">
        <f>IF(J63=1,VLOOKUP(N63,'Annuity Factors '!$K$10:$O$92,5, FALSE),VLOOKUP(N63,'Annuity Factors '!$A$10:$E$92,5,FALSE))</f>
        <v>9.2111300000000007</v>
      </c>
      <c r="S63" s="179">
        <f>IF(J63=1,VLOOKUP(O63,'Annuity Factors '!$K$10:$O$92,5, FALSE),VLOOKUP(O63,'Annuity Factors '!$A$10:$E$92,5,FALSE))</f>
        <v>9.8098600000000005</v>
      </c>
    </row>
    <row r="64" spans="2:19" x14ac:dyDescent="0.25">
      <c r="B64" s="1">
        <v>580</v>
      </c>
      <c r="C64" s="19">
        <f t="shared" si="0"/>
        <v>17193.336803606318</v>
      </c>
      <c r="D64" s="172">
        <f>SUM('Yearly Pension'!$G64:$AW64) *E64</f>
        <v>310092.22717865539</v>
      </c>
      <c r="E64" s="171">
        <f t="shared" si="1"/>
        <v>8.2859558316221786</v>
      </c>
      <c r="F64" s="19">
        <f>VLOOKUP(I64,'Yearly Pension'!$C$3:$AX$81,48,FALSE)</f>
        <v>2074.9973995746368</v>
      </c>
      <c r="G64" s="46"/>
      <c r="H64" s="11">
        <v>600</v>
      </c>
      <c r="I64" s="11">
        <v>580</v>
      </c>
      <c r="J64" s="11">
        <v>1</v>
      </c>
      <c r="K64" s="11">
        <v>19610423</v>
      </c>
      <c r="L64" s="177">
        <f t="shared" si="2"/>
        <v>22394</v>
      </c>
      <c r="M64" s="178">
        <f t="shared" si="3"/>
        <v>58.691307323750856</v>
      </c>
      <c r="N64" s="178">
        <f t="shared" si="4"/>
        <v>58</v>
      </c>
      <c r="O64" s="178">
        <f t="shared" si="5"/>
        <v>59</v>
      </c>
      <c r="P64" s="178">
        <f t="shared" si="6"/>
        <v>0.69130732375085557</v>
      </c>
      <c r="Q64" s="178">
        <f t="shared" si="7"/>
        <v>0.30869267624914443</v>
      </c>
      <c r="R64" s="179">
        <f>IF(J64=1,VLOOKUP(N64,'Annuity Factors '!$K$10:$O$92,5, FALSE),VLOOKUP(N64,'Annuity Factors '!$A$10:$E$92,5,FALSE))</f>
        <v>7.9210700000000003</v>
      </c>
      <c r="S64" s="179">
        <f>IF(J64=1,VLOOKUP(O64,'Annuity Factors '!$K$10:$O$92,5, FALSE),VLOOKUP(O64,'Annuity Factors '!$A$10:$E$92,5,FALSE))</f>
        <v>8.4488900000000022</v>
      </c>
    </row>
    <row r="65" spans="2:19" x14ac:dyDescent="0.25">
      <c r="B65" s="1">
        <v>579</v>
      </c>
      <c r="C65" s="19">
        <f t="shared" si="0"/>
        <v>13128.507619761251</v>
      </c>
      <c r="D65" s="172">
        <f>SUM('Yearly Pension'!$G65:$AW65) *E65</f>
        <v>236859.71307136814</v>
      </c>
      <c r="E65" s="171">
        <f t="shared" si="1"/>
        <v>6.2675040246406581</v>
      </c>
      <c r="F65" s="19">
        <f>VLOOKUP(I65,'Yearly Pension'!$C$3:$AX$81,48,FALSE)</f>
        <v>2094.6947250686389</v>
      </c>
      <c r="G65" s="46"/>
      <c r="H65" s="11">
        <v>600</v>
      </c>
      <c r="I65" s="11">
        <v>579</v>
      </c>
      <c r="J65" s="11">
        <v>2</v>
      </c>
      <c r="K65" s="11">
        <v>19661201</v>
      </c>
      <c r="L65" s="177">
        <f t="shared" si="2"/>
        <v>24442</v>
      </c>
      <c r="M65" s="178">
        <f t="shared" si="3"/>
        <v>53.08418891170431</v>
      </c>
      <c r="N65" s="178">
        <f t="shared" si="4"/>
        <v>53</v>
      </c>
      <c r="O65" s="178">
        <f t="shared" si="5"/>
        <v>54</v>
      </c>
      <c r="P65" s="178">
        <f t="shared" si="6"/>
        <v>8.4188911704309533E-2</v>
      </c>
      <c r="Q65" s="178">
        <f t="shared" si="7"/>
        <v>0.91581108829569047</v>
      </c>
      <c r="R65" s="179">
        <f>IF(J65=1,VLOOKUP(N65,'Annuity Factors '!$K$10:$O$92,5, FALSE),VLOOKUP(N65,'Annuity Factors '!$A$10:$E$92,5,FALSE))</f>
        <v>5.9052000000000007</v>
      </c>
      <c r="S65" s="179">
        <f>IF(J65=1,VLOOKUP(O65,'Annuity Factors '!$K$10:$O$92,5, FALSE),VLOOKUP(O65,'Annuity Factors '!$A$10:$E$92,5,FALSE))</f>
        <v>6.3008100000000002</v>
      </c>
    </row>
    <row r="66" spans="2:19" x14ac:dyDescent="0.25">
      <c r="B66" s="1">
        <v>576</v>
      </c>
      <c r="C66" s="19">
        <f t="shared" si="0"/>
        <v>15344.682906889051</v>
      </c>
      <c r="D66" s="172">
        <f>SUM('Yearly Pension'!$G66:$AW66) *E66</f>
        <v>276933.90899206465</v>
      </c>
      <c r="E66" s="171">
        <f t="shared" si="1"/>
        <v>7.2572544763860369</v>
      </c>
      <c r="F66" s="19">
        <f>VLOOKUP(I66,'Yearly Pension'!$C$3:$AX$81,48,FALSE)</f>
        <v>2114.3922893731001</v>
      </c>
      <c r="G66" s="46"/>
      <c r="H66" s="11">
        <v>600</v>
      </c>
      <c r="I66" s="11">
        <v>576</v>
      </c>
      <c r="J66" s="11">
        <v>1</v>
      </c>
      <c r="K66" s="11">
        <v>19630822</v>
      </c>
      <c r="L66" s="177">
        <f t="shared" si="2"/>
        <v>23245</v>
      </c>
      <c r="M66" s="178">
        <f t="shared" si="3"/>
        <v>56.361396303901437</v>
      </c>
      <c r="N66" s="178">
        <f t="shared" si="4"/>
        <v>56</v>
      </c>
      <c r="O66" s="178">
        <f t="shared" si="5"/>
        <v>57</v>
      </c>
      <c r="P66" s="178">
        <f t="shared" si="6"/>
        <v>0.36139630390143651</v>
      </c>
      <c r="Q66" s="178">
        <f t="shared" si="7"/>
        <v>0.63860369609856349</v>
      </c>
      <c r="R66" s="179">
        <f>IF(J66=1,VLOOKUP(N66,'Annuity Factors '!$K$10:$O$92,5, FALSE),VLOOKUP(N66,'Annuity Factors '!$A$10:$E$92,5,FALSE))</f>
        <v>6.9600099999999996</v>
      </c>
      <c r="S66" s="179">
        <f>IF(J66=1,VLOOKUP(O66,'Annuity Factors '!$K$10:$O$92,5, FALSE),VLOOKUP(O66,'Annuity Factors '!$A$10:$E$92,5,FALSE))</f>
        <v>7.4254699999999998</v>
      </c>
    </row>
    <row r="67" spans="2:19" x14ac:dyDescent="0.25">
      <c r="B67" s="1">
        <v>564</v>
      </c>
      <c r="C67" s="19">
        <f t="shared" si="0"/>
        <v>14490.068134994406</v>
      </c>
      <c r="D67" s="172">
        <f>SUM('Yearly Pension'!$G67:$AW67) *E67</f>
        <v>262930.70441488724</v>
      </c>
      <c r="E67" s="171">
        <f t="shared" si="1"/>
        <v>6.7898124024640643</v>
      </c>
      <c r="F67" s="19">
        <f>VLOOKUP(I67,'Yearly Pension'!$C$3:$AX$81,48,FALSE)</f>
        <v>2134.0896148671018</v>
      </c>
      <c r="G67" s="46"/>
      <c r="H67" s="11">
        <v>600</v>
      </c>
      <c r="I67" s="11">
        <v>564</v>
      </c>
      <c r="J67" s="11">
        <v>1</v>
      </c>
      <c r="K67" s="11">
        <v>19640811</v>
      </c>
      <c r="L67" s="177">
        <f t="shared" si="2"/>
        <v>23600</v>
      </c>
      <c r="M67" s="178">
        <f t="shared" si="3"/>
        <v>55.389459274469544</v>
      </c>
      <c r="N67" s="178">
        <f t="shared" si="4"/>
        <v>55</v>
      </c>
      <c r="O67" s="178">
        <f t="shared" si="5"/>
        <v>56</v>
      </c>
      <c r="P67" s="178">
        <f t="shared" si="6"/>
        <v>0.38945927446954443</v>
      </c>
      <c r="Q67" s="178">
        <f t="shared" si="7"/>
        <v>0.61054072553045557</v>
      </c>
      <c r="R67" s="179">
        <f>IF(J67=1,VLOOKUP(N67,'Annuity Factors '!$K$10:$O$92,5, FALSE),VLOOKUP(N67,'Annuity Factors '!$A$10:$E$92,5,FALSE))</f>
        <v>6.5229999999999997</v>
      </c>
      <c r="S67" s="179">
        <f>IF(J67=1,VLOOKUP(O67,'Annuity Factors '!$K$10:$O$92,5, FALSE),VLOOKUP(O67,'Annuity Factors '!$A$10:$E$92,5,FALSE))</f>
        <v>6.9600099999999996</v>
      </c>
    </row>
    <row r="68" spans="2:19" x14ac:dyDescent="0.25">
      <c r="B68" s="1">
        <v>561</v>
      </c>
      <c r="C68" s="19">
        <f t="shared" ref="C68:C81" si="8">E68*F68</f>
        <v>19063.253844648363</v>
      </c>
      <c r="D68" s="172">
        <f>SUM('Yearly Pension'!$G68:$AW68) *E68</f>
        <v>347305.86307677097</v>
      </c>
      <c r="E68" s="171">
        <f t="shared" ref="E68:E81" si="9">IF(P68&gt;=Q68, P68*S68+ Q68*R68, P68*R68+Q68*S68)</f>
        <v>8.8510397604380593</v>
      </c>
      <c r="F68" s="19">
        <f>VLOOKUP(I68,'Yearly Pension'!$C$3:$AX$81,48,FALSE)</f>
        <v>2153.7869403611035</v>
      </c>
      <c r="G68" s="46"/>
      <c r="H68" s="11">
        <v>600</v>
      </c>
      <c r="I68" s="11">
        <v>561</v>
      </c>
      <c r="J68" s="11">
        <v>1</v>
      </c>
      <c r="K68" s="11">
        <v>19600414</v>
      </c>
      <c r="L68" s="177">
        <f t="shared" ref="L68:L81" si="10">DATE(LEFT(K68,4), MID(K68, 5, 2), RIGHT(K68, 2))</f>
        <v>22020</v>
      </c>
      <c r="M68" s="178">
        <f t="shared" ref="M68:M81" si="11">($A$2-L68)/365.25</f>
        <v>59.715263518138265</v>
      </c>
      <c r="N68" s="178">
        <f t="shared" ref="N68:N81" si="12">ROUNDDOWN(M68, 0)</f>
        <v>59</v>
      </c>
      <c r="O68" s="178">
        <f t="shared" ref="O68:O81" si="13">ROUNDUP(M68,0)</f>
        <v>60</v>
      </c>
      <c r="P68" s="178">
        <f t="shared" ref="P68:P81" si="14">M68-N68</f>
        <v>0.71526351813826494</v>
      </c>
      <c r="Q68" s="178">
        <f t="shared" ref="Q68:Q81" si="15">1-P68</f>
        <v>0.28473648186173506</v>
      </c>
      <c r="R68" s="179">
        <f>IF(J68=1,VLOOKUP(N68,'Annuity Factors '!$K$10:$O$92,5, FALSE),VLOOKUP(N68,'Annuity Factors '!$A$10:$E$92,5,FALSE))</f>
        <v>8.4488900000000022</v>
      </c>
      <c r="S68" s="179">
        <f>IF(J68=1,VLOOKUP(O68,'Annuity Factors '!$K$10:$O$92,5, FALSE),VLOOKUP(O68,'Annuity Factors '!$A$10:$E$92,5,FALSE))</f>
        <v>9.0111300000000014</v>
      </c>
    </row>
    <row r="69" spans="2:19" x14ac:dyDescent="0.25">
      <c r="B69" s="1">
        <v>553</v>
      </c>
      <c r="C69" s="19">
        <f t="shared" si="8"/>
        <v>12088.518887204158</v>
      </c>
      <c r="D69" s="172">
        <f>SUM('Yearly Pension'!$G69:$AW69) *E69</f>
        <v>221106.80784793163</v>
      </c>
      <c r="E69" s="171">
        <f t="shared" si="9"/>
        <v>5.5618156878850105</v>
      </c>
      <c r="F69" s="19">
        <f>VLOOKUP(I69,'Yearly Pension'!$C$3:$AX$81,48,FALSE)</f>
        <v>2173.4842658551051</v>
      </c>
      <c r="G69" s="46"/>
      <c r="H69" s="11">
        <v>600</v>
      </c>
      <c r="I69" s="11">
        <v>553</v>
      </c>
      <c r="J69" s="11">
        <v>1</v>
      </c>
      <c r="K69" s="11">
        <v>19670620</v>
      </c>
      <c r="L69" s="177">
        <f t="shared" si="10"/>
        <v>24643</v>
      </c>
      <c r="M69" s="178">
        <f t="shared" si="11"/>
        <v>52.533880903490761</v>
      </c>
      <c r="N69" s="178">
        <f t="shared" si="12"/>
        <v>52</v>
      </c>
      <c r="O69" s="178">
        <f t="shared" si="13"/>
        <v>53</v>
      </c>
      <c r="P69" s="178">
        <f t="shared" si="14"/>
        <v>0.53388090349076123</v>
      </c>
      <c r="Q69" s="178">
        <f t="shared" si="15"/>
        <v>0.46611909650923877</v>
      </c>
      <c r="R69" s="179">
        <f>IF(J69=1,VLOOKUP(N69,'Annuity Factors '!$K$10:$O$92,5, FALSE),VLOOKUP(N69,'Annuity Factors '!$A$10:$E$92,5,FALSE))</f>
        <v>5.36972</v>
      </c>
      <c r="S69" s="179">
        <f>IF(J69=1,VLOOKUP(O69,'Annuity Factors '!$K$10:$O$92,5, FALSE),VLOOKUP(O69,'Annuity Factors '!$A$10:$E$92,5,FALSE))</f>
        <v>5.7295299999999996</v>
      </c>
    </row>
    <row r="70" spans="2:19" x14ac:dyDescent="0.25">
      <c r="B70" s="1">
        <v>547</v>
      </c>
      <c r="C70" s="19">
        <f t="shared" si="8"/>
        <v>12219.678277177187</v>
      </c>
      <c r="D70" s="172">
        <f>SUM('Yearly Pension'!$G70:$AW70) *E70</f>
        <v>225467.57178268934</v>
      </c>
      <c r="E70" s="171">
        <f t="shared" si="9"/>
        <v>5.5716667488021905</v>
      </c>
      <c r="F70" s="19">
        <f>VLOOKUP(I70,'Yearly Pension'!$C$3:$AX$81,48,FALSE)</f>
        <v>2193.1818301595658</v>
      </c>
      <c r="G70" s="46"/>
      <c r="H70" s="11">
        <v>600</v>
      </c>
      <c r="I70" s="11">
        <v>547</v>
      </c>
      <c r="J70" s="11">
        <v>1</v>
      </c>
      <c r="K70" s="11">
        <v>19670610</v>
      </c>
      <c r="L70" s="177">
        <f t="shared" si="10"/>
        <v>24633</v>
      </c>
      <c r="M70" s="178">
        <f t="shared" si="11"/>
        <v>52.56125941136208</v>
      </c>
      <c r="N70" s="178">
        <f t="shared" si="12"/>
        <v>52</v>
      </c>
      <c r="O70" s="178">
        <f t="shared" si="13"/>
        <v>53</v>
      </c>
      <c r="P70" s="178">
        <f t="shared" si="14"/>
        <v>0.56125941136208013</v>
      </c>
      <c r="Q70" s="178">
        <f t="shared" si="15"/>
        <v>0.43874058863791987</v>
      </c>
      <c r="R70" s="179">
        <f>IF(J70=1,VLOOKUP(N70,'Annuity Factors '!$K$10:$O$92,5, FALSE),VLOOKUP(N70,'Annuity Factors '!$A$10:$E$92,5,FALSE))</f>
        <v>5.36972</v>
      </c>
      <c r="S70" s="179">
        <f>IF(J70=1,VLOOKUP(O70,'Annuity Factors '!$K$10:$O$92,5, FALSE),VLOOKUP(O70,'Annuity Factors '!$A$10:$E$92,5,FALSE))</f>
        <v>5.7295299999999996</v>
      </c>
    </row>
    <row r="71" spans="2:19" x14ac:dyDescent="0.25">
      <c r="B71" s="1">
        <v>524</v>
      </c>
      <c r="C71" s="19">
        <f t="shared" si="8"/>
        <v>25196.916213868783</v>
      </c>
      <c r="D71" s="172">
        <f>SUM('Yearly Pension'!$G71:$AW71) *E71</f>
        <v>469835.85391210596</v>
      </c>
      <c r="E71" s="171">
        <f t="shared" si="9"/>
        <v>11.386485407255304</v>
      </c>
      <c r="F71" s="19">
        <f>VLOOKUP(I71,'Yearly Pension'!$C$3:$AX$81,48,FALSE)</f>
        <v>2212.8791556535675</v>
      </c>
      <c r="G71" s="46"/>
      <c r="H71" s="11">
        <v>600</v>
      </c>
      <c r="I71" s="11">
        <v>524</v>
      </c>
      <c r="J71" s="11">
        <v>1</v>
      </c>
      <c r="K71" s="11">
        <v>19560513</v>
      </c>
      <c r="L71" s="177">
        <f t="shared" si="10"/>
        <v>20588</v>
      </c>
      <c r="M71" s="178">
        <f t="shared" si="11"/>
        <v>63.635865845311429</v>
      </c>
      <c r="N71" s="178">
        <f t="shared" si="12"/>
        <v>63</v>
      </c>
      <c r="O71" s="178">
        <f t="shared" si="13"/>
        <v>64</v>
      </c>
      <c r="P71" s="178">
        <f t="shared" si="14"/>
        <v>0.63586584531142876</v>
      </c>
      <c r="Q71" s="178">
        <f t="shared" si="15"/>
        <v>0.36413415468857124</v>
      </c>
      <c r="R71" s="179">
        <f>IF(J71=1,VLOOKUP(N71,'Annuity Factors '!$K$10:$O$92,5, FALSE),VLOOKUP(N71,'Annuity Factors '!$A$10:$E$92,5,FALSE))</f>
        <v>10.92657</v>
      </c>
      <c r="S71" s="179">
        <f>IF(J71=1,VLOOKUP(O71,'Annuity Factors '!$K$10:$O$92,5, FALSE),VLOOKUP(O71,'Annuity Factors '!$A$10:$E$92,5,FALSE))</f>
        <v>11.64986</v>
      </c>
    </row>
    <row r="72" spans="2:19" x14ac:dyDescent="0.25">
      <c r="B72" s="1">
        <v>514</v>
      </c>
      <c r="C72" s="19">
        <f t="shared" si="8"/>
        <v>17654.858563390651</v>
      </c>
      <c r="D72" s="172">
        <f>SUM('Yearly Pension'!$G72:$AW72) *E72</f>
        <v>332969.80037831288</v>
      </c>
      <c r="E72" s="171">
        <f t="shared" si="9"/>
        <v>7.9078404312115005</v>
      </c>
      <c r="F72" s="19">
        <f>VLOOKUP(I72,'Yearly Pension'!$C$3:$AX$81,48,FALSE)</f>
        <v>2232.5764811475697</v>
      </c>
      <c r="G72" s="46"/>
      <c r="H72" s="11">
        <v>600</v>
      </c>
      <c r="I72" s="11">
        <v>514</v>
      </c>
      <c r="J72" s="11">
        <v>1</v>
      </c>
      <c r="K72" s="11">
        <v>19621222</v>
      </c>
      <c r="L72" s="177">
        <f t="shared" si="10"/>
        <v>23002</v>
      </c>
      <c r="M72" s="178">
        <f t="shared" si="11"/>
        <v>57.026694045174537</v>
      </c>
      <c r="N72" s="178">
        <f t="shared" si="12"/>
        <v>57</v>
      </c>
      <c r="O72" s="178">
        <f t="shared" si="13"/>
        <v>58</v>
      </c>
      <c r="P72" s="178">
        <f t="shared" si="14"/>
        <v>2.6694045174536996E-2</v>
      </c>
      <c r="Q72" s="178">
        <f t="shared" si="15"/>
        <v>0.973305954825463</v>
      </c>
      <c r="R72" s="179">
        <f>IF(J72=1,VLOOKUP(N72,'Annuity Factors '!$K$10:$O$92,5, FALSE),VLOOKUP(N72,'Annuity Factors '!$A$10:$E$92,5,FALSE))</f>
        <v>7.4254699999999998</v>
      </c>
      <c r="S72" s="179">
        <f>IF(J72=1,VLOOKUP(O72,'Annuity Factors '!$K$10:$O$92,5, FALSE),VLOOKUP(O72,'Annuity Factors '!$A$10:$E$92,5,FALSE))</f>
        <v>7.9210700000000003</v>
      </c>
    </row>
    <row r="73" spans="2:19" x14ac:dyDescent="0.25">
      <c r="B73" s="1">
        <v>498</v>
      </c>
      <c r="C73" s="19">
        <f t="shared" si="8"/>
        <v>17628.022124419731</v>
      </c>
      <c r="D73" s="172">
        <f>SUM('Yearly Pension'!$G73:$AW73) *E73</f>
        <v>335099.08604517265</v>
      </c>
      <c r="E73" s="171">
        <f t="shared" si="9"/>
        <v>7.8267669199178638</v>
      </c>
      <c r="F73" s="19">
        <f>VLOOKUP(I73,'Yearly Pension'!$C$3:$AX$81,48,FALSE)</f>
        <v>2252.2738066415709</v>
      </c>
      <c r="G73" s="46"/>
      <c r="H73" s="11">
        <v>600</v>
      </c>
      <c r="I73" s="11">
        <v>498</v>
      </c>
      <c r="J73" s="11">
        <v>1</v>
      </c>
      <c r="K73" s="11">
        <v>19620311</v>
      </c>
      <c r="L73" s="177">
        <f t="shared" si="10"/>
        <v>22716</v>
      </c>
      <c r="M73" s="178">
        <f t="shared" si="11"/>
        <v>57.809719370294317</v>
      </c>
      <c r="N73" s="178">
        <f t="shared" si="12"/>
        <v>57</v>
      </c>
      <c r="O73" s="178">
        <f t="shared" si="13"/>
        <v>58</v>
      </c>
      <c r="P73" s="178">
        <f t="shared" si="14"/>
        <v>0.80971937029431729</v>
      </c>
      <c r="Q73" s="178">
        <f t="shared" si="15"/>
        <v>0.19028062970568271</v>
      </c>
      <c r="R73" s="179">
        <f>IF(J73=1,VLOOKUP(N73,'Annuity Factors '!$K$10:$O$92,5, FALSE),VLOOKUP(N73,'Annuity Factors '!$A$10:$E$92,5,FALSE))</f>
        <v>7.4254699999999998</v>
      </c>
      <c r="S73" s="179">
        <f>IF(J73=1,VLOOKUP(O73,'Annuity Factors '!$K$10:$O$92,5, FALSE),VLOOKUP(O73,'Annuity Factors '!$A$10:$E$92,5,FALSE))</f>
        <v>7.9210700000000003</v>
      </c>
    </row>
    <row r="74" spans="2:19" x14ac:dyDescent="0.25">
      <c r="B74" s="1">
        <v>482</v>
      </c>
      <c r="C74" s="19">
        <f t="shared" si="8"/>
        <v>20798.023112533789</v>
      </c>
      <c r="D74" s="172">
        <f>SUM('Yearly Pension'!$G74:$AW74) *E74</f>
        <v>397586.82615617302</v>
      </c>
      <c r="E74" s="171">
        <f t="shared" si="9"/>
        <v>9.1541748186173866</v>
      </c>
      <c r="F74" s="19">
        <f>VLOOKUP(I74,'Yearly Pension'!$C$3:$AX$81,48,FALSE)</f>
        <v>2271.971370946032</v>
      </c>
      <c r="G74" s="46"/>
      <c r="H74" s="11">
        <v>600</v>
      </c>
      <c r="I74" s="11">
        <v>482</v>
      </c>
      <c r="J74" s="11">
        <v>2</v>
      </c>
      <c r="K74" s="11">
        <v>19600207</v>
      </c>
      <c r="L74" s="177">
        <f t="shared" si="10"/>
        <v>21953</v>
      </c>
      <c r="M74" s="178">
        <f t="shared" si="11"/>
        <v>59.898699520876114</v>
      </c>
      <c r="N74" s="178">
        <f t="shared" si="12"/>
        <v>59</v>
      </c>
      <c r="O74" s="178">
        <f t="shared" si="13"/>
        <v>60</v>
      </c>
      <c r="P74" s="178">
        <f t="shared" si="14"/>
        <v>0.89869952087611438</v>
      </c>
      <c r="Q74" s="178">
        <f t="shared" si="15"/>
        <v>0.10130047912388562</v>
      </c>
      <c r="R74" s="179">
        <f>IF(J74=1,VLOOKUP(N74,'Annuity Factors '!$K$10:$O$92,5, FALSE),VLOOKUP(N74,'Annuity Factors '!$A$10:$E$92,5,FALSE))</f>
        <v>8.6488900000000015</v>
      </c>
      <c r="S74" s="179">
        <f>IF(J74=1,VLOOKUP(O74,'Annuity Factors '!$K$10:$O$92,5, FALSE),VLOOKUP(O74,'Annuity Factors '!$A$10:$E$92,5,FALSE))</f>
        <v>9.2111300000000007</v>
      </c>
    </row>
    <row r="75" spans="2:19" x14ac:dyDescent="0.25">
      <c r="B75" s="1">
        <v>481</v>
      </c>
      <c r="C75" s="19">
        <f t="shared" si="8"/>
        <v>26514.946583968853</v>
      </c>
      <c r="D75" s="172">
        <f>SUM('Yearly Pension'!$G75:$AW75) *E75</f>
        <v>507028.58012272982</v>
      </c>
      <c r="E75" s="171">
        <f t="shared" si="9"/>
        <v>11.57014826146475</v>
      </c>
      <c r="F75" s="19">
        <f>VLOOKUP(I75,'Yearly Pension'!$C$3:$AX$81,48,FALSE)</f>
        <v>2291.6686964400342</v>
      </c>
      <c r="G75" s="46"/>
      <c r="H75" s="11">
        <v>600</v>
      </c>
      <c r="I75" s="11">
        <v>481</v>
      </c>
      <c r="J75" s="11">
        <v>2</v>
      </c>
      <c r="K75" s="11">
        <v>19560812</v>
      </c>
      <c r="L75" s="177">
        <f t="shared" si="10"/>
        <v>20679</v>
      </c>
      <c r="M75" s="178">
        <f t="shared" si="11"/>
        <v>63.38672142368241</v>
      </c>
      <c r="N75" s="178">
        <f t="shared" si="12"/>
        <v>63</v>
      </c>
      <c r="O75" s="178">
        <f t="shared" si="13"/>
        <v>64</v>
      </c>
      <c r="P75" s="178">
        <f t="shared" si="14"/>
        <v>0.38672142368240969</v>
      </c>
      <c r="Q75" s="178">
        <f t="shared" si="15"/>
        <v>0.61327857631759031</v>
      </c>
      <c r="R75" s="179">
        <f>IF(J75=1,VLOOKUP(N75,'Annuity Factors '!$K$10:$O$92,5, FALSE),VLOOKUP(N75,'Annuity Factors '!$A$10:$E$92,5,FALSE))</f>
        <v>11.126569999999999</v>
      </c>
      <c r="S75" s="179">
        <f>IF(J75=1,VLOOKUP(O75,'Annuity Factors '!$K$10:$O$92,5, FALSE),VLOOKUP(O75,'Annuity Factors '!$A$10:$E$92,5,FALSE))</f>
        <v>11.84986</v>
      </c>
    </row>
    <row r="76" spans="2:19" x14ac:dyDescent="0.25">
      <c r="B76" s="1">
        <v>474</v>
      </c>
      <c r="C76" s="19">
        <f t="shared" si="8"/>
        <v>17886.667281744922</v>
      </c>
      <c r="D76" s="172">
        <f>SUM('Yearly Pension'!$G76:$AW76) *E76</f>
        <v>343950.67984793539</v>
      </c>
      <c r="E76" s="171">
        <f t="shared" si="9"/>
        <v>7.7385697946611902</v>
      </c>
      <c r="F76" s="19">
        <f>VLOOKUP(I76,'Yearly Pension'!$C$3:$AX$81,48,FALSE)</f>
        <v>2311.3660219340354</v>
      </c>
      <c r="G76" s="46"/>
      <c r="H76" s="11">
        <v>600</v>
      </c>
      <c r="I76" s="11">
        <v>474</v>
      </c>
      <c r="J76" s="11">
        <v>1</v>
      </c>
      <c r="K76" s="11">
        <v>19620515</v>
      </c>
      <c r="L76" s="177">
        <f t="shared" si="10"/>
        <v>22781</v>
      </c>
      <c r="M76" s="178">
        <f t="shared" si="11"/>
        <v>57.63175906913073</v>
      </c>
      <c r="N76" s="178">
        <f t="shared" si="12"/>
        <v>57</v>
      </c>
      <c r="O76" s="178">
        <f t="shared" si="13"/>
        <v>58</v>
      </c>
      <c r="P76" s="178">
        <f t="shared" si="14"/>
        <v>0.63175906913073021</v>
      </c>
      <c r="Q76" s="178">
        <f t="shared" si="15"/>
        <v>0.36824093086926979</v>
      </c>
      <c r="R76" s="179">
        <f>IF(J76=1,VLOOKUP(N76,'Annuity Factors '!$K$10:$O$92,5, FALSE),VLOOKUP(N76,'Annuity Factors '!$A$10:$E$92,5,FALSE))</f>
        <v>7.4254699999999998</v>
      </c>
      <c r="S76" s="179">
        <f>IF(J76=1,VLOOKUP(O76,'Annuity Factors '!$K$10:$O$92,5, FALSE),VLOOKUP(O76,'Annuity Factors '!$A$10:$E$92,5,FALSE))</f>
        <v>7.9210700000000003</v>
      </c>
    </row>
    <row r="77" spans="2:19" x14ac:dyDescent="0.25">
      <c r="B77" s="1">
        <v>452</v>
      </c>
      <c r="C77" s="19">
        <f t="shared" si="8"/>
        <v>24952.653466777159</v>
      </c>
      <c r="D77" s="172">
        <f>SUM('Yearly Pension'!$G77:$AW77) *E77</f>
        <v>487985.75540951977</v>
      </c>
      <c r="E77" s="171">
        <f t="shared" si="9"/>
        <v>10.61471344969199</v>
      </c>
      <c r="F77" s="19">
        <f>VLOOKUP(I77,'Yearly Pension'!$C$3:$AX$81,48,FALSE)</f>
        <v>2350.7609117324987</v>
      </c>
      <c r="G77" s="46"/>
      <c r="H77" s="11">
        <v>600</v>
      </c>
      <c r="I77" s="11">
        <v>452</v>
      </c>
      <c r="J77" s="11">
        <v>1</v>
      </c>
      <c r="K77" s="11">
        <v>19570617</v>
      </c>
      <c r="L77" s="177">
        <f t="shared" si="10"/>
        <v>20988</v>
      </c>
      <c r="M77" s="178">
        <f t="shared" si="11"/>
        <v>62.540725530458587</v>
      </c>
      <c r="N77" s="178">
        <f t="shared" si="12"/>
        <v>62</v>
      </c>
      <c r="O77" s="178">
        <f t="shared" si="13"/>
        <v>63</v>
      </c>
      <c r="P77" s="178">
        <f t="shared" si="14"/>
        <v>0.5407255304585874</v>
      </c>
      <c r="Q77" s="178">
        <f t="shared" si="15"/>
        <v>0.4592744695414126</v>
      </c>
      <c r="R77" s="179">
        <f>IF(J77=1,VLOOKUP(N77,'Annuity Factors '!$K$10:$O$92,5, FALSE),VLOOKUP(N77,'Annuity Factors '!$A$10:$E$92,5,FALSE))</f>
        <v>10.24755</v>
      </c>
      <c r="S77" s="179">
        <f>IF(J77=1,VLOOKUP(O77,'Annuity Factors '!$K$10:$O$92,5, FALSE),VLOOKUP(O77,'Annuity Factors '!$A$10:$E$92,5,FALSE))</f>
        <v>10.92657</v>
      </c>
    </row>
    <row r="78" spans="2:19" x14ac:dyDescent="0.25">
      <c r="B78" s="1">
        <v>391</v>
      </c>
      <c r="C78" s="19">
        <f t="shared" si="8"/>
        <v>21681.223103893735</v>
      </c>
      <c r="D78" s="172">
        <f>SUM('Yearly Pension'!$G78:$AW78) *E78</f>
        <v>431710.53232378315</v>
      </c>
      <c r="E78" s="171">
        <f t="shared" si="9"/>
        <v>9.0710510403833009</v>
      </c>
      <c r="F78" s="19">
        <f>VLOOKUP(I78,'Yearly Pension'!$C$3:$AX$81,48,FALSE)</f>
        <v>2390.1555627205012</v>
      </c>
      <c r="G78" s="46"/>
      <c r="H78" s="11">
        <v>600</v>
      </c>
      <c r="I78" s="11">
        <v>391</v>
      </c>
      <c r="J78" s="11">
        <v>2</v>
      </c>
      <c r="K78" s="11">
        <v>19600401</v>
      </c>
      <c r="L78" s="177">
        <f t="shared" si="10"/>
        <v>22007</v>
      </c>
      <c r="M78" s="178">
        <f t="shared" si="11"/>
        <v>59.750855578370981</v>
      </c>
      <c r="N78" s="178">
        <f t="shared" si="12"/>
        <v>59</v>
      </c>
      <c r="O78" s="178">
        <f t="shared" si="13"/>
        <v>60</v>
      </c>
      <c r="P78" s="178">
        <f t="shared" si="14"/>
        <v>0.75085557837098094</v>
      </c>
      <c r="Q78" s="178">
        <f t="shared" si="15"/>
        <v>0.24914442162901906</v>
      </c>
      <c r="R78" s="179">
        <f>IF(J78=1,VLOOKUP(N78,'Annuity Factors '!$K$10:$O$92,5, FALSE),VLOOKUP(N78,'Annuity Factors '!$A$10:$E$92,5,FALSE))</f>
        <v>8.6488900000000015</v>
      </c>
      <c r="S78" s="179">
        <f>IF(J78=1,VLOOKUP(O78,'Annuity Factors '!$K$10:$O$92,5, FALSE),VLOOKUP(O78,'Annuity Factors '!$A$10:$E$92,5,FALSE))</f>
        <v>9.2111300000000007</v>
      </c>
    </row>
    <row r="79" spans="2:19" x14ac:dyDescent="0.25">
      <c r="B79" s="1">
        <v>386</v>
      </c>
      <c r="C79" s="19">
        <f t="shared" si="8"/>
        <v>25607.898177590811</v>
      </c>
      <c r="D79" s="172">
        <f>SUM('Yearly Pension'!$G79:$AW79) *E79</f>
        <v>511476.57774549973</v>
      </c>
      <c r="E79" s="171">
        <f t="shared" si="9"/>
        <v>10.62633254620123</v>
      </c>
      <c r="F79" s="19">
        <f>VLOOKUP(I79,'Yearly Pension'!$C$3:$AX$81,48,FALSE)</f>
        <v>2409.8528882145033</v>
      </c>
      <c r="G79" s="46"/>
      <c r="H79" s="11">
        <v>600</v>
      </c>
      <c r="I79" s="11">
        <v>386</v>
      </c>
      <c r="J79" s="11">
        <v>1</v>
      </c>
      <c r="K79" s="11">
        <v>19570723</v>
      </c>
      <c r="L79" s="177">
        <f t="shared" si="10"/>
        <v>21024</v>
      </c>
      <c r="M79" s="178">
        <f t="shared" si="11"/>
        <v>62.442162902121837</v>
      </c>
      <c r="N79" s="178">
        <f t="shared" si="12"/>
        <v>62</v>
      </c>
      <c r="O79" s="178">
        <f t="shared" si="13"/>
        <v>63</v>
      </c>
      <c r="P79" s="178">
        <f t="shared" si="14"/>
        <v>0.44216290212183651</v>
      </c>
      <c r="Q79" s="178">
        <f t="shared" si="15"/>
        <v>0.55783709787816349</v>
      </c>
      <c r="R79" s="179">
        <f>IF(J79=1,VLOOKUP(N79,'Annuity Factors '!$K$10:$O$92,5, FALSE),VLOOKUP(N79,'Annuity Factors '!$A$10:$E$92,5,FALSE))</f>
        <v>10.24755</v>
      </c>
      <c r="S79" s="179">
        <f>IF(J79=1,VLOOKUP(O79,'Annuity Factors '!$K$10:$O$92,5, FALSE),VLOOKUP(O79,'Annuity Factors '!$A$10:$E$92,5,FALSE))</f>
        <v>10.92657</v>
      </c>
    </row>
    <row r="80" spans="2:19" x14ac:dyDescent="0.25">
      <c r="B80" s="1">
        <v>360</v>
      </c>
      <c r="C80" s="19">
        <f t="shared" si="8"/>
        <v>27741.607116999621</v>
      </c>
      <c r="D80" s="172">
        <f>SUM('Yearly Pension'!$G80:$AW80) *E80</f>
        <v>557453.06407990365</v>
      </c>
      <c r="E80" s="171">
        <f t="shared" si="9"/>
        <v>11.326582539356604</v>
      </c>
      <c r="F80" s="19">
        <f>VLOOKUP(I80,'Yearly Pension'!$C$3:$AX$81,48,FALSE)</f>
        <v>2449.2477780129661</v>
      </c>
      <c r="G80" s="46"/>
      <c r="H80" s="11">
        <v>600</v>
      </c>
      <c r="I80" s="11">
        <v>360</v>
      </c>
      <c r="J80" s="11">
        <v>1</v>
      </c>
      <c r="K80" s="11">
        <v>19560721</v>
      </c>
      <c r="L80" s="177">
        <f t="shared" si="10"/>
        <v>20657</v>
      </c>
      <c r="M80" s="178">
        <f t="shared" si="11"/>
        <v>63.446954140999317</v>
      </c>
      <c r="N80" s="178">
        <f t="shared" si="12"/>
        <v>63</v>
      </c>
      <c r="O80" s="178">
        <f t="shared" si="13"/>
        <v>64</v>
      </c>
      <c r="P80" s="178">
        <f t="shared" si="14"/>
        <v>0.44695414099931696</v>
      </c>
      <c r="Q80" s="178">
        <f t="shared" si="15"/>
        <v>0.55304585900068304</v>
      </c>
      <c r="R80" s="179">
        <f>IF(J80=1,VLOOKUP(N80,'Annuity Factors '!$K$10:$O$92,5, FALSE),VLOOKUP(N80,'Annuity Factors '!$A$10:$E$92,5,FALSE))</f>
        <v>10.92657</v>
      </c>
      <c r="S80" s="179">
        <f>IF(J80=1,VLOOKUP(O80,'Annuity Factors '!$K$10:$O$92,5, FALSE),VLOOKUP(O80,'Annuity Factors '!$A$10:$E$92,5,FALSE))</f>
        <v>11.64986</v>
      </c>
    </row>
    <row r="81" spans="2:19" x14ac:dyDescent="0.25">
      <c r="B81" s="1">
        <v>316</v>
      </c>
      <c r="C81" s="19">
        <f t="shared" si="8"/>
        <v>25231.903065155249</v>
      </c>
      <c r="D81" s="172">
        <f>SUM('Yearly Pension'!$G81:$AW81) *E81</f>
        <v>524416.65883750969</v>
      </c>
      <c r="E81" s="171">
        <f t="shared" si="9"/>
        <v>10.219710041067763</v>
      </c>
      <c r="F81" s="19">
        <f>VLOOKUP(I81,'Yearly Pension'!$C$3:$AX$81,48,FALSE)</f>
        <v>2468.9451035069678</v>
      </c>
      <c r="G81" s="46"/>
      <c r="H81" s="11">
        <v>600</v>
      </c>
      <c r="I81" s="11">
        <v>316</v>
      </c>
      <c r="J81" s="11">
        <v>2</v>
      </c>
      <c r="K81" s="11">
        <v>19580511</v>
      </c>
      <c r="L81" s="177">
        <f t="shared" si="10"/>
        <v>21316</v>
      </c>
      <c r="M81" s="178">
        <f t="shared" si="11"/>
        <v>61.642710472279262</v>
      </c>
      <c r="N81" s="178">
        <f t="shared" si="12"/>
        <v>61</v>
      </c>
      <c r="O81" s="178">
        <f t="shared" si="13"/>
        <v>62</v>
      </c>
      <c r="P81" s="178">
        <f t="shared" si="14"/>
        <v>0.64271047227926204</v>
      </c>
      <c r="Q81" s="178">
        <f t="shared" si="15"/>
        <v>0.35728952772073796</v>
      </c>
      <c r="R81" s="179">
        <f>IF(J81=1,VLOOKUP(N81,'Annuity Factors '!$K$10:$O$92,5, FALSE),VLOOKUP(N81,'Annuity Factors '!$A$10:$E$92,5,FALSE))</f>
        <v>9.8098600000000005</v>
      </c>
      <c r="S81" s="179">
        <f>IF(J81=1,VLOOKUP(O81,'Annuity Factors '!$K$10:$O$92,5, FALSE),VLOOKUP(O81,'Annuity Factors '!$A$10:$E$92,5,FALSE))</f>
        <v>10.44755</v>
      </c>
    </row>
  </sheetData>
  <mergeCells count="1">
    <mergeCell ref="B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31D-1FCB-47DA-A83A-B526DC75A373}">
  <dimension ref="A1:S81"/>
  <sheetViews>
    <sheetView showGridLine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2" x14ac:dyDescent="0.25"/>
  <cols>
    <col min="1" max="1" width="14.44140625" bestFit="1" customWidth="1"/>
    <col min="2" max="2" width="12.77734375" bestFit="1" customWidth="1"/>
    <col min="3" max="4" width="16.5546875" bestFit="1" customWidth="1"/>
    <col min="5" max="5" width="19.77734375" bestFit="1" customWidth="1"/>
    <col min="6" max="6" width="14" bestFit="1" customWidth="1"/>
    <col min="7" max="7" width="16.77734375" bestFit="1" customWidth="1"/>
    <col min="8" max="8" width="11.88671875" bestFit="1" customWidth="1"/>
    <col min="9" max="9" width="12.77734375" bestFit="1" customWidth="1"/>
    <col min="10" max="10" width="16.77734375" bestFit="1" customWidth="1"/>
    <col min="11" max="11" width="12" customWidth="1"/>
    <col min="12" max="12" width="11.88671875" bestFit="1" customWidth="1"/>
    <col min="13" max="13" width="8.109375" customWidth="1"/>
    <col min="14" max="14" width="16.33203125" bestFit="1" customWidth="1"/>
    <col min="15" max="15" width="13.77734375" bestFit="1" customWidth="1"/>
    <col min="16" max="16" width="10.5546875" customWidth="1"/>
    <col min="17" max="17" width="13.21875" bestFit="1" customWidth="1"/>
    <col min="18" max="18" width="11.21875" customWidth="1"/>
    <col min="19" max="19" width="12.109375" customWidth="1"/>
  </cols>
  <sheetData>
    <row r="1" spans="1:19" ht="13.8" thickBot="1" x14ac:dyDescent="0.3">
      <c r="A1" s="78" t="s">
        <v>60</v>
      </c>
      <c r="B1" s="142" t="s">
        <v>4</v>
      </c>
      <c r="C1" s="79" t="s">
        <v>64</v>
      </c>
      <c r="D1" s="79" t="s">
        <v>65</v>
      </c>
      <c r="E1" s="79" t="s">
        <v>66</v>
      </c>
      <c r="F1" s="160" t="s">
        <v>61</v>
      </c>
      <c r="G1" s="8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7"/>
    </row>
    <row r="2" spans="1:19" ht="13.8" thickBot="1" x14ac:dyDescent="0.3">
      <c r="A2" s="174">
        <v>45658</v>
      </c>
      <c r="B2" s="143"/>
      <c r="C2" s="173" t="s">
        <v>63</v>
      </c>
      <c r="D2" s="173" t="s">
        <v>63</v>
      </c>
      <c r="E2" s="173" t="s">
        <v>63</v>
      </c>
      <c r="F2" s="144" t="s">
        <v>69</v>
      </c>
      <c r="G2" s="180"/>
      <c r="H2" s="48" t="s">
        <v>0</v>
      </c>
      <c r="I2" s="48" t="s">
        <v>4</v>
      </c>
      <c r="J2" s="48" t="s">
        <v>3</v>
      </c>
      <c r="K2" s="48" t="s">
        <v>1</v>
      </c>
      <c r="L2" s="48" t="s">
        <v>1</v>
      </c>
      <c r="M2" s="175" t="s">
        <v>7</v>
      </c>
      <c r="N2" s="175" t="s">
        <v>54</v>
      </c>
      <c r="O2" s="175" t="s">
        <v>55</v>
      </c>
      <c r="P2" s="175" t="s">
        <v>59</v>
      </c>
      <c r="Q2" s="175" t="s">
        <v>58</v>
      </c>
      <c r="R2" s="175" t="s">
        <v>56</v>
      </c>
      <c r="S2" s="176" t="s">
        <v>57</v>
      </c>
    </row>
    <row r="3" spans="1:19" x14ac:dyDescent="0.25">
      <c r="A3" s="18"/>
      <c r="B3" s="1">
        <v>761</v>
      </c>
      <c r="C3" s="19">
        <f>E3*F3</f>
        <v>5015.4994447638619</v>
      </c>
      <c r="D3" s="172">
        <f>SUM('Yearly Pension'!$G3:$AV3) *E3</f>
        <v>75232.49167145793</v>
      </c>
      <c r="E3" s="171">
        <f>IF(P3&gt;=Q3, P3*S3+ Q3*R3, P3*R3+Q3*S3)</f>
        <v>6.965971451060919</v>
      </c>
      <c r="F3" s="19">
        <f>VLOOKUP(I3,'Yearly Pension'!$C$3:$BC$81,53,FALSE)</f>
        <v>720</v>
      </c>
      <c r="G3" s="46"/>
      <c r="H3" s="11">
        <v>500</v>
      </c>
      <c r="I3" s="11">
        <v>761</v>
      </c>
      <c r="J3" s="11">
        <v>2</v>
      </c>
      <c r="K3" s="11">
        <v>19700319</v>
      </c>
      <c r="L3" s="177">
        <f>DATE(LEFT(K3,4), MID(K3, 5, 2), RIGHT(K3, 2))</f>
        <v>25646</v>
      </c>
      <c r="M3" s="178">
        <f>($A$2-L3)/365.25</f>
        <v>54.789869952087614</v>
      </c>
      <c r="N3" s="178">
        <f>ROUNDDOWN(M3, 0)</f>
        <v>54</v>
      </c>
      <c r="O3" s="178">
        <f>ROUNDUP(M3,0)</f>
        <v>55</v>
      </c>
      <c r="P3" s="178">
        <f>M3-N3</f>
        <v>0.78986995208761357</v>
      </c>
      <c r="Q3" s="178">
        <f>1-P3</f>
        <v>0.21013004791238643</v>
      </c>
      <c r="R3" s="179">
        <f>IF(J3=1,VLOOKUP(N3,'Annuity Factors '!$K$10:$S$92,9, FALSE),VLOOKUP(N3,'Annuity Factors '!$A$10:$I$92,9,FALSE))</f>
        <v>6.6158299999999999</v>
      </c>
      <c r="S3" s="179">
        <f>IF(J3=1,VLOOKUP(O3,'Annuity Factors '!$K$10:$S$92,9, FALSE),VLOOKUP(O3,'Annuity Factors '!$A$10:$I$92,9,FALSE))</f>
        <v>7.0591200000000001</v>
      </c>
    </row>
    <row r="4" spans="1:19" x14ac:dyDescent="0.25">
      <c r="A4" s="1"/>
      <c r="B4" s="1">
        <v>735</v>
      </c>
      <c r="C4" s="19">
        <f t="shared" ref="C4:C67" si="0">E4*F4</f>
        <v>4068.1470800821362</v>
      </c>
      <c r="D4" s="172">
        <f>SUM('Yearly Pension'!$G4:$AV4) *E4</f>
        <v>71870.598414784399</v>
      </c>
      <c r="E4" s="171">
        <f t="shared" ref="E4:E67" si="1">IF(P4&gt;=Q4, P4*S4+ Q4*R4, P4*R4+Q4*S4)</f>
        <v>5.6502042778918558</v>
      </c>
      <c r="F4" s="19">
        <f>VLOOKUP(I4,'Yearly Pension'!$C$3:$BC$81,53,FALSE)</f>
        <v>720</v>
      </c>
      <c r="G4" s="46"/>
      <c r="H4" s="11">
        <v>500</v>
      </c>
      <c r="I4" s="11">
        <v>735</v>
      </c>
      <c r="J4" s="11">
        <v>2</v>
      </c>
      <c r="K4" s="11">
        <v>19730611</v>
      </c>
      <c r="L4" s="177">
        <f t="shared" ref="L4:L67" si="2">DATE(LEFT(K4,4), MID(K4, 5, 2), RIGHT(K4, 2))</f>
        <v>26826</v>
      </c>
      <c r="M4" s="178">
        <f t="shared" ref="M4:M67" si="3">($A$2-L4)/365.25</f>
        <v>51.559206023271734</v>
      </c>
      <c r="N4" s="178">
        <f t="shared" ref="N4:N67" si="4">ROUNDDOWN(M4, 0)</f>
        <v>51</v>
      </c>
      <c r="O4" s="178">
        <f t="shared" ref="O4:O67" si="5">ROUNDUP(M4,0)</f>
        <v>52</v>
      </c>
      <c r="P4" s="178">
        <f t="shared" ref="P4:P67" si="6">M4-N4</f>
        <v>0.55920602327173441</v>
      </c>
      <c r="Q4" s="178">
        <f t="shared" ref="Q4:Q67" si="7">1-P4</f>
        <v>0.44079397672826559</v>
      </c>
      <c r="R4" s="179">
        <f>IF(J4=1,VLOOKUP(N4,'Annuity Factors '!$K$10:$S$92,9, FALSE),VLOOKUP(N4,'Annuity Factors '!$A$10:$I$92,9,FALSE))</f>
        <v>5.4461500000000003</v>
      </c>
      <c r="S4" s="179">
        <f>IF(J4=1,VLOOKUP(O4,'Annuity Factors '!$K$10:$S$92,9, FALSE),VLOOKUP(O4,'Annuity Factors '!$A$10:$I$92,9,FALSE))</f>
        <v>5.8110499999999998</v>
      </c>
    </row>
    <row r="5" spans="1:19" x14ac:dyDescent="0.25">
      <c r="A5" s="1"/>
      <c r="B5" s="1">
        <v>769</v>
      </c>
      <c r="C5" s="19">
        <f t="shared" si="0"/>
        <v>3630.3353248459953</v>
      </c>
      <c r="D5" s="172">
        <f>SUM('Yearly Pension'!$G5:$AV5) *E5</f>
        <v>52639.862210266932</v>
      </c>
      <c r="E5" s="171">
        <f t="shared" si="1"/>
        <v>5.0421323956194382</v>
      </c>
      <c r="F5" s="19">
        <f>VLOOKUP(I5,'Yearly Pension'!$C$3:$BC$81,53,FALSE)</f>
        <v>720</v>
      </c>
      <c r="G5" s="46"/>
      <c r="H5" s="11">
        <v>500</v>
      </c>
      <c r="I5" s="11">
        <v>769</v>
      </c>
      <c r="J5" s="11">
        <v>2</v>
      </c>
      <c r="K5" s="11">
        <v>19751023</v>
      </c>
      <c r="L5" s="177">
        <f t="shared" si="2"/>
        <v>27690</v>
      </c>
      <c r="M5" s="178">
        <f t="shared" si="3"/>
        <v>49.193702943189599</v>
      </c>
      <c r="N5" s="178">
        <f t="shared" si="4"/>
        <v>49</v>
      </c>
      <c r="O5" s="178">
        <f t="shared" si="5"/>
        <v>50</v>
      </c>
      <c r="P5" s="178">
        <f t="shared" si="6"/>
        <v>0.19370294318959935</v>
      </c>
      <c r="Q5" s="178">
        <f t="shared" si="7"/>
        <v>0.80629705681040065</v>
      </c>
      <c r="R5" s="179">
        <f>IF(J5=1,VLOOKUP(N5,'Annuity Factors '!$K$10:$S$92,9, FALSE),VLOOKUP(N5,'Annuity Factors '!$A$10:$I$92,9,FALSE))</f>
        <v>4.78369</v>
      </c>
      <c r="S5" s="179">
        <f>IF(J5=1,VLOOKUP(O5,'Annuity Factors '!$K$10:$S$92,9, FALSE),VLOOKUP(O5,'Annuity Factors '!$A$10:$I$92,9,FALSE))</f>
        <v>5.1042200000000006</v>
      </c>
    </row>
    <row r="6" spans="1:19" x14ac:dyDescent="0.25">
      <c r="A6" s="1"/>
      <c r="B6" s="1">
        <v>786</v>
      </c>
      <c r="C6" s="19">
        <f t="shared" si="0"/>
        <v>4730.0283203285417</v>
      </c>
      <c r="D6" s="172">
        <f>SUM('Yearly Pension'!$G6:$AV6) *E6</f>
        <v>62672.87524435317</v>
      </c>
      <c r="E6" s="171">
        <f t="shared" si="1"/>
        <v>6.5694837782340851</v>
      </c>
      <c r="F6" s="19">
        <f>VLOOKUP(I6,'Yearly Pension'!$C$3:$BC$81,53,FALSE)</f>
        <v>720</v>
      </c>
      <c r="G6" s="46"/>
      <c r="H6" s="11">
        <v>500</v>
      </c>
      <c r="I6" s="11">
        <v>786</v>
      </c>
      <c r="J6" s="11">
        <v>2</v>
      </c>
      <c r="K6" s="11">
        <v>19711122</v>
      </c>
      <c r="L6" s="177">
        <f t="shared" si="2"/>
        <v>26259</v>
      </c>
      <c r="M6" s="178">
        <f t="shared" si="3"/>
        <v>53.111567419575636</v>
      </c>
      <c r="N6" s="178">
        <f t="shared" si="4"/>
        <v>53</v>
      </c>
      <c r="O6" s="178">
        <f t="shared" si="5"/>
        <v>54</v>
      </c>
      <c r="P6" s="178">
        <f t="shared" si="6"/>
        <v>0.11156741957563554</v>
      </c>
      <c r="Q6" s="178">
        <f t="shared" si="7"/>
        <v>0.88843258042436446</v>
      </c>
      <c r="R6" s="179">
        <f>IF(J6=1,VLOOKUP(N6,'Annuity Factors '!$K$10:$S$92,9, FALSE),VLOOKUP(N6,'Annuity Factors '!$A$10:$I$92,9,FALSE))</f>
        <v>6.2004200000000003</v>
      </c>
      <c r="S6" s="179">
        <f>IF(J6=1,VLOOKUP(O6,'Annuity Factors '!$K$10:$S$92,9, FALSE),VLOOKUP(O6,'Annuity Factors '!$A$10:$I$92,9,FALSE))</f>
        <v>6.6158299999999999</v>
      </c>
    </row>
    <row r="7" spans="1:19" x14ac:dyDescent="0.25">
      <c r="A7" s="1"/>
      <c r="B7" s="1">
        <v>785</v>
      </c>
      <c r="C7" s="19">
        <f t="shared" si="0"/>
        <v>1768.9400427104722</v>
      </c>
      <c r="D7" s="172">
        <f>SUM('Yearly Pension'!$G7:$AV7) *E7</f>
        <v>23438.455565913755</v>
      </c>
      <c r="E7" s="171">
        <f t="shared" si="1"/>
        <v>2.4568611704312113</v>
      </c>
      <c r="F7" s="19">
        <f>VLOOKUP(I7,'Yearly Pension'!$C$3:$BC$81,53,FALSE)</f>
        <v>720</v>
      </c>
      <c r="G7" s="46"/>
      <c r="H7" s="11">
        <v>500</v>
      </c>
      <c r="I7" s="11">
        <v>785</v>
      </c>
      <c r="J7" s="11">
        <v>2</v>
      </c>
      <c r="K7" s="11">
        <v>19860414</v>
      </c>
      <c r="L7" s="177">
        <f t="shared" si="2"/>
        <v>31516</v>
      </c>
      <c r="M7" s="178">
        <f t="shared" si="3"/>
        <v>38.718685831622174</v>
      </c>
      <c r="N7" s="178">
        <f t="shared" si="4"/>
        <v>38</v>
      </c>
      <c r="O7" s="178">
        <f t="shared" si="5"/>
        <v>39</v>
      </c>
      <c r="P7" s="178">
        <f t="shared" si="6"/>
        <v>0.71868583162217448</v>
      </c>
      <c r="Q7" s="178">
        <f t="shared" si="7"/>
        <v>0.28131416837782552</v>
      </c>
      <c r="R7" s="179">
        <f>IF(J7=1,VLOOKUP(N7,'Annuity Factors '!$K$10:$S$92,9, FALSE),VLOOKUP(N7,'Annuity Factors '!$A$10:$I$92,9,FALSE))</f>
        <v>2.3439700000000001</v>
      </c>
      <c r="S7" s="179">
        <f>IF(J7=1,VLOOKUP(O7,'Annuity Factors '!$K$10:$S$92,9, FALSE),VLOOKUP(O7,'Annuity Factors '!$A$10:$I$92,9,FALSE))</f>
        <v>2.5010500000000002</v>
      </c>
    </row>
    <row r="8" spans="1:19" x14ac:dyDescent="0.25">
      <c r="A8" s="1"/>
      <c r="B8" s="1">
        <v>784</v>
      </c>
      <c r="C8" s="19">
        <f t="shared" si="0"/>
        <v>7241.5020418891163</v>
      </c>
      <c r="D8" s="172">
        <f>SUM('Yearly Pension'!$G8:$AV8) *E8</f>
        <v>97156.819062012306</v>
      </c>
      <c r="E8" s="171">
        <f t="shared" si="1"/>
        <v>10.057641724845995</v>
      </c>
      <c r="F8" s="19">
        <f>VLOOKUP(I8,'Yearly Pension'!$C$3:$BC$81,53,FALSE)</f>
        <v>720</v>
      </c>
      <c r="G8" s="46"/>
      <c r="H8" s="11">
        <v>500</v>
      </c>
      <c r="I8" s="11">
        <v>784</v>
      </c>
      <c r="J8" s="11">
        <v>2</v>
      </c>
      <c r="K8" s="11">
        <v>19640813</v>
      </c>
      <c r="L8" s="177">
        <f t="shared" si="2"/>
        <v>23602</v>
      </c>
      <c r="M8" s="178">
        <f t="shared" si="3"/>
        <v>60.386036960985628</v>
      </c>
      <c r="N8" s="178">
        <f t="shared" si="4"/>
        <v>60</v>
      </c>
      <c r="O8" s="178">
        <f t="shared" si="5"/>
        <v>61</v>
      </c>
      <c r="P8" s="178">
        <f t="shared" si="6"/>
        <v>0.38603696098562779</v>
      </c>
      <c r="Q8" s="178">
        <f t="shared" si="7"/>
        <v>0.61396303901437221</v>
      </c>
      <c r="R8" s="179">
        <f>IF(J8=1,VLOOKUP(N8,'Annuity Factors '!$K$10:$S$92,9, FALSE),VLOOKUP(N8,'Annuity Factors '!$A$10:$I$92,9,FALSE))</f>
        <v>9.6716800000000021</v>
      </c>
      <c r="S8" s="179">
        <f>IF(J8=1,VLOOKUP(O8,'Annuity Factors '!$K$10:$S$92,9, FALSE),VLOOKUP(O8,'Annuity Factors '!$A$10:$I$92,9,FALSE))</f>
        <v>10.300319999999999</v>
      </c>
    </row>
    <row r="9" spans="1:19" x14ac:dyDescent="0.25">
      <c r="A9" s="1"/>
      <c r="B9" s="1">
        <v>783</v>
      </c>
      <c r="C9" s="19">
        <f t="shared" si="0"/>
        <v>6763.2445503080071</v>
      </c>
      <c r="D9" s="172">
        <f>SUM('Yearly Pension'!$G9:$AV9) *E9</f>
        <v>90740.197716632421</v>
      </c>
      <c r="E9" s="171">
        <f t="shared" si="1"/>
        <v>9.3933952087611203</v>
      </c>
      <c r="F9" s="19">
        <f>VLOOKUP(I9,'Yearly Pension'!$C$3:$BC$81,53,FALSE)</f>
        <v>720</v>
      </c>
      <c r="G9" s="46"/>
      <c r="H9" s="11">
        <v>500</v>
      </c>
      <c r="I9" s="11">
        <v>783</v>
      </c>
      <c r="J9" s="11">
        <v>1</v>
      </c>
      <c r="K9" s="11">
        <v>19651120</v>
      </c>
      <c r="L9" s="177">
        <f t="shared" si="2"/>
        <v>24066</v>
      </c>
      <c r="M9" s="178">
        <f t="shared" si="3"/>
        <v>59.115674195756334</v>
      </c>
      <c r="N9" s="178">
        <f t="shared" si="4"/>
        <v>59</v>
      </c>
      <c r="O9" s="178">
        <f t="shared" si="5"/>
        <v>60</v>
      </c>
      <c r="P9" s="178">
        <f t="shared" si="6"/>
        <v>0.11567419575633409</v>
      </c>
      <c r="Q9" s="178">
        <f t="shared" si="7"/>
        <v>0.88432580424366591</v>
      </c>
      <c r="R9" s="179">
        <f>IF(J9=1,VLOOKUP(N9,'Annuity Factors '!$K$10:$S$92,9, FALSE),VLOOKUP(N9,'Annuity Factors '!$A$10:$I$92,9,FALSE))</f>
        <v>8.871360000000001</v>
      </c>
      <c r="S9" s="179">
        <f>IF(J9=1,VLOOKUP(O9,'Annuity Factors '!$K$10:$S$92,9, FALSE),VLOOKUP(O9,'Annuity Factors '!$A$10:$I$92,9,FALSE))</f>
        <v>9.4616799999999994</v>
      </c>
    </row>
    <row r="10" spans="1:19" x14ac:dyDescent="0.25">
      <c r="A10" s="1"/>
      <c r="B10" s="1">
        <v>782</v>
      </c>
      <c r="C10" s="19">
        <f t="shared" si="0"/>
        <v>2039.4798899383982</v>
      </c>
      <c r="D10" s="172">
        <f>SUM('Yearly Pension'!$G10:$AV10) *E10</f>
        <v>27702.935171663241</v>
      </c>
      <c r="E10" s="171">
        <f t="shared" si="1"/>
        <v>2.8326109582477752</v>
      </c>
      <c r="F10" s="19">
        <f>VLOOKUP(I10,'Yearly Pension'!$C$3:$BC$81,53,FALSE)</f>
        <v>720</v>
      </c>
      <c r="G10" s="46"/>
      <c r="H10" s="11">
        <v>500</v>
      </c>
      <c r="I10" s="11">
        <v>782</v>
      </c>
      <c r="J10" s="11">
        <v>2</v>
      </c>
      <c r="K10" s="11">
        <v>19840201</v>
      </c>
      <c r="L10" s="177">
        <f t="shared" si="2"/>
        <v>30713</v>
      </c>
      <c r="M10" s="178">
        <f t="shared" si="3"/>
        <v>40.917180013689254</v>
      </c>
      <c r="N10" s="178">
        <f t="shared" si="4"/>
        <v>40</v>
      </c>
      <c r="O10" s="178">
        <f t="shared" si="5"/>
        <v>41</v>
      </c>
      <c r="P10" s="178">
        <f t="shared" si="6"/>
        <v>0.91718001368925428</v>
      </c>
      <c r="Q10" s="178">
        <f t="shared" si="7"/>
        <v>8.2819986310745719E-2</v>
      </c>
      <c r="R10" s="179">
        <f>IF(J10=1,VLOOKUP(N10,'Annuity Factors '!$K$10:$S$92,9, FALSE),VLOOKUP(N10,'Annuity Factors '!$A$10:$I$92,9,FALSE))</f>
        <v>2.6686100000000001</v>
      </c>
      <c r="S10" s="179">
        <f>IF(J10=1,VLOOKUP(O10,'Annuity Factors '!$K$10:$S$92,9, FALSE),VLOOKUP(O10,'Annuity Factors '!$A$10:$I$92,9,FALSE))</f>
        <v>2.8474199999999996</v>
      </c>
    </row>
    <row r="11" spans="1:19" x14ac:dyDescent="0.25">
      <c r="A11" s="1"/>
      <c r="B11" s="1">
        <v>781</v>
      </c>
      <c r="C11" s="19">
        <f t="shared" si="0"/>
        <v>8229.6906677618044</v>
      </c>
      <c r="D11" s="172">
        <f>SUM('Yearly Pension'!$G11:$AV11) *E11</f>
        <v>114529.86179301846</v>
      </c>
      <c r="E11" s="171">
        <f t="shared" si="1"/>
        <v>11.430125927446952</v>
      </c>
      <c r="F11" s="19">
        <f>VLOOKUP(I11,'Yearly Pension'!$C$3:$BC$81,53,FALSE)</f>
        <v>720</v>
      </c>
      <c r="G11" s="46"/>
      <c r="H11" s="11">
        <v>500</v>
      </c>
      <c r="I11" s="11">
        <v>781</v>
      </c>
      <c r="J11" s="11">
        <v>2</v>
      </c>
      <c r="K11" s="11">
        <v>19620825</v>
      </c>
      <c r="L11" s="177">
        <f t="shared" si="2"/>
        <v>22883</v>
      </c>
      <c r="M11" s="178">
        <f t="shared" si="3"/>
        <v>62.35455167693361</v>
      </c>
      <c r="N11" s="178">
        <f t="shared" si="4"/>
        <v>62</v>
      </c>
      <c r="O11" s="178">
        <f t="shared" si="5"/>
        <v>63</v>
      </c>
      <c r="P11" s="178">
        <f t="shared" si="6"/>
        <v>0.35455167693361034</v>
      </c>
      <c r="Q11" s="178">
        <f t="shared" si="7"/>
        <v>0.64544832306638966</v>
      </c>
      <c r="R11" s="179">
        <f>IF(J11=1,VLOOKUP(N11,'Annuity Factors '!$K$10:$S$92,9, FALSE),VLOOKUP(N11,'Annuity Factors '!$A$10:$I$92,9,FALSE))</f>
        <v>10.96996</v>
      </c>
      <c r="S11" s="179">
        <f>IF(J11=1,VLOOKUP(O11,'Annuity Factors '!$K$10:$S$92,9, FALSE),VLOOKUP(O11,'Annuity Factors '!$A$10:$I$92,9,FALSE))</f>
        <v>11.6829</v>
      </c>
    </row>
    <row r="12" spans="1:19" x14ac:dyDescent="0.25">
      <c r="A12" s="1"/>
      <c r="B12" s="1">
        <v>780</v>
      </c>
      <c r="C12" s="19">
        <f t="shared" si="0"/>
        <v>2734.524778644764</v>
      </c>
      <c r="D12" s="172">
        <f>SUM('Yearly Pension'!$G12:$AV12) *E12</f>
        <v>37371.83864147844</v>
      </c>
      <c r="E12" s="171">
        <f t="shared" si="1"/>
        <v>3.7979510814510609</v>
      </c>
      <c r="F12" s="19">
        <f>VLOOKUP(I12,'Yearly Pension'!$C$3:$BC$81,53,FALSE)</f>
        <v>720</v>
      </c>
      <c r="G12" s="46"/>
      <c r="H12" s="11">
        <v>500</v>
      </c>
      <c r="I12" s="11">
        <v>780</v>
      </c>
      <c r="J12" s="11">
        <v>1</v>
      </c>
      <c r="K12" s="11">
        <v>19791128</v>
      </c>
      <c r="L12" s="177">
        <f t="shared" si="2"/>
        <v>29187</v>
      </c>
      <c r="M12" s="178">
        <f t="shared" si="3"/>
        <v>45.095140314852841</v>
      </c>
      <c r="N12" s="178">
        <f t="shared" si="4"/>
        <v>45</v>
      </c>
      <c r="O12" s="178">
        <f t="shared" si="5"/>
        <v>46</v>
      </c>
      <c r="P12" s="178">
        <f t="shared" si="6"/>
        <v>9.5140314852841357E-2</v>
      </c>
      <c r="Q12" s="178">
        <f t="shared" si="7"/>
        <v>0.90485968514715864</v>
      </c>
      <c r="R12" s="179">
        <f>IF(J12=1,VLOOKUP(N12,'Annuity Factors '!$K$10:$S$92,9, FALSE),VLOOKUP(N12,'Annuity Factors '!$A$10:$I$92,9,FALSE))</f>
        <v>3.5808299999999997</v>
      </c>
      <c r="S12" s="179">
        <f>IF(J12=1,VLOOKUP(O12,'Annuity Factors '!$K$10:$S$92,9, FALSE),VLOOKUP(O12,'Annuity Factors '!$A$10:$I$92,9,FALSE))</f>
        <v>3.8207800000000001</v>
      </c>
    </row>
    <row r="13" spans="1:19" x14ac:dyDescent="0.25">
      <c r="A13" s="1"/>
      <c r="B13" s="1">
        <v>779</v>
      </c>
      <c r="C13" s="19">
        <f t="shared" si="0"/>
        <v>6047.4481823408623</v>
      </c>
      <c r="D13" s="172">
        <f>SUM('Yearly Pension'!$G13:$AV13) *E13</f>
        <v>83656.366522381926</v>
      </c>
      <c r="E13" s="171">
        <f t="shared" si="1"/>
        <v>8.3992335865845309</v>
      </c>
      <c r="F13" s="19">
        <f>VLOOKUP(I13,'Yearly Pension'!$C$3:$BC$81,53,FALSE)</f>
        <v>720</v>
      </c>
      <c r="G13" s="46"/>
      <c r="H13" s="11">
        <v>500</v>
      </c>
      <c r="I13" s="11">
        <v>779</v>
      </c>
      <c r="J13" s="11">
        <v>2</v>
      </c>
      <c r="K13" s="11">
        <v>19671004</v>
      </c>
      <c r="L13" s="177">
        <f t="shared" si="2"/>
        <v>24749</v>
      </c>
      <c r="M13" s="178">
        <f t="shared" si="3"/>
        <v>57.24572210814511</v>
      </c>
      <c r="N13" s="178">
        <f t="shared" si="4"/>
        <v>57</v>
      </c>
      <c r="O13" s="178">
        <f t="shared" si="5"/>
        <v>58</v>
      </c>
      <c r="P13" s="178">
        <f t="shared" si="6"/>
        <v>0.24572210814510953</v>
      </c>
      <c r="Q13" s="178">
        <f t="shared" si="7"/>
        <v>0.75427789185489047</v>
      </c>
      <c r="R13" s="179">
        <f>IF(J13=1,VLOOKUP(N13,'Annuity Factors '!$K$10:$S$92,9, FALSE),VLOOKUP(N13,'Annuity Factors '!$A$10:$I$92,9,FALSE))</f>
        <v>8.006730000000001</v>
      </c>
      <c r="S13" s="179">
        <f>IF(J13=1,VLOOKUP(O13,'Annuity Factors '!$K$10:$S$92,9, FALSE),VLOOKUP(O13,'Annuity Factors '!$A$10:$I$92,9,FALSE))</f>
        <v>8.5271000000000008</v>
      </c>
    </row>
    <row r="14" spans="1:19" x14ac:dyDescent="0.25">
      <c r="A14" s="1"/>
      <c r="B14" s="1">
        <v>778</v>
      </c>
      <c r="C14" s="19">
        <f t="shared" si="0"/>
        <v>6189.0747597535938</v>
      </c>
      <c r="D14" s="172">
        <f>SUM('Yearly Pension'!$G14:$AV14) *E14</f>
        <v>73237.3846570842</v>
      </c>
      <c r="E14" s="171">
        <f t="shared" si="1"/>
        <v>8.5959371663244362</v>
      </c>
      <c r="F14" s="19">
        <f>VLOOKUP(I14,'Yearly Pension'!$C$3:$BC$81,53,FALSE)</f>
        <v>720</v>
      </c>
      <c r="G14" s="46"/>
      <c r="H14" s="11">
        <v>500</v>
      </c>
      <c r="I14" s="11">
        <v>778</v>
      </c>
      <c r="J14" s="11">
        <v>1</v>
      </c>
      <c r="K14" s="11">
        <v>19660704</v>
      </c>
      <c r="L14" s="177">
        <f t="shared" si="2"/>
        <v>24292</v>
      </c>
      <c r="M14" s="178">
        <f t="shared" si="3"/>
        <v>58.496919917864474</v>
      </c>
      <c r="N14" s="178">
        <f t="shared" si="4"/>
        <v>58</v>
      </c>
      <c r="O14" s="178">
        <f t="shared" si="5"/>
        <v>59</v>
      </c>
      <c r="P14" s="178">
        <f t="shared" si="6"/>
        <v>0.49691991786447431</v>
      </c>
      <c r="Q14" s="178">
        <f t="shared" si="7"/>
        <v>0.50308008213552569</v>
      </c>
      <c r="R14" s="179">
        <f>IF(J14=1,VLOOKUP(N14,'Annuity Factors '!$K$10:$S$92,9, FALSE),VLOOKUP(N14,'Annuity Factors '!$A$10:$I$92,9,FALSE))</f>
        <v>8.3170999999999999</v>
      </c>
      <c r="S14" s="179">
        <f>IF(J14=1,VLOOKUP(O14,'Annuity Factors '!$K$10:$S$92,9, FALSE),VLOOKUP(O14,'Annuity Factors '!$A$10:$I$92,9,FALSE))</f>
        <v>8.871360000000001</v>
      </c>
    </row>
    <row r="15" spans="1:19" x14ac:dyDescent="0.25">
      <c r="A15" s="1"/>
      <c r="B15" s="1">
        <v>777</v>
      </c>
      <c r="C15" s="19">
        <f t="shared" si="0"/>
        <v>4268.1861930184796</v>
      </c>
      <c r="D15" s="172">
        <f>SUM('Yearly Pension'!$G15:$AV15) *E15</f>
        <v>59043.24233675564</v>
      </c>
      <c r="E15" s="171">
        <f t="shared" si="1"/>
        <v>5.9280363791923332</v>
      </c>
      <c r="F15" s="19">
        <f>VLOOKUP(I15,'Yearly Pension'!$C$3:$BC$81,53,FALSE)</f>
        <v>720</v>
      </c>
      <c r="G15" s="46"/>
      <c r="H15" s="11">
        <v>500</v>
      </c>
      <c r="I15" s="11">
        <v>777</v>
      </c>
      <c r="J15" s="11">
        <v>1</v>
      </c>
      <c r="K15" s="11">
        <v>19721008</v>
      </c>
      <c r="L15" s="177">
        <f t="shared" si="2"/>
        <v>26580</v>
      </c>
      <c r="M15" s="178">
        <f t="shared" si="3"/>
        <v>52.232717316906232</v>
      </c>
      <c r="N15" s="178">
        <f t="shared" si="4"/>
        <v>52</v>
      </c>
      <c r="O15" s="178">
        <f t="shared" si="5"/>
        <v>53</v>
      </c>
      <c r="P15" s="178">
        <f t="shared" si="6"/>
        <v>0.23271731690623199</v>
      </c>
      <c r="Q15" s="178">
        <f t="shared" si="7"/>
        <v>0.76728268309376801</v>
      </c>
      <c r="R15" s="179">
        <f>IF(J15=1,VLOOKUP(N15,'Annuity Factors '!$K$10:$S$92,9, FALSE),VLOOKUP(N15,'Annuity Factors '!$A$10:$I$92,9,FALSE))</f>
        <v>5.6381800000000002</v>
      </c>
      <c r="S15" s="179">
        <f>IF(J15=1,VLOOKUP(O15,'Annuity Factors '!$K$10:$S$92,9, FALSE),VLOOKUP(O15,'Annuity Factors '!$A$10:$I$92,9,FALSE))</f>
        <v>6.0159500000000001</v>
      </c>
    </row>
    <row r="16" spans="1:19" x14ac:dyDescent="0.25">
      <c r="A16" s="1"/>
      <c r="B16" s="1">
        <v>776</v>
      </c>
      <c r="C16" s="19">
        <f t="shared" si="0"/>
        <v>0</v>
      </c>
      <c r="D16" s="172">
        <f>SUM('Yearly Pension'!$G16:$AV16) *E16</f>
        <v>119223.16710800825</v>
      </c>
      <c r="E16" s="171">
        <f t="shared" si="1"/>
        <v>11.898519671457908</v>
      </c>
      <c r="F16" s="19">
        <f>VLOOKUP(I16,'Yearly Pension'!$C$3:$BC$81,53,FALSE)</f>
        <v>0</v>
      </c>
      <c r="G16" s="46"/>
      <c r="H16" s="11">
        <v>500</v>
      </c>
      <c r="I16" s="11">
        <v>776</v>
      </c>
      <c r="J16" s="11">
        <v>2</v>
      </c>
      <c r="K16" s="11">
        <v>19580511</v>
      </c>
      <c r="L16" s="177">
        <f t="shared" si="2"/>
        <v>21316</v>
      </c>
      <c r="M16" s="178">
        <f t="shared" si="3"/>
        <v>66.644763860369608</v>
      </c>
      <c r="N16" s="178">
        <f t="shared" si="4"/>
        <v>66</v>
      </c>
      <c r="O16" s="178">
        <f t="shared" si="5"/>
        <v>67</v>
      </c>
      <c r="P16" s="178">
        <f t="shared" si="6"/>
        <v>0.64476386036960776</v>
      </c>
      <c r="Q16" s="178">
        <f t="shared" si="7"/>
        <v>0.35523613963039224</v>
      </c>
      <c r="R16" s="179">
        <f>IF(J16=1,VLOOKUP(N16,'Annuity Factors '!$K$10:$S$92,9, FALSE),VLOOKUP(N16,'Annuity Factors '!$A$10:$I$92,9,FALSE))</f>
        <v>12.035100000000002</v>
      </c>
      <c r="S16" s="179">
        <f>IF(J16=1,VLOOKUP(O16,'Annuity Factors '!$K$10:$S$92,9, FALSE),VLOOKUP(O16,'Annuity Factors '!$A$10:$I$92,9,FALSE))</f>
        <v>11.823270000000001</v>
      </c>
    </row>
    <row r="17" spans="1:19" x14ac:dyDescent="0.25">
      <c r="A17" s="1"/>
      <c r="B17" s="1">
        <v>775</v>
      </c>
      <c r="C17" s="19">
        <f t="shared" si="0"/>
        <v>2952.507429979466</v>
      </c>
      <c r="D17" s="172">
        <f>SUM('Yearly Pension'!$G17:$AV17) *E17</f>
        <v>124005.31205913758</v>
      </c>
      <c r="E17" s="171">
        <f t="shared" si="1"/>
        <v>12.302114291581109</v>
      </c>
      <c r="F17" s="19">
        <f>VLOOKUP(I17,'Yearly Pension'!$C$3:$BC$81,53,FALSE)</f>
        <v>240</v>
      </c>
      <c r="G17" s="46"/>
      <c r="H17" s="11">
        <v>500</v>
      </c>
      <c r="I17" s="11">
        <v>775</v>
      </c>
      <c r="J17" s="11">
        <v>2</v>
      </c>
      <c r="K17" s="11">
        <v>19600421</v>
      </c>
      <c r="L17" s="177">
        <f t="shared" si="2"/>
        <v>22027</v>
      </c>
      <c r="M17" s="178">
        <f t="shared" si="3"/>
        <v>64.698151950718682</v>
      </c>
      <c r="N17" s="178">
        <f t="shared" si="4"/>
        <v>64</v>
      </c>
      <c r="O17" s="178">
        <f t="shared" si="5"/>
        <v>65</v>
      </c>
      <c r="P17" s="178">
        <f t="shared" si="6"/>
        <v>0.69815195071868175</v>
      </c>
      <c r="Q17" s="178">
        <f t="shared" si="7"/>
        <v>0.30184804928131825</v>
      </c>
      <c r="R17" s="179">
        <f>IF(J17=1,VLOOKUP(N17,'Annuity Factors '!$K$10:$S$92,9, FALSE),VLOOKUP(N17,'Annuity Factors '!$A$10:$I$92,9,FALSE))</f>
        <v>12.44238</v>
      </c>
      <c r="S17" s="179">
        <f>IF(J17=1,VLOOKUP(O17,'Annuity Factors '!$K$10:$S$92,9, FALSE),VLOOKUP(O17,'Annuity Factors '!$A$10:$I$92,9,FALSE))</f>
        <v>12.24147</v>
      </c>
    </row>
    <row r="18" spans="1:19" x14ac:dyDescent="0.25">
      <c r="A18" s="1"/>
      <c r="B18" s="1">
        <v>774</v>
      </c>
      <c r="C18" s="19">
        <f t="shared" si="0"/>
        <v>6094.8905396303917</v>
      </c>
      <c r="D18" s="172">
        <f>SUM('Yearly Pension'!$G18:$AV18) *E18</f>
        <v>86344.28264476388</v>
      </c>
      <c r="E18" s="171">
        <f t="shared" si="1"/>
        <v>8.4651257494866545</v>
      </c>
      <c r="F18" s="19">
        <f>VLOOKUP(I18,'Yearly Pension'!$C$3:$BC$81,53,FALSE)</f>
        <v>720</v>
      </c>
      <c r="G18" s="46"/>
      <c r="H18" s="11">
        <v>500</v>
      </c>
      <c r="I18" s="11">
        <v>774</v>
      </c>
      <c r="J18" s="11">
        <v>2</v>
      </c>
      <c r="K18" s="11">
        <v>19670214</v>
      </c>
      <c r="L18" s="177">
        <f t="shared" si="2"/>
        <v>24517</v>
      </c>
      <c r="M18" s="178">
        <f t="shared" si="3"/>
        <v>57.880903490759756</v>
      </c>
      <c r="N18" s="178">
        <f t="shared" si="4"/>
        <v>57</v>
      </c>
      <c r="O18" s="178">
        <f t="shared" si="5"/>
        <v>58</v>
      </c>
      <c r="P18" s="178">
        <f t="shared" si="6"/>
        <v>0.88090349075975638</v>
      </c>
      <c r="Q18" s="178">
        <f t="shared" si="7"/>
        <v>0.11909650924024362</v>
      </c>
      <c r="R18" s="179">
        <f>IF(J18=1,VLOOKUP(N18,'Annuity Factors '!$K$10:$S$92,9, FALSE),VLOOKUP(N18,'Annuity Factors '!$A$10:$I$92,9,FALSE))</f>
        <v>8.006730000000001</v>
      </c>
      <c r="S18" s="179">
        <f>IF(J18=1,VLOOKUP(O18,'Annuity Factors '!$K$10:$S$92,9, FALSE),VLOOKUP(O18,'Annuity Factors '!$A$10:$I$92,9,FALSE))</f>
        <v>8.5271000000000008</v>
      </c>
    </row>
    <row r="19" spans="1:19" x14ac:dyDescent="0.25">
      <c r="A19" s="1"/>
      <c r="B19" s="1">
        <v>772</v>
      </c>
      <c r="C19" s="19">
        <f t="shared" si="0"/>
        <v>4230.0213388090342</v>
      </c>
      <c r="D19" s="172">
        <f>SUM('Yearly Pension'!$G19:$AV19) *E19</f>
        <v>60982.807634496916</v>
      </c>
      <c r="E19" s="171">
        <f t="shared" si="1"/>
        <v>5.8750296372347703</v>
      </c>
      <c r="F19" s="19">
        <f>VLOOKUP(I19,'Yearly Pension'!$C$3:$BC$81,53,FALSE)</f>
        <v>720</v>
      </c>
      <c r="G19" s="46"/>
      <c r="H19" s="11">
        <v>500</v>
      </c>
      <c r="I19" s="11">
        <v>772</v>
      </c>
      <c r="J19" s="11">
        <v>1</v>
      </c>
      <c r="K19" s="11">
        <v>19720517</v>
      </c>
      <c r="L19" s="177">
        <f t="shared" si="2"/>
        <v>26436</v>
      </c>
      <c r="M19" s="178">
        <f t="shared" si="3"/>
        <v>52.62696783025325</v>
      </c>
      <c r="N19" s="178">
        <f t="shared" si="4"/>
        <v>52</v>
      </c>
      <c r="O19" s="178">
        <f t="shared" si="5"/>
        <v>53</v>
      </c>
      <c r="P19" s="178">
        <f t="shared" si="6"/>
        <v>0.62696783025324976</v>
      </c>
      <c r="Q19" s="178">
        <f t="shared" si="7"/>
        <v>0.37303216974675024</v>
      </c>
      <c r="R19" s="179">
        <f>IF(J19=1,VLOOKUP(N19,'Annuity Factors '!$K$10:$S$92,9, FALSE),VLOOKUP(N19,'Annuity Factors '!$A$10:$I$92,9,FALSE))</f>
        <v>5.6381800000000002</v>
      </c>
      <c r="S19" s="179">
        <f>IF(J19=1,VLOOKUP(O19,'Annuity Factors '!$K$10:$S$92,9, FALSE),VLOOKUP(O19,'Annuity Factors '!$A$10:$I$92,9,FALSE))</f>
        <v>6.0159500000000001</v>
      </c>
    </row>
    <row r="20" spans="1:19" x14ac:dyDescent="0.25">
      <c r="A20" s="1"/>
      <c r="B20" s="1">
        <v>771</v>
      </c>
      <c r="C20" s="19">
        <f t="shared" si="0"/>
        <v>2216.8784377823408</v>
      </c>
      <c r="D20" s="172">
        <f>SUM('Yearly Pension'!$G20:$AV20) *E20</f>
        <v>32144.737347843944</v>
      </c>
      <c r="E20" s="171">
        <f t="shared" si="1"/>
        <v>3.0789978302532512</v>
      </c>
      <c r="F20" s="19">
        <f>VLOOKUP(I20,'Yearly Pension'!$C$3:$BC$81,53,FALSE)</f>
        <v>720</v>
      </c>
      <c r="G20" s="46"/>
      <c r="H20" s="11">
        <v>500</v>
      </c>
      <c r="I20" s="11">
        <v>771</v>
      </c>
      <c r="J20" s="11">
        <v>1</v>
      </c>
      <c r="K20" s="11">
        <v>19820901</v>
      </c>
      <c r="L20" s="177">
        <f t="shared" si="2"/>
        <v>30195</v>
      </c>
      <c r="M20" s="178">
        <f t="shared" si="3"/>
        <v>42.335386721423681</v>
      </c>
      <c r="N20" s="178">
        <f t="shared" si="4"/>
        <v>42</v>
      </c>
      <c r="O20" s="178">
        <f t="shared" si="5"/>
        <v>43</v>
      </c>
      <c r="P20" s="178">
        <f t="shared" si="6"/>
        <v>0.33538672142368142</v>
      </c>
      <c r="Q20" s="178">
        <f t="shared" si="7"/>
        <v>0.66461327857631858</v>
      </c>
      <c r="R20" s="179">
        <f>IF(J20=1,VLOOKUP(N20,'Annuity Factors '!$K$10:$S$92,9, FALSE),VLOOKUP(N20,'Annuity Factors '!$A$10:$I$92,9,FALSE))</f>
        <v>2.9477500000000001</v>
      </c>
      <c r="S20" s="179">
        <f>IF(J20=1,VLOOKUP(O20,'Annuity Factors '!$K$10:$S$92,9, FALSE),VLOOKUP(O20,'Annuity Factors '!$A$10:$I$92,9,FALSE))</f>
        <v>3.1452299999999997</v>
      </c>
    </row>
    <row r="21" spans="1:19" x14ac:dyDescent="0.25">
      <c r="A21" s="1"/>
      <c r="B21" s="1">
        <v>768</v>
      </c>
      <c r="C21" s="19">
        <f t="shared" si="0"/>
        <v>7844.5799950718674</v>
      </c>
      <c r="D21" s="172">
        <f>SUM('Yearly Pension'!$G21:$AV21) *E21</f>
        <v>115053.83992772072</v>
      </c>
      <c r="E21" s="171">
        <f t="shared" si="1"/>
        <v>10.895249993155371</v>
      </c>
      <c r="F21" s="19">
        <f>VLOOKUP(I21,'Yearly Pension'!$C$3:$BC$81,53,FALSE)</f>
        <v>720</v>
      </c>
      <c r="G21" s="46"/>
      <c r="H21" s="11">
        <v>500</v>
      </c>
      <c r="I21" s="11">
        <v>768</v>
      </c>
      <c r="J21" s="11">
        <v>2</v>
      </c>
      <c r="K21" s="11">
        <v>19631122</v>
      </c>
      <c r="L21" s="177">
        <f t="shared" si="2"/>
        <v>23337</v>
      </c>
      <c r="M21" s="178">
        <f t="shared" si="3"/>
        <v>61.111567419575636</v>
      </c>
      <c r="N21" s="178">
        <f t="shared" si="4"/>
        <v>61</v>
      </c>
      <c r="O21" s="178">
        <f t="shared" si="5"/>
        <v>62</v>
      </c>
      <c r="P21" s="178">
        <f t="shared" si="6"/>
        <v>0.11156741957563554</v>
      </c>
      <c r="Q21" s="178">
        <f t="shared" si="7"/>
        <v>0.88843258042436446</v>
      </c>
      <c r="R21" s="179">
        <f>IF(J21=1,VLOOKUP(N21,'Annuity Factors '!$K$10:$S$92,9, FALSE),VLOOKUP(N21,'Annuity Factors '!$A$10:$I$92,9,FALSE))</f>
        <v>10.300319999999999</v>
      </c>
      <c r="S21" s="179">
        <f>IF(J21=1,VLOOKUP(O21,'Annuity Factors '!$K$10:$S$92,9, FALSE),VLOOKUP(O21,'Annuity Factors '!$A$10:$I$92,9,FALSE))</f>
        <v>10.96996</v>
      </c>
    </row>
    <row r="22" spans="1:19" x14ac:dyDescent="0.25">
      <c r="A22" s="1"/>
      <c r="B22" s="1">
        <v>767</v>
      </c>
      <c r="C22" s="19">
        <f t="shared" si="0"/>
        <v>3271.5703589322375</v>
      </c>
      <c r="D22" s="172">
        <f>SUM('Yearly Pension'!$G22:$AV22) *E22</f>
        <v>48255.662794250507</v>
      </c>
      <c r="E22" s="171">
        <f t="shared" si="1"/>
        <v>4.5438477207392189</v>
      </c>
      <c r="F22" s="19">
        <f>VLOOKUP(I22,'Yearly Pension'!$C$3:$BC$81,53,FALSE)</f>
        <v>720</v>
      </c>
      <c r="G22" s="46"/>
      <c r="H22" s="11">
        <v>500</v>
      </c>
      <c r="I22" s="11">
        <v>767</v>
      </c>
      <c r="J22" s="11">
        <v>1</v>
      </c>
      <c r="K22" s="11">
        <v>19760503</v>
      </c>
      <c r="L22" s="177">
        <f t="shared" si="2"/>
        <v>27883</v>
      </c>
      <c r="M22" s="178">
        <f t="shared" si="3"/>
        <v>48.6652977412731</v>
      </c>
      <c r="N22" s="178">
        <f t="shared" si="4"/>
        <v>48</v>
      </c>
      <c r="O22" s="178">
        <f t="shared" si="5"/>
        <v>49</v>
      </c>
      <c r="P22" s="178">
        <f t="shared" si="6"/>
        <v>0.66529774127310048</v>
      </c>
      <c r="Q22" s="178">
        <f t="shared" si="7"/>
        <v>0.33470225872689952</v>
      </c>
      <c r="R22" s="179">
        <f>IF(J22=1,VLOOKUP(N22,'Annuity Factors '!$K$10:$S$92,9, FALSE),VLOOKUP(N22,'Annuity Factors '!$A$10:$I$92,9,FALSE))</f>
        <v>4.3499600000000003</v>
      </c>
      <c r="S22" s="179">
        <f>IF(J22=1,VLOOKUP(O22,'Annuity Factors '!$K$10:$S$92,9, FALSE),VLOOKUP(O22,'Annuity Factors '!$A$10:$I$92,9,FALSE))</f>
        <v>4.6413899999999995</v>
      </c>
    </row>
    <row r="23" spans="1:19" x14ac:dyDescent="0.25">
      <c r="A23" s="1"/>
      <c r="B23" s="1">
        <v>766</v>
      </c>
      <c r="C23" s="19">
        <f t="shared" si="0"/>
        <v>7093.7098644763864</v>
      </c>
      <c r="D23" s="172">
        <f>SUM('Yearly Pension'!$G23:$AV23) *E23</f>
        <v>105814.50547843943</v>
      </c>
      <c r="E23" s="171">
        <f t="shared" si="1"/>
        <v>9.8523748117727585</v>
      </c>
      <c r="F23" s="19">
        <f>VLOOKUP(I23,'Yearly Pension'!$C$3:$BC$81,53,FALSE)</f>
        <v>720</v>
      </c>
      <c r="G23" s="46"/>
      <c r="H23" s="11">
        <v>500</v>
      </c>
      <c r="I23" s="11">
        <v>766</v>
      </c>
      <c r="J23" s="11">
        <v>1</v>
      </c>
      <c r="K23" s="11">
        <v>19640519</v>
      </c>
      <c r="L23" s="177">
        <f t="shared" si="2"/>
        <v>23516</v>
      </c>
      <c r="M23" s="178">
        <f t="shared" si="3"/>
        <v>60.621492128678987</v>
      </c>
      <c r="N23" s="178">
        <f t="shared" si="4"/>
        <v>60</v>
      </c>
      <c r="O23" s="178">
        <f t="shared" si="5"/>
        <v>61</v>
      </c>
      <c r="P23" s="178">
        <f t="shared" si="6"/>
        <v>0.6214921286789874</v>
      </c>
      <c r="Q23" s="178">
        <f t="shared" si="7"/>
        <v>0.3785078713210126</v>
      </c>
      <c r="R23" s="179">
        <f>IF(J23=1,VLOOKUP(N23,'Annuity Factors '!$K$10:$S$92,9, FALSE),VLOOKUP(N23,'Annuity Factors '!$A$10:$I$92,9,FALSE))</f>
        <v>9.4616799999999994</v>
      </c>
      <c r="S23" s="179">
        <f>IF(J23=1,VLOOKUP(O23,'Annuity Factors '!$K$10:$S$92,9, FALSE),VLOOKUP(O23,'Annuity Factors '!$A$10:$I$92,9,FALSE))</f>
        <v>10.09032</v>
      </c>
    </row>
    <row r="24" spans="1:19" x14ac:dyDescent="0.25">
      <c r="A24" s="1"/>
      <c r="B24" s="1">
        <v>765</v>
      </c>
      <c r="C24" s="19">
        <f t="shared" si="0"/>
        <v>0</v>
      </c>
      <c r="D24" s="172">
        <f>SUM('Yearly Pension'!$G24:$AV24) *E24</f>
        <v>124111.97829815195</v>
      </c>
      <c r="E24" s="171">
        <f t="shared" si="1"/>
        <v>11.002834955509925</v>
      </c>
      <c r="F24" s="19">
        <f>VLOOKUP(I24,'Yearly Pension'!$C$3:$BC$81,53,FALSE)</f>
        <v>0</v>
      </c>
      <c r="G24" s="46"/>
      <c r="H24" s="11">
        <v>500</v>
      </c>
      <c r="I24" s="11">
        <v>765</v>
      </c>
      <c r="J24" s="11">
        <v>1</v>
      </c>
      <c r="K24" s="11">
        <v>19550330</v>
      </c>
      <c r="L24" s="177">
        <f t="shared" si="2"/>
        <v>20178</v>
      </c>
      <c r="M24" s="178">
        <f t="shared" si="3"/>
        <v>69.760438056125935</v>
      </c>
      <c r="N24" s="178">
        <f t="shared" si="4"/>
        <v>69</v>
      </c>
      <c r="O24" s="178">
        <f t="shared" si="5"/>
        <v>70</v>
      </c>
      <c r="P24" s="178">
        <f t="shared" si="6"/>
        <v>0.76043805612593474</v>
      </c>
      <c r="Q24" s="178">
        <f t="shared" si="7"/>
        <v>0.23956194387406526</v>
      </c>
      <c r="R24" s="179">
        <f>IF(J24=1,VLOOKUP(N24,'Annuity Factors '!$K$10:$S$92,9, FALSE),VLOOKUP(N24,'Annuity Factors '!$A$10:$I$92,9,FALSE))</f>
        <v>11.174769999999999</v>
      </c>
      <c r="S24" s="179">
        <f>IF(J24=1,VLOOKUP(O24,'Annuity Factors '!$K$10:$S$92,9, FALSE),VLOOKUP(O24,'Annuity Factors '!$A$10:$I$92,9,FALSE))</f>
        <v>10.94867</v>
      </c>
    </row>
    <row r="25" spans="1:19" x14ac:dyDescent="0.25">
      <c r="A25" s="1"/>
      <c r="B25" s="1">
        <v>762</v>
      </c>
      <c r="C25" s="19">
        <f t="shared" si="0"/>
        <v>4610.7762283367556</v>
      </c>
      <c r="D25" s="172">
        <f>SUM('Yearly Pension'!$G25:$AV25) *E25</f>
        <v>72235.494243942507</v>
      </c>
      <c r="E25" s="171">
        <f t="shared" si="1"/>
        <v>6.4038558726899382</v>
      </c>
      <c r="F25" s="19">
        <f>VLOOKUP(I25,'Yearly Pension'!$C$3:$BC$81,53,FALSE)</f>
        <v>720</v>
      </c>
      <c r="G25" s="46"/>
      <c r="H25" s="11">
        <v>500</v>
      </c>
      <c r="I25" s="11">
        <v>762</v>
      </c>
      <c r="J25" s="11">
        <v>1</v>
      </c>
      <c r="K25" s="11">
        <v>19711219</v>
      </c>
      <c r="L25" s="177">
        <f t="shared" si="2"/>
        <v>26286</v>
      </c>
      <c r="M25" s="178">
        <f t="shared" si="3"/>
        <v>53.037645448323069</v>
      </c>
      <c r="N25" s="178">
        <f t="shared" si="4"/>
        <v>53</v>
      </c>
      <c r="O25" s="178">
        <f t="shared" si="5"/>
        <v>54</v>
      </c>
      <c r="P25" s="178">
        <f t="shared" si="6"/>
        <v>3.764544832306882E-2</v>
      </c>
      <c r="Q25" s="178">
        <f t="shared" si="7"/>
        <v>0.96235455167693118</v>
      </c>
      <c r="R25" s="179">
        <f>IF(J25=1,VLOOKUP(N25,'Annuity Factors '!$K$10:$S$92,9, FALSE),VLOOKUP(N25,'Annuity Factors '!$A$10:$I$92,9,FALSE))</f>
        <v>6.0159500000000001</v>
      </c>
      <c r="S25" s="179">
        <f>IF(J25=1,VLOOKUP(O25,'Annuity Factors '!$K$10:$S$92,9, FALSE),VLOOKUP(O25,'Annuity Factors '!$A$10:$I$92,9,FALSE))</f>
        <v>6.4190300000000002</v>
      </c>
    </row>
    <row r="26" spans="1:19" x14ac:dyDescent="0.25">
      <c r="A26" s="1"/>
      <c r="B26" s="1">
        <v>758</v>
      </c>
      <c r="C26" s="19">
        <f t="shared" si="0"/>
        <v>3190.6552410677623</v>
      </c>
      <c r="D26" s="172">
        <f>SUM('Yearly Pension'!$G26:$AV26) *E26</f>
        <v>48657.492426283374</v>
      </c>
      <c r="E26" s="171">
        <f t="shared" si="1"/>
        <v>4.4314656125941143</v>
      </c>
      <c r="F26" s="19">
        <f>VLOOKUP(I26,'Yearly Pension'!$C$3:$BC$81,53,FALSE)</f>
        <v>720</v>
      </c>
      <c r="G26" s="46"/>
      <c r="H26" s="11">
        <v>500</v>
      </c>
      <c r="I26" s="11">
        <v>758</v>
      </c>
      <c r="J26" s="11">
        <v>2</v>
      </c>
      <c r="K26" s="11">
        <v>19771026</v>
      </c>
      <c r="L26" s="177">
        <f t="shared" si="2"/>
        <v>28424</v>
      </c>
      <c r="M26" s="178">
        <f t="shared" si="3"/>
        <v>47.184120465434631</v>
      </c>
      <c r="N26" s="178">
        <f t="shared" si="4"/>
        <v>47</v>
      </c>
      <c r="O26" s="178">
        <f t="shared" si="5"/>
        <v>48</v>
      </c>
      <c r="P26" s="178">
        <f t="shared" si="6"/>
        <v>0.18412046543463134</v>
      </c>
      <c r="Q26" s="178">
        <f t="shared" si="7"/>
        <v>0.81587953456536866</v>
      </c>
      <c r="R26" s="179">
        <f>IF(J26=1,VLOOKUP(N26,'Annuity Factors '!$K$10:$S$92,9, FALSE),VLOOKUP(N26,'Annuity Factors '!$A$10:$I$92,9,FALSE))</f>
        <v>4.2018200000000006</v>
      </c>
      <c r="S26" s="179">
        <f>IF(J26=1,VLOOKUP(O26,'Annuity Factors '!$K$10:$S$92,9, FALSE),VLOOKUP(O26,'Annuity Factors '!$A$10:$I$92,9,FALSE))</f>
        <v>4.4832900000000002</v>
      </c>
    </row>
    <row r="27" spans="1:19" x14ac:dyDescent="0.25">
      <c r="A27" s="1"/>
      <c r="B27" s="1">
        <v>757</v>
      </c>
      <c r="C27" s="19">
        <f t="shared" si="0"/>
        <v>4545.0253552361391</v>
      </c>
      <c r="D27" s="172">
        <f>SUM('Yearly Pension'!$G27:$AV27) *E27</f>
        <v>70069.140893223812</v>
      </c>
      <c r="E27" s="171">
        <f t="shared" si="1"/>
        <v>6.3125352156057488</v>
      </c>
      <c r="F27" s="19">
        <f>VLOOKUP(I27,'Yearly Pension'!$C$3:$BC$81,53,FALSE)</f>
        <v>720</v>
      </c>
      <c r="G27" s="46"/>
      <c r="H27" s="11">
        <v>500</v>
      </c>
      <c r="I27" s="11">
        <v>757</v>
      </c>
      <c r="J27" s="11">
        <v>1</v>
      </c>
      <c r="K27" s="11">
        <v>19710408</v>
      </c>
      <c r="L27" s="177">
        <f t="shared" si="2"/>
        <v>26031</v>
      </c>
      <c r="M27" s="178">
        <f t="shared" si="3"/>
        <v>53.735797399041751</v>
      </c>
      <c r="N27" s="178">
        <f t="shared" si="4"/>
        <v>53</v>
      </c>
      <c r="O27" s="178">
        <f t="shared" si="5"/>
        <v>54</v>
      </c>
      <c r="P27" s="178">
        <f t="shared" si="6"/>
        <v>0.73579739904175057</v>
      </c>
      <c r="Q27" s="178">
        <f t="shared" si="7"/>
        <v>0.26420260095824943</v>
      </c>
      <c r="R27" s="179">
        <f>IF(J27=1,VLOOKUP(N27,'Annuity Factors '!$K$10:$S$92,9, FALSE),VLOOKUP(N27,'Annuity Factors '!$A$10:$I$92,9,FALSE))</f>
        <v>6.0159500000000001</v>
      </c>
      <c r="S27" s="179">
        <f>IF(J27=1,VLOOKUP(O27,'Annuity Factors '!$K$10:$S$92,9, FALSE),VLOOKUP(O27,'Annuity Factors '!$A$10:$I$92,9,FALSE))</f>
        <v>6.4190300000000002</v>
      </c>
    </row>
    <row r="28" spans="1:19" x14ac:dyDescent="0.25">
      <c r="A28" s="1"/>
      <c r="B28" s="1">
        <v>756</v>
      </c>
      <c r="C28" s="19">
        <f t="shared" si="0"/>
        <v>5353.2584870636547</v>
      </c>
      <c r="D28" s="172">
        <f>SUM('Yearly Pension'!$G28:$AV28) *E28</f>
        <v>82083.296801642704</v>
      </c>
      <c r="E28" s="171">
        <f t="shared" si="1"/>
        <v>7.4350812320328536</v>
      </c>
      <c r="F28" s="19">
        <f>VLOOKUP(I28,'Yearly Pension'!$C$3:$BC$81,53,FALSE)</f>
        <v>720</v>
      </c>
      <c r="G28" s="46"/>
      <c r="H28" s="11">
        <v>500</v>
      </c>
      <c r="I28" s="11">
        <v>756</v>
      </c>
      <c r="J28" s="11">
        <v>2</v>
      </c>
      <c r="K28" s="11">
        <v>19690308</v>
      </c>
      <c r="L28" s="177">
        <f t="shared" si="2"/>
        <v>25270</v>
      </c>
      <c r="M28" s="178">
        <f t="shared" si="3"/>
        <v>55.819301848049278</v>
      </c>
      <c r="N28" s="178">
        <f t="shared" si="4"/>
        <v>55</v>
      </c>
      <c r="O28" s="178">
        <f t="shared" si="5"/>
        <v>56</v>
      </c>
      <c r="P28" s="178">
        <f t="shared" si="6"/>
        <v>0.81930184804927819</v>
      </c>
      <c r="Q28" s="178">
        <f t="shared" si="7"/>
        <v>0.18069815195072181</v>
      </c>
      <c r="R28" s="179">
        <f>IF(J28=1,VLOOKUP(N28,'Annuity Factors '!$K$10:$S$92,9, FALSE),VLOOKUP(N28,'Annuity Factors '!$A$10:$I$92,9,FALSE))</f>
        <v>7.0591200000000001</v>
      </c>
      <c r="S28" s="179">
        <f>IF(J28=1,VLOOKUP(O28,'Annuity Factors '!$K$10:$S$92,9, FALSE),VLOOKUP(O28,'Annuity Factors '!$A$10:$I$92,9,FALSE))</f>
        <v>7.5180000000000007</v>
      </c>
    </row>
    <row r="29" spans="1:19" x14ac:dyDescent="0.25">
      <c r="A29" s="1"/>
      <c r="B29" s="1">
        <v>755</v>
      </c>
      <c r="C29" s="19">
        <f t="shared" si="0"/>
        <v>3566.51892073922</v>
      </c>
      <c r="D29" s="172">
        <f>SUM('Yearly Pension'!$G29:$AV29) *E29</f>
        <v>55875.463091581114</v>
      </c>
      <c r="E29" s="171">
        <f t="shared" si="1"/>
        <v>4.9534985010266945</v>
      </c>
      <c r="F29" s="19">
        <f>VLOOKUP(I29,'Yearly Pension'!$C$3:$BC$81,53,FALSE)</f>
        <v>720</v>
      </c>
      <c r="G29" s="46"/>
      <c r="H29" s="11">
        <v>500</v>
      </c>
      <c r="I29" s="11">
        <v>755</v>
      </c>
      <c r="J29" s="11">
        <v>2</v>
      </c>
      <c r="K29" s="11">
        <v>19750714</v>
      </c>
      <c r="L29" s="177">
        <f t="shared" si="2"/>
        <v>27589</v>
      </c>
      <c r="M29" s="178">
        <f t="shared" si="3"/>
        <v>49.470225872689937</v>
      </c>
      <c r="N29" s="178">
        <f t="shared" si="4"/>
        <v>49</v>
      </c>
      <c r="O29" s="178">
        <f t="shared" si="5"/>
        <v>50</v>
      </c>
      <c r="P29" s="178">
        <f t="shared" si="6"/>
        <v>0.47022587268993732</v>
      </c>
      <c r="Q29" s="178">
        <f t="shared" si="7"/>
        <v>0.52977412731006268</v>
      </c>
      <c r="R29" s="179">
        <f>IF(J29=1,VLOOKUP(N29,'Annuity Factors '!$K$10:$S$92,9, FALSE),VLOOKUP(N29,'Annuity Factors '!$A$10:$I$92,9,FALSE))</f>
        <v>4.78369</v>
      </c>
      <c r="S29" s="179">
        <f>IF(J29=1,VLOOKUP(O29,'Annuity Factors '!$K$10:$S$92,9, FALSE),VLOOKUP(O29,'Annuity Factors '!$A$10:$I$92,9,FALSE))</f>
        <v>5.1042200000000006</v>
      </c>
    </row>
    <row r="30" spans="1:19" x14ac:dyDescent="0.25">
      <c r="A30" s="1"/>
      <c r="B30" s="1">
        <v>754</v>
      </c>
      <c r="C30" s="19">
        <f t="shared" si="0"/>
        <v>5504.2961719868108</v>
      </c>
      <c r="D30" s="172">
        <f>SUM('Yearly Pension'!$G30:$AV30) *E30</f>
        <v>56619.856833115948</v>
      </c>
      <c r="E30" s="171">
        <f t="shared" si="1"/>
        <v>3.6866942231348387</v>
      </c>
      <c r="F30" s="19">
        <f>VLOOKUP(I30,'Yearly Pension'!$C$3:$BC$81,53,FALSE)</f>
        <v>1493.0167350050649</v>
      </c>
      <c r="G30" s="46"/>
      <c r="H30" s="11">
        <v>600</v>
      </c>
      <c r="I30" s="11">
        <v>754</v>
      </c>
      <c r="J30" s="11">
        <v>2</v>
      </c>
      <c r="K30" s="11">
        <v>19800108</v>
      </c>
      <c r="L30" s="177">
        <f t="shared" si="2"/>
        <v>29228</v>
      </c>
      <c r="M30" s="178">
        <f t="shared" si="3"/>
        <v>44.982888432580424</v>
      </c>
      <c r="N30" s="178">
        <f t="shared" si="4"/>
        <v>44</v>
      </c>
      <c r="O30" s="178">
        <f t="shared" si="5"/>
        <v>45</v>
      </c>
      <c r="P30" s="178">
        <f t="shared" si="6"/>
        <v>0.98288843258042391</v>
      </c>
      <c r="Q30" s="178">
        <f t="shared" si="7"/>
        <v>1.711156741957609E-2</v>
      </c>
      <c r="R30" s="179">
        <f>IF(J30=1,VLOOKUP(N30,'Annuity Factors '!$K$10:$S$92,9, FALSE),VLOOKUP(N30,'Annuity Factors '!$A$10:$I$92,9,FALSE))</f>
        <v>3.4588999999999999</v>
      </c>
      <c r="S30" s="179">
        <f>IF(J30=1,VLOOKUP(O30,'Annuity Factors '!$K$10:$S$92,9, FALSE),VLOOKUP(O30,'Annuity Factors '!$A$10:$I$92,9,FALSE))</f>
        <v>3.6906599999999998</v>
      </c>
    </row>
    <row r="31" spans="1:19" x14ac:dyDescent="0.25">
      <c r="A31" s="1"/>
      <c r="B31" s="1">
        <v>753</v>
      </c>
      <c r="C31" s="19">
        <f t="shared" si="0"/>
        <v>12572.719280971058</v>
      </c>
      <c r="D31" s="172">
        <f>SUM('Yearly Pension'!$G31:$AV31) *E31</f>
        <v>125310.54395651442</v>
      </c>
      <c r="E31" s="171">
        <f t="shared" si="1"/>
        <v>8.294162299794662</v>
      </c>
      <c r="F31" s="19">
        <f>VLOOKUP(I31,'Yearly Pension'!$C$3:$BC$81,53,FALSE)</f>
        <v>1515.8516106300838</v>
      </c>
      <c r="G31" s="46"/>
      <c r="H31" s="11">
        <v>600</v>
      </c>
      <c r="I31" s="11">
        <v>753</v>
      </c>
      <c r="J31" s="11">
        <v>2</v>
      </c>
      <c r="K31" s="11">
        <v>19670614</v>
      </c>
      <c r="L31" s="177">
        <f t="shared" si="2"/>
        <v>24637</v>
      </c>
      <c r="M31" s="178">
        <f t="shared" si="3"/>
        <v>57.552361396303901</v>
      </c>
      <c r="N31" s="178">
        <f t="shared" si="4"/>
        <v>57</v>
      </c>
      <c r="O31" s="178">
        <f t="shared" si="5"/>
        <v>58</v>
      </c>
      <c r="P31" s="178">
        <f t="shared" si="6"/>
        <v>0.55236139630390113</v>
      </c>
      <c r="Q31" s="178">
        <f t="shared" si="7"/>
        <v>0.44763860369609887</v>
      </c>
      <c r="R31" s="179">
        <f>IF(J31=1,VLOOKUP(N31,'Annuity Factors '!$K$10:$S$92,9, FALSE),VLOOKUP(N31,'Annuity Factors '!$A$10:$I$92,9,FALSE))</f>
        <v>8.006730000000001</v>
      </c>
      <c r="S31" s="179">
        <f>IF(J31=1,VLOOKUP(O31,'Annuity Factors '!$K$10:$S$92,9, FALSE),VLOOKUP(O31,'Annuity Factors '!$A$10:$I$92,9,FALSE))</f>
        <v>8.5271000000000008</v>
      </c>
    </row>
    <row r="32" spans="1:19" x14ac:dyDescent="0.25">
      <c r="A32" s="1"/>
      <c r="B32" s="1">
        <v>752</v>
      </c>
      <c r="C32" s="19">
        <f t="shared" si="0"/>
        <v>4867.527379236566</v>
      </c>
      <c r="D32" s="172">
        <f>SUM('Yearly Pension'!$G32:$AV32) *E32</f>
        <v>48703.107200055027</v>
      </c>
      <c r="E32" s="171">
        <f t="shared" si="1"/>
        <v>3.1634308213552367</v>
      </c>
      <c r="F32" s="19">
        <f>VLOOKUP(I32,'Yearly Pension'!$C$3:$BC$81,53,FALSE)</f>
        <v>1538.686209408329</v>
      </c>
      <c r="G32" s="46"/>
      <c r="H32" s="11">
        <v>600</v>
      </c>
      <c r="I32" s="11">
        <v>752</v>
      </c>
      <c r="J32" s="11">
        <v>2</v>
      </c>
      <c r="K32" s="11">
        <v>19820814</v>
      </c>
      <c r="L32" s="177">
        <f t="shared" si="2"/>
        <v>30177</v>
      </c>
      <c r="M32" s="178">
        <f t="shared" si="3"/>
        <v>42.384668035592057</v>
      </c>
      <c r="N32" s="178">
        <f t="shared" si="4"/>
        <v>42</v>
      </c>
      <c r="O32" s="178">
        <f t="shared" si="5"/>
        <v>43</v>
      </c>
      <c r="P32" s="178">
        <f t="shared" si="6"/>
        <v>0.38466803559205687</v>
      </c>
      <c r="Q32" s="178">
        <f t="shared" si="7"/>
        <v>0.61533196440794313</v>
      </c>
      <c r="R32" s="179">
        <f>IF(J32=1,VLOOKUP(N32,'Annuity Factors '!$K$10:$S$92,9, FALSE),VLOOKUP(N32,'Annuity Factors '!$A$10:$I$92,9,FALSE))</f>
        <v>3.0381799999999997</v>
      </c>
      <c r="S32" s="179">
        <f>IF(J32=1,VLOOKUP(O32,'Annuity Factors '!$K$10:$S$92,9, FALSE),VLOOKUP(O32,'Annuity Factors '!$A$10:$I$92,9,FALSE))</f>
        <v>3.24173</v>
      </c>
    </row>
    <row r="33" spans="1:19" x14ac:dyDescent="0.25">
      <c r="A33" s="1"/>
      <c r="B33" s="1">
        <v>747</v>
      </c>
      <c r="C33" s="19">
        <f t="shared" si="0"/>
        <v>13607.561868959057</v>
      </c>
      <c r="D33" s="172">
        <f>SUM('Yearly Pension'!$G33:$AV33) *E33</f>
        <v>141504.87246413645</v>
      </c>
      <c r="E33" s="171">
        <f t="shared" si="1"/>
        <v>8.714300698151952</v>
      </c>
      <c r="F33" s="19">
        <f>VLOOKUP(I33,'Yearly Pension'!$C$3:$BC$81,53,FALSE)</f>
        <v>1561.5208081865735</v>
      </c>
      <c r="G33" s="46"/>
      <c r="H33" s="11">
        <v>600</v>
      </c>
      <c r="I33" s="11">
        <v>747</v>
      </c>
      <c r="J33" s="11">
        <v>1</v>
      </c>
      <c r="K33" s="11">
        <v>19660920</v>
      </c>
      <c r="L33" s="177">
        <f t="shared" si="2"/>
        <v>24370</v>
      </c>
      <c r="M33" s="178">
        <f t="shared" si="3"/>
        <v>58.283367556468171</v>
      </c>
      <c r="N33" s="178">
        <f t="shared" si="4"/>
        <v>58</v>
      </c>
      <c r="O33" s="178">
        <f t="shared" si="5"/>
        <v>59</v>
      </c>
      <c r="P33" s="178">
        <f t="shared" si="6"/>
        <v>0.28336755646817124</v>
      </c>
      <c r="Q33" s="178">
        <f t="shared" si="7"/>
        <v>0.71663244353182876</v>
      </c>
      <c r="R33" s="179">
        <f>IF(J33=1,VLOOKUP(N33,'Annuity Factors '!$K$10:$S$92,9, FALSE),VLOOKUP(N33,'Annuity Factors '!$A$10:$I$92,9,FALSE))</f>
        <v>8.3170999999999999</v>
      </c>
      <c r="S33" s="179">
        <f>IF(J33=1,VLOOKUP(O33,'Annuity Factors '!$K$10:$S$92,9, FALSE),VLOOKUP(O33,'Annuity Factors '!$A$10:$I$92,9,FALSE))</f>
        <v>8.871360000000001</v>
      </c>
    </row>
    <row r="34" spans="1:19" x14ac:dyDescent="0.25">
      <c r="A34" s="1"/>
      <c r="B34" s="1">
        <v>746</v>
      </c>
      <c r="C34" s="19">
        <f t="shared" si="0"/>
        <v>0</v>
      </c>
      <c r="D34" s="172">
        <f>SUM('Yearly Pension'!$G34:$AV34) *E34</f>
        <v>183910.85491430038</v>
      </c>
      <c r="E34" s="171">
        <f t="shared" si="1"/>
        <v>11.160372327173171</v>
      </c>
      <c r="F34" s="19">
        <f>VLOOKUP(I34,'Yearly Pension'!$C$3:$BC$81,53,FALSE)</f>
        <v>0</v>
      </c>
      <c r="G34" s="46"/>
      <c r="H34" s="11">
        <v>600</v>
      </c>
      <c r="I34" s="11">
        <v>746</v>
      </c>
      <c r="J34" s="11">
        <v>2</v>
      </c>
      <c r="K34" s="11">
        <v>19551230</v>
      </c>
      <c r="L34" s="177">
        <f t="shared" si="2"/>
        <v>20453</v>
      </c>
      <c r="M34" s="178">
        <f t="shared" si="3"/>
        <v>69.007529089664615</v>
      </c>
      <c r="N34" s="178">
        <f t="shared" si="4"/>
        <v>69</v>
      </c>
      <c r="O34" s="178">
        <f t="shared" si="5"/>
        <v>70</v>
      </c>
      <c r="P34" s="178">
        <f t="shared" si="6"/>
        <v>7.529089664615185E-3</v>
      </c>
      <c r="Q34" s="178">
        <f t="shared" si="7"/>
        <v>0.99247091033538481</v>
      </c>
      <c r="R34" s="179">
        <f>IF(J34=1,VLOOKUP(N34,'Annuity Factors '!$K$10:$S$92,9, FALSE),VLOOKUP(N34,'Annuity Factors '!$A$10:$I$92,9,FALSE))</f>
        <v>11.38477</v>
      </c>
      <c r="S34" s="179">
        <f>IF(J34=1,VLOOKUP(O34,'Annuity Factors '!$K$10:$S$92,9, FALSE),VLOOKUP(O34,'Annuity Factors '!$A$10:$I$92,9,FALSE))</f>
        <v>11.158670000000001</v>
      </c>
    </row>
    <row r="35" spans="1:19" x14ac:dyDescent="0.25">
      <c r="A35" s="1"/>
      <c r="B35" s="1">
        <v>743</v>
      </c>
      <c r="C35" s="19">
        <f t="shared" si="0"/>
        <v>7184.1353488836621</v>
      </c>
      <c r="D35" s="172">
        <f>SUM('Yearly Pension'!$G35:$AV35) *E35</f>
        <v>75490.230388281911</v>
      </c>
      <c r="E35" s="171">
        <f t="shared" si="1"/>
        <v>4.4699967556468172</v>
      </c>
      <c r="F35" s="19">
        <f>VLOOKUP(I35,'Yearly Pension'!$C$3:$BC$81,53,FALSE)</f>
        <v>1607.1902825898369</v>
      </c>
      <c r="G35" s="46"/>
      <c r="H35" s="11">
        <v>600</v>
      </c>
      <c r="I35" s="11">
        <v>743</v>
      </c>
      <c r="J35" s="11">
        <v>2</v>
      </c>
      <c r="K35" s="11">
        <v>19771215</v>
      </c>
      <c r="L35" s="177">
        <f t="shared" si="2"/>
        <v>28474</v>
      </c>
      <c r="M35" s="178">
        <f t="shared" si="3"/>
        <v>47.04722792607803</v>
      </c>
      <c r="N35" s="178">
        <f t="shared" si="4"/>
        <v>47</v>
      </c>
      <c r="O35" s="178">
        <f t="shared" si="5"/>
        <v>48</v>
      </c>
      <c r="P35" s="178">
        <f t="shared" si="6"/>
        <v>4.7227926078029725E-2</v>
      </c>
      <c r="Q35" s="178">
        <f t="shared" si="7"/>
        <v>0.95277207392197028</v>
      </c>
      <c r="R35" s="179">
        <f>IF(J35=1,VLOOKUP(N35,'Annuity Factors '!$K$10:$S$92,9, FALSE),VLOOKUP(N35,'Annuity Factors '!$A$10:$I$92,9,FALSE))</f>
        <v>4.2018200000000006</v>
      </c>
      <c r="S35" s="179">
        <f>IF(J35=1,VLOOKUP(O35,'Annuity Factors '!$K$10:$S$92,9, FALSE),VLOOKUP(O35,'Annuity Factors '!$A$10:$I$92,9,FALSE))</f>
        <v>4.4832900000000002</v>
      </c>
    </row>
    <row r="36" spans="1:19" x14ac:dyDescent="0.25">
      <c r="A36" s="1"/>
      <c r="B36" s="1">
        <v>742</v>
      </c>
      <c r="C36" s="19">
        <f t="shared" si="0"/>
        <v>15129.690213693131</v>
      </c>
      <c r="D36" s="172">
        <f>SUM('Yearly Pension'!$G36:$AV36) *E36</f>
        <v>160038.6707307969</v>
      </c>
      <c r="E36" s="171">
        <f t="shared" si="1"/>
        <v>9.2818768514715959</v>
      </c>
      <c r="F36" s="19">
        <f>VLOOKUP(I36,'Yearly Pension'!$C$3:$BC$81,53,FALSE)</f>
        <v>1630.0248813680817</v>
      </c>
      <c r="G36" s="46"/>
      <c r="H36" s="11">
        <v>600</v>
      </c>
      <c r="I36" s="11">
        <v>742</v>
      </c>
      <c r="J36" s="11">
        <v>1</v>
      </c>
      <c r="K36" s="11">
        <v>19650912</v>
      </c>
      <c r="L36" s="177">
        <f t="shared" si="2"/>
        <v>23997</v>
      </c>
      <c r="M36" s="178">
        <f t="shared" si="3"/>
        <v>59.304585900068446</v>
      </c>
      <c r="N36" s="178">
        <f t="shared" si="4"/>
        <v>59</v>
      </c>
      <c r="O36" s="178">
        <f t="shared" si="5"/>
        <v>60</v>
      </c>
      <c r="P36" s="178">
        <f t="shared" si="6"/>
        <v>0.30458590006844588</v>
      </c>
      <c r="Q36" s="178">
        <f t="shared" si="7"/>
        <v>0.69541409993155412</v>
      </c>
      <c r="R36" s="179">
        <f>IF(J36=1,VLOOKUP(N36,'Annuity Factors '!$K$10:$S$92,9, FALSE),VLOOKUP(N36,'Annuity Factors '!$A$10:$I$92,9,FALSE))</f>
        <v>8.871360000000001</v>
      </c>
      <c r="S36" s="179">
        <f>IF(J36=1,VLOOKUP(O36,'Annuity Factors '!$K$10:$S$92,9, FALSE),VLOOKUP(O36,'Annuity Factors '!$A$10:$I$92,9,FALSE))</f>
        <v>9.4616799999999994</v>
      </c>
    </row>
    <row r="37" spans="1:19" x14ac:dyDescent="0.25">
      <c r="A37" s="1"/>
      <c r="B37" s="1">
        <v>740</v>
      </c>
      <c r="C37" s="19">
        <f t="shared" si="0"/>
        <v>8545.0233294691043</v>
      </c>
      <c r="D37" s="172">
        <f>SUM('Yearly Pension'!$G37:$AV37) *E37</f>
        <v>90421.475407342587</v>
      </c>
      <c r="E37" s="171">
        <f t="shared" si="1"/>
        <v>5.0993934017796043</v>
      </c>
      <c r="F37" s="19">
        <f>VLOOKUP(I37,'Yearly Pension'!$C$3:$BC$81,53,FALSE)</f>
        <v>1675.69407892457</v>
      </c>
      <c r="G37" s="46"/>
      <c r="H37" s="11">
        <v>600</v>
      </c>
      <c r="I37" s="11">
        <v>740</v>
      </c>
      <c r="J37" s="11">
        <v>2</v>
      </c>
      <c r="K37" s="11">
        <v>19750107</v>
      </c>
      <c r="L37" s="177">
        <f t="shared" si="2"/>
        <v>27401</v>
      </c>
      <c r="M37" s="178">
        <f t="shared" si="3"/>
        <v>49.984941820670777</v>
      </c>
      <c r="N37" s="178">
        <f t="shared" si="4"/>
        <v>49</v>
      </c>
      <c r="O37" s="178">
        <f t="shared" si="5"/>
        <v>50</v>
      </c>
      <c r="P37" s="178">
        <f t="shared" si="6"/>
        <v>0.98494182067077674</v>
      </c>
      <c r="Q37" s="178">
        <f t="shared" si="7"/>
        <v>1.5058179329223265E-2</v>
      </c>
      <c r="R37" s="179">
        <f>IF(J37=1,VLOOKUP(N37,'Annuity Factors '!$K$10:$S$92,9, FALSE),VLOOKUP(N37,'Annuity Factors '!$A$10:$I$92,9,FALSE))</f>
        <v>4.78369</v>
      </c>
      <c r="S37" s="179">
        <f>IF(J37=1,VLOOKUP(O37,'Annuity Factors '!$K$10:$S$92,9, FALSE),VLOOKUP(O37,'Annuity Factors '!$A$10:$I$92,9,FALSE))</f>
        <v>5.1042200000000006</v>
      </c>
    </row>
    <row r="38" spans="1:19" x14ac:dyDescent="0.25">
      <c r="A38" s="1"/>
      <c r="B38" s="1">
        <v>734</v>
      </c>
      <c r="C38" s="19">
        <f t="shared" si="0"/>
        <v>0</v>
      </c>
      <c r="D38" s="172">
        <f>SUM('Yearly Pension'!$G38:$AV38) *E38</f>
        <v>212492.72601662361</v>
      </c>
      <c r="E38" s="171">
        <f t="shared" si="1"/>
        <v>11.404793162217658</v>
      </c>
      <c r="F38" s="19">
        <f>VLOOKUP(I38,'Yearly Pension'!$C$3:$BC$81,53,FALSE)</f>
        <v>0</v>
      </c>
      <c r="G38" s="46"/>
      <c r="H38" s="11">
        <v>600</v>
      </c>
      <c r="I38" s="11">
        <v>734</v>
      </c>
      <c r="J38" s="11">
        <v>2</v>
      </c>
      <c r="K38" s="11">
        <v>19561129</v>
      </c>
      <c r="L38" s="177">
        <f t="shared" si="2"/>
        <v>20788</v>
      </c>
      <c r="M38" s="178">
        <f t="shared" si="3"/>
        <v>68.090349075975354</v>
      </c>
      <c r="N38" s="178">
        <f t="shared" si="4"/>
        <v>68</v>
      </c>
      <c r="O38" s="178">
        <f t="shared" si="5"/>
        <v>69</v>
      </c>
      <c r="P38" s="178">
        <f t="shared" si="6"/>
        <v>9.0349075975353799E-2</v>
      </c>
      <c r="Q38" s="178">
        <f t="shared" si="7"/>
        <v>0.9096509240246462</v>
      </c>
      <c r="R38" s="179">
        <f>IF(J38=1,VLOOKUP(N38,'Annuity Factors '!$K$10:$S$92,9, FALSE),VLOOKUP(N38,'Annuity Factors '!$A$10:$I$92,9,FALSE))</f>
        <v>11.606389999999999</v>
      </c>
      <c r="S38" s="179">
        <f>IF(J38=1,VLOOKUP(O38,'Annuity Factors '!$K$10:$S$92,9, FALSE),VLOOKUP(O38,'Annuity Factors '!$A$10:$I$92,9,FALSE))</f>
        <v>11.38477</v>
      </c>
    </row>
    <row r="39" spans="1:19" x14ac:dyDescent="0.25">
      <c r="A39" s="1"/>
      <c r="B39" s="1">
        <v>732</v>
      </c>
      <c r="C39" s="19">
        <f t="shared" si="0"/>
        <v>7940.6792944525132</v>
      </c>
      <c r="D39" s="172">
        <f>SUM('Yearly Pension'!$G39:$AV39) *E39</f>
        <v>87281.315768202941</v>
      </c>
      <c r="E39" s="171">
        <f t="shared" si="1"/>
        <v>4.5526245311430529</v>
      </c>
      <c r="F39" s="19">
        <f>VLOOKUP(I39,'Yearly Pension'!$C$3:$BC$81,53,FALSE)</f>
        <v>1744.1981521060782</v>
      </c>
      <c r="G39" s="46"/>
      <c r="H39" s="11">
        <v>600</v>
      </c>
      <c r="I39" s="11">
        <v>732</v>
      </c>
      <c r="J39" s="11">
        <v>1</v>
      </c>
      <c r="K39" s="11">
        <v>19760422</v>
      </c>
      <c r="L39" s="177">
        <f t="shared" si="2"/>
        <v>27872</v>
      </c>
      <c r="M39" s="178">
        <f t="shared" si="3"/>
        <v>48.695414099931554</v>
      </c>
      <c r="N39" s="178">
        <f t="shared" si="4"/>
        <v>48</v>
      </c>
      <c r="O39" s="178">
        <f t="shared" si="5"/>
        <v>49</v>
      </c>
      <c r="P39" s="178">
        <f t="shared" si="6"/>
        <v>0.69541409993155412</v>
      </c>
      <c r="Q39" s="178">
        <f t="shared" si="7"/>
        <v>0.30458590006844588</v>
      </c>
      <c r="R39" s="179">
        <f>IF(J39=1,VLOOKUP(N39,'Annuity Factors '!$K$10:$S$92,9, FALSE),VLOOKUP(N39,'Annuity Factors '!$A$10:$I$92,9,FALSE))</f>
        <v>4.3499600000000003</v>
      </c>
      <c r="S39" s="179">
        <f>IF(J39=1,VLOOKUP(O39,'Annuity Factors '!$K$10:$S$92,9, FALSE),VLOOKUP(O39,'Annuity Factors '!$A$10:$I$92,9,FALSE))</f>
        <v>4.6413899999999995</v>
      </c>
    </row>
    <row r="40" spans="1:19" x14ac:dyDescent="0.25">
      <c r="A40" s="1"/>
      <c r="B40" s="1">
        <v>730</v>
      </c>
      <c r="C40" s="19">
        <f t="shared" si="0"/>
        <v>12578.254934708095</v>
      </c>
      <c r="D40" s="172">
        <f>SUM('Yearly Pension'!$G40:$AV40) *E40</f>
        <v>139101.46218361033</v>
      </c>
      <c r="E40" s="171">
        <f t="shared" si="1"/>
        <v>7.1182919096509245</v>
      </c>
      <c r="F40" s="19">
        <f>VLOOKUP(I40,'Yearly Pension'!$C$3:$BC$81,53,FALSE)</f>
        <v>1767.0327508843231</v>
      </c>
      <c r="G40" s="46"/>
      <c r="H40" s="11">
        <v>600</v>
      </c>
      <c r="I40" s="11">
        <v>730</v>
      </c>
      <c r="J40" s="11">
        <v>1</v>
      </c>
      <c r="K40" s="11">
        <v>19690601</v>
      </c>
      <c r="L40" s="177">
        <f t="shared" si="2"/>
        <v>25355</v>
      </c>
      <c r="M40" s="178">
        <f t="shared" si="3"/>
        <v>55.586584531143053</v>
      </c>
      <c r="N40" s="178">
        <f t="shared" si="4"/>
        <v>55</v>
      </c>
      <c r="O40" s="178">
        <f t="shared" si="5"/>
        <v>56</v>
      </c>
      <c r="P40" s="178">
        <f t="shared" si="6"/>
        <v>0.58658453114305331</v>
      </c>
      <c r="Q40" s="178">
        <f t="shared" si="7"/>
        <v>0.41341546885694669</v>
      </c>
      <c r="R40" s="179">
        <f>IF(J40=1,VLOOKUP(N40,'Annuity Factors '!$K$10:$S$92,9, FALSE),VLOOKUP(N40,'Annuity Factors '!$A$10:$I$92,9,FALSE))</f>
        <v>6.8491200000000001</v>
      </c>
      <c r="S40" s="179">
        <f>IF(J40=1,VLOOKUP(O40,'Annuity Factors '!$K$10:$S$92,9, FALSE),VLOOKUP(O40,'Annuity Factors '!$A$10:$I$92,9,FALSE))</f>
        <v>7.3079999999999998</v>
      </c>
    </row>
    <row r="41" spans="1:19" x14ac:dyDescent="0.25">
      <c r="A41" s="1"/>
      <c r="B41" s="1">
        <v>729</v>
      </c>
      <c r="C41" s="19">
        <f t="shared" si="0"/>
        <v>7719.9245768541696</v>
      </c>
      <c r="D41" s="172">
        <f>SUM('Yearly Pension'!$G41:$AV41) *E41</f>
        <v>85893.103780828213</v>
      </c>
      <c r="E41" s="171">
        <f t="shared" si="1"/>
        <v>4.3131259890485971</v>
      </c>
      <c r="F41" s="19">
        <f>VLOOKUP(I41,'Yearly Pension'!$C$3:$BC$81,53,FALSE)</f>
        <v>1789.8676265093418</v>
      </c>
      <c r="G41" s="46"/>
      <c r="H41" s="11">
        <v>600</v>
      </c>
      <c r="I41" s="11">
        <v>729</v>
      </c>
      <c r="J41" s="11">
        <v>1</v>
      </c>
      <c r="K41" s="11">
        <v>19771113</v>
      </c>
      <c r="L41" s="177">
        <f t="shared" si="2"/>
        <v>28442</v>
      </c>
      <c r="M41" s="178">
        <f t="shared" si="3"/>
        <v>47.134839151266256</v>
      </c>
      <c r="N41" s="178">
        <f t="shared" si="4"/>
        <v>47</v>
      </c>
      <c r="O41" s="178">
        <f t="shared" si="5"/>
        <v>48</v>
      </c>
      <c r="P41" s="178">
        <f t="shared" si="6"/>
        <v>0.1348391512662559</v>
      </c>
      <c r="Q41" s="178">
        <f t="shared" si="7"/>
        <v>0.8651608487337441</v>
      </c>
      <c r="R41" s="179">
        <f>IF(J41=1,VLOOKUP(N41,'Annuity Factors '!$K$10:$S$92,9, FALSE),VLOOKUP(N41,'Annuity Factors '!$A$10:$I$92,9,FALSE))</f>
        <v>4.0767899999999999</v>
      </c>
      <c r="S41" s="179">
        <f>IF(J41=1,VLOOKUP(O41,'Annuity Factors '!$K$10:$S$92,9, FALSE),VLOOKUP(O41,'Annuity Factors '!$A$10:$I$92,9,FALSE))</f>
        <v>4.3499600000000003</v>
      </c>
    </row>
    <row r="42" spans="1:19" x14ac:dyDescent="0.25">
      <c r="A42" s="1"/>
      <c r="B42" s="1">
        <v>726</v>
      </c>
      <c r="C42" s="19">
        <f t="shared" si="0"/>
        <v>0</v>
      </c>
      <c r="D42" s="172">
        <f>SUM('Yearly Pension'!$G42:$AV42) *E42</f>
        <v>227702.02467236519</v>
      </c>
      <c r="E42" s="171">
        <f t="shared" si="1"/>
        <v>11.222120376454482</v>
      </c>
      <c r="F42" s="19">
        <f>VLOOKUP(I42,'Yearly Pension'!$C$3:$BC$81,53,FALSE)</f>
        <v>0</v>
      </c>
      <c r="G42" s="46"/>
      <c r="H42" s="11">
        <v>600</v>
      </c>
      <c r="I42" s="11">
        <v>726</v>
      </c>
      <c r="J42" s="11">
        <v>2</v>
      </c>
      <c r="K42" s="11">
        <v>19550414</v>
      </c>
      <c r="L42" s="177">
        <f t="shared" si="2"/>
        <v>20193</v>
      </c>
      <c r="M42" s="178">
        <f t="shared" si="3"/>
        <v>69.719370294318963</v>
      </c>
      <c r="N42" s="178">
        <f t="shared" si="4"/>
        <v>69</v>
      </c>
      <c r="O42" s="178">
        <f t="shared" si="5"/>
        <v>70</v>
      </c>
      <c r="P42" s="178">
        <f t="shared" si="6"/>
        <v>0.71937029431896349</v>
      </c>
      <c r="Q42" s="178">
        <f t="shared" si="7"/>
        <v>0.28062970568103651</v>
      </c>
      <c r="R42" s="179">
        <f>IF(J42=1,VLOOKUP(N42,'Annuity Factors '!$K$10:$S$92,9, FALSE),VLOOKUP(N42,'Annuity Factors '!$A$10:$I$92,9,FALSE))</f>
        <v>11.38477</v>
      </c>
      <c r="S42" s="179">
        <f>IF(J42=1,VLOOKUP(O42,'Annuity Factors '!$K$10:$S$92,9, FALSE),VLOOKUP(O42,'Annuity Factors '!$A$10:$I$92,9,FALSE))</f>
        <v>11.158670000000001</v>
      </c>
    </row>
    <row r="43" spans="1:19" x14ac:dyDescent="0.25">
      <c r="A43" s="1"/>
      <c r="B43" s="1">
        <v>721</v>
      </c>
      <c r="C43" s="19">
        <f t="shared" si="0"/>
        <v>1872.9982775191993</v>
      </c>
      <c r="D43" s="172">
        <f>SUM('Yearly Pension'!$G43:$AV43) *E43</f>
        <v>259411.65860833693</v>
      </c>
      <c r="E43" s="171">
        <f t="shared" si="1"/>
        <v>12.244907885010267</v>
      </c>
      <c r="F43" s="19">
        <f>VLOOKUP(I43,'Yearly Pension'!$C$3:$BC$81,53,FALSE)</f>
        <v>152.96140200548587</v>
      </c>
      <c r="G43" s="46"/>
      <c r="H43" s="11">
        <v>600</v>
      </c>
      <c r="I43" s="11">
        <v>721</v>
      </c>
      <c r="J43" s="11">
        <v>2</v>
      </c>
      <c r="K43" s="11">
        <v>19600108</v>
      </c>
      <c r="L43" s="177">
        <f t="shared" si="2"/>
        <v>21923</v>
      </c>
      <c r="M43" s="178">
        <f t="shared" si="3"/>
        <v>64.982888432580424</v>
      </c>
      <c r="N43" s="178">
        <f t="shared" si="4"/>
        <v>64</v>
      </c>
      <c r="O43" s="178">
        <f t="shared" si="5"/>
        <v>65</v>
      </c>
      <c r="P43" s="178">
        <f t="shared" si="6"/>
        <v>0.98288843258042391</v>
      </c>
      <c r="Q43" s="178">
        <f t="shared" si="7"/>
        <v>1.711156741957609E-2</v>
      </c>
      <c r="R43" s="179">
        <f>IF(J43=1,VLOOKUP(N43,'Annuity Factors '!$K$10:$S$92,9, FALSE),VLOOKUP(N43,'Annuity Factors '!$A$10:$I$92,9,FALSE))</f>
        <v>12.44238</v>
      </c>
      <c r="S43" s="179">
        <f>IF(J43=1,VLOOKUP(O43,'Annuity Factors '!$K$10:$S$92,9, FALSE),VLOOKUP(O43,'Annuity Factors '!$A$10:$I$92,9,FALSE))</f>
        <v>12.24147</v>
      </c>
    </row>
    <row r="44" spans="1:19" x14ac:dyDescent="0.25">
      <c r="A44" s="1"/>
      <c r="B44" s="1">
        <v>718</v>
      </c>
      <c r="C44" s="19">
        <f t="shared" si="0"/>
        <v>19883.714311073152</v>
      </c>
      <c r="D44" s="172">
        <f>SUM('Yearly Pension'!$G44:$AV44) *E44</f>
        <v>218752.981064625</v>
      </c>
      <c r="E44" s="171">
        <f t="shared" si="1"/>
        <v>10.699537275838466</v>
      </c>
      <c r="F44" s="19">
        <f>VLOOKUP(I44,'Yearly Pension'!$C$3:$BC$81,53,FALSE)</f>
        <v>1858.3714228440754</v>
      </c>
      <c r="G44" s="46"/>
      <c r="H44" s="11">
        <v>600</v>
      </c>
      <c r="I44" s="11">
        <v>718</v>
      </c>
      <c r="J44" s="11">
        <v>2</v>
      </c>
      <c r="K44" s="11">
        <v>19630529</v>
      </c>
      <c r="L44" s="177">
        <f t="shared" si="2"/>
        <v>23160</v>
      </c>
      <c r="M44" s="178">
        <f t="shared" si="3"/>
        <v>61.596167008898014</v>
      </c>
      <c r="N44" s="178">
        <f t="shared" si="4"/>
        <v>61</v>
      </c>
      <c r="O44" s="178">
        <f t="shared" si="5"/>
        <v>62</v>
      </c>
      <c r="P44" s="178">
        <f t="shared" si="6"/>
        <v>0.59616700889801422</v>
      </c>
      <c r="Q44" s="178">
        <f t="shared" si="7"/>
        <v>0.40383299110198578</v>
      </c>
      <c r="R44" s="179">
        <f>IF(J44=1,VLOOKUP(N44,'Annuity Factors '!$K$10:$S$92,9, FALSE),VLOOKUP(N44,'Annuity Factors '!$A$10:$I$92,9,FALSE))</f>
        <v>10.300319999999999</v>
      </c>
      <c r="S44" s="179">
        <f>IF(J44=1,VLOOKUP(O44,'Annuity Factors '!$K$10:$S$92,9, FALSE),VLOOKUP(O44,'Annuity Factors '!$A$10:$I$92,9,FALSE))</f>
        <v>10.96996</v>
      </c>
    </row>
    <row r="45" spans="1:19" x14ac:dyDescent="0.25">
      <c r="A45" s="1"/>
      <c r="B45" s="1">
        <v>714</v>
      </c>
      <c r="C45" s="19">
        <f t="shared" si="0"/>
        <v>18185.304070337228</v>
      </c>
      <c r="D45" s="172">
        <f>SUM('Yearly Pension'!$G45:$AV45) *E45</f>
        <v>204857.85829661012</v>
      </c>
      <c r="E45" s="171">
        <f t="shared" si="1"/>
        <v>9.6668313757700215</v>
      </c>
      <c r="F45" s="19">
        <f>VLOOKUP(I45,'Yearly Pension'!$C$3:$BC$81,53,FALSE)</f>
        <v>1881.2062984690947</v>
      </c>
      <c r="G45" s="46"/>
      <c r="H45" s="11">
        <v>600</v>
      </c>
      <c r="I45" s="11">
        <v>714</v>
      </c>
      <c r="J45" s="11">
        <v>2</v>
      </c>
      <c r="K45" s="11">
        <v>19650104</v>
      </c>
      <c r="L45" s="177">
        <f t="shared" si="2"/>
        <v>23746</v>
      </c>
      <c r="M45" s="178">
        <f t="shared" si="3"/>
        <v>59.991786447638603</v>
      </c>
      <c r="N45" s="178">
        <f t="shared" si="4"/>
        <v>59</v>
      </c>
      <c r="O45" s="178">
        <f t="shared" si="5"/>
        <v>60</v>
      </c>
      <c r="P45" s="178">
        <f t="shared" si="6"/>
        <v>0.99178644763860291</v>
      </c>
      <c r="Q45" s="178">
        <f t="shared" si="7"/>
        <v>8.2135523613970918E-3</v>
      </c>
      <c r="R45" s="179">
        <f>IF(J45=1,VLOOKUP(N45,'Annuity Factors '!$K$10:$S$92,9, FALSE),VLOOKUP(N45,'Annuity Factors '!$A$10:$I$92,9,FALSE))</f>
        <v>9.0813600000000001</v>
      </c>
      <c r="S45" s="179">
        <f>IF(J45=1,VLOOKUP(O45,'Annuity Factors '!$K$10:$S$92,9, FALSE),VLOOKUP(O45,'Annuity Factors '!$A$10:$I$92,9,FALSE))</f>
        <v>9.6716800000000021</v>
      </c>
    </row>
    <row r="46" spans="1:19" x14ac:dyDescent="0.25">
      <c r="A46" s="1"/>
      <c r="B46" s="1">
        <v>709</v>
      </c>
      <c r="C46" s="19">
        <f t="shared" si="0"/>
        <v>9240.5882479736701</v>
      </c>
      <c r="D46" s="172">
        <f>SUM('Yearly Pension'!$G46:$AV46) *E46</f>
        <v>112992.91218420866</v>
      </c>
      <c r="E46" s="171">
        <f t="shared" si="1"/>
        <v>4.8531458863791936</v>
      </c>
      <c r="F46" s="19">
        <f>VLOOKUP(I46,'Yearly Pension'!$C$3:$BC$81,53,FALSE)</f>
        <v>1904.0408972473388</v>
      </c>
      <c r="G46" s="46"/>
      <c r="H46" s="11">
        <v>600</v>
      </c>
      <c r="I46" s="11">
        <v>709</v>
      </c>
      <c r="J46" s="11">
        <v>1</v>
      </c>
      <c r="K46" s="11">
        <v>19750428</v>
      </c>
      <c r="L46" s="177">
        <f t="shared" si="2"/>
        <v>27512</v>
      </c>
      <c r="M46" s="178">
        <f t="shared" si="3"/>
        <v>49.681040383299113</v>
      </c>
      <c r="N46" s="178">
        <f t="shared" si="4"/>
        <v>49</v>
      </c>
      <c r="O46" s="178">
        <f t="shared" si="5"/>
        <v>50</v>
      </c>
      <c r="P46" s="178">
        <f t="shared" si="6"/>
        <v>0.68104038329911276</v>
      </c>
      <c r="Q46" s="178">
        <f t="shared" si="7"/>
        <v>0.31895961670088724</v>
      </c>
      <c r="R46" s="179">
        <f>IF(J46=1,VLOOKUP(N46,'Annuity Factors '!$K$10:$S$92,9, FALSE),VLOOKUP(N46,'Annuity Factors '!$A$10:$I$92,9,FALSE))</f>
        <v>4.6413899999999995</v>
      </c>
      <c r="S46" s="179">
        <f>IF(J46=1,VLOOKUP(O46,'Annuity Factors '!$K$10:$S$92,9, FALSE),VLOOKUP(O46,'Annuity Factors '!$A$10:$I$92,9,FALSE))</f>
        <v>4.9523200000000003</v>
      </c>
    </row>
    <row r="47" spans="1:19" x14ac:dyDescent="0.25">
      <c r="A47" s="1"/>
      <c r="B47" s="1">
        <v>703</v>
      </c>
      <c r="C47" s="19">
        <f t="shared" si="0"/>
        <v>9170.0322572700061</v>
      </c>
      <c r="D47" s="172">
        <f>SUM('Yearly Pension'!$G47:$AV47) *E47</f>
        <v>114702.97048935149</v>
      </c>
      <c r="E47" s="171">
        <f t="shared" si="1"/>
        <v>4.7590164887063651</v>
      </c>
      <c r="F47" s="19">
        <f>VLOOKUP(I47,'Yearly Pension'!$C$3:$BC$81,53,FALSE)</f>
        <v>1926.8754960255833</v>
      </c>
      <c r="G47" s="46"/>
      <c r="H47" s="11">
        <v>600</v>
      </c>
      <c r="I47" s="11">
        <v>703</v>
      </c>
      <c r="J47" s="11">
        <v>2</v>
      </c>
      <c r="K47" s="11">
        <v>19761202</v>
      </c>
      <c r="L47" s="177">
        <f t="shared" si="2"/>
        <v>28096</v>
      </c>
      <c r="M47" s="178">
        <f t="shared" si="3"/>
        <v>48.082135523613964</v>
      </c>
      <c r="N47" s="178">
        <f t="shared" si="4"/>
        <v>48</v>
      </c>
      <c r="O47" s="178">
        <f t="shared" si="5"/>
        <v>49</v>
      </c>
      <c r="P47" s="178">
        <f t="shared" si="6"/>
        <v>8.2135523613963812E-2</v>
      </c>
      <c r="Q47" s="178">
        <f t="shared" si="7"/>
        <v>0.91786447638603619</v>
      </c>
      <c r="R47" s="179">
        <f>IF(J47=1,VLOOKUP(N47,'Annuity Factors '!$K$10:$S$92,9, FALSE),VLOOKUP(N47,'Annuity Factors '!$A$10:$I$92,9,FALSE))</f>
        <v>4.4832900000000002</v>
      </c>
      <c r="S47" s="179">
        <f>IF(J47=1,VLOOKUP(O47,'Annuity Factors '!$K$10:$S$92,9, FALSE),VLOOKUP(O47,'Annuity Factors '!$A$10:$I$92,9,FALSE))</f>
        <v>4.78369</v>
      </c>
    </row>
    <row r="48" spans="1:19" x14ac:dyDescent="0.25">
      <c r="A48" s="1"/>
      <c r="B48" s="1">
        <v>698</v>
      </c>
      <c r="C48" s="19">
        <f t="shared" si="0"/>
        <v>9129.5732878339586</v>
      </c>
      <c r="D48" s="172">
        <f>SUM('Yearly Pension'!$G48:$AV48) *E48</f>
        <v>115710.64128474412</v>
      </c>
      <c r="E48" s="171">
        <f t="shared" si="1"/>
        <v>4.6825286036960998</v>
      </c>
      <c r="F48" s="19">
        <f>VLOOKUP(I48,'Yearly Pension'!$C$3:$BC$81,53,FALSE)</f>
        <v>1949.7100948038278</v>
      </c>
      <c r="G48" s="46"/>
      <c r="H48" s="11">
        <v>600</v>
      </c>
      <c r="I48" s="11">
        <v>698</v>
      </c>
      <c r="J48" s="11">
        <v>2</v>
      </c>
      <c r="K48" s="11">
        <v>19760831</v>
      </c>
      <c r="L48" s="177">
        <f t="shared" si="2"/>
        <v>28003</v>
      </c>
      <c r="M48" s="178">
        <f t="shared" si="3"/>
        <v>48.336755646817245</v>
      </c>
      <c r="N48" s="178">
        <f t="shared" si="4"/>
        <v>48</v>
      </c>
      <c r="O48" s="178">
        <f t="shared" si="5"/>
        <v>49</v>
      </c>
      <c r="P48" s="178">
        <f t="shared" si="6"/>
        <v>0.33675564681724524</v>
      </c>
      <c r="Q48" s="178">
        <f t="shared" si="7"/>
        <v>0.66324435318275476</v>
      </c>
      <c r="R48" s="179">
        <f>IF(J48=1,VLOOKUP(N48,'Annuity Factors '!$K$10:$S$92,9, FALSE),VLOOKUP(N48,'Annuity Factors '!$A$10:$I$92,9,FALSE))</f>
        <v>4.4832900000000002</v>
      </c>
      <c r="S48" s="179">
        <f>IF(J48=1,VLOOKUP(O48,'Annuity Factors '!$K$10:$S$92,9, FALSE),VLOOKUP(O48,'Annuity Factors '!$A$10:$I$92,9,FALSE))</f>
        <v>4.78369</v>
      </c>
    </row>
    <row r="49" spans="1:19" x14ac:dyDescent="0.25">
      <c r="A49" s="1"/>
      <c r="B49" s="1">
        <v>697</v>
      </c>
      <c r="C49" s="19">
        <f t="shared" si="0"/>
        <v>24059.192489397956</v>
      </c>
      <c r="D49" s="172">
        <f>SUM('Yearly Pension'!$G49:$AV49) *E49</f>
        <v>290965.62783391133</v>
      </c>
      <c r="E49" s="171">
        <f t="shared" si="1"/>
        <v>12.19703117043121</v>
      </c>
      <c r="F49" s="19">
        <f>VLOOKUP(I49,'Yearly Pension'!$C$3:$BC$81,53,FALSE)</f>
        <v>1972.5449704288471</v>
      </c>
      <c r="G49" s="46"/>
      <c r="H49" s="11">
        <v>600</v>
      </c>
      <c r="I49" s="11">
        <v>697</v>
      </c>
      <c r="J49" s="11">
        <v>1</v>
      </c>
      <c r="K49" s="11">
        <v>19610118</v>
      </c>
      <c r="L49" s="177">
        <f t="shared" si="2"/>
        <v>22299</v>
      </c>
      <c r="M49" s="178">
        <f t="shared" si="3"/>
        <v>63.953456536618752</v>
      </c>
      <c r="N49" s="178">
        <f t="shared" si="4"/>
        <v>63</v>
      </c>
      <c r="O49" s="178">
        <f t="shared" si="5"/>
        <v>64</v>
      </c>
      <c r="P49" s="178">
        <f t="shared" si="6"/>
        <v>0.95345653661875218</v>
      </c>
      <c r="Q49" s="178">
        <f t="shared" si="7"/>
        <v>4.6543463381247818E-2</v>
      </c>
      <c r="R49" s="179">
        <f>IF(J49=1,VLOOKUP(N49,'Annuity Factors '!$K$10:$S$92,9, FALSE),VLOOKUP(N49,'Annuity Factors '!$A$10:$I$92,9,FALSE))</f>
        <v>11.472900000000001</v>
      </c>
      <c r="S49" s="179">
        <f>IF(J49=1,VLOOKUP(O49,'Annuity Factors '!$K$10:$S$92,9, FALSE),VLOOKUP(O49,'Annuity Factors '!$A$10:$I$92,9,FALSE))</f>
        <v>12.232379999999999</v>
      </c>
    </row>
    <row r="50" spans="1:19" x14ac:dyDescent="0.25">
      <c r="A50" s="1"/>
      <c r="B50" s="1">
        <v>696</v>
      </c>
      <c r="C50" s="19">
        <f t="shared" si="0"/>
        <v>16457.895221152849</v>
      </c>
      <c r="D50" s="172">
        <f>SUM('Yearly Pension'!$G50:$AV50) *E50</f>
        <v>205117.64864949978</v>
      </c>
      <c r="E50" s="171">
        <f t="shared" si="1"/>
        <v>8.2480022724161515</v>
      </c>
      <c r="F50" s="19">
        <f>VLOOKUP(I50,'Yearly Pension'!$C$3:$BC$81,53,FALSE)</f>
        <v>1995.3795692070912</v>
      </c>
      <c r="G50" s="46"/>
      <c r="H50" s="11">
        <v>600</v>
      </c>
      <c r="I50" s="11">
        <v>696</v>
      </c>
      <c r="J50" s="11">
        <v>1</v>
      </c>
      <c r="K50" s="11">
        <v>19670219</v>
      </c>
      <c r="L50" s="177">
        <f t="shared" si="2"/>
        <v>24522</v>
      </c>
      <c r="M50" s="178">
        <f t="shared" si="3"/>
        <v>57.86721423682409</v>
      </c>
      <c r="N50" s="178">
        <f t="shared" si="4"/>
        <v>57</v>
      </c>
      <c r="O50" s="178">
        <f t="shared" si="5"/>
        <v>58</v>
      </c>
      <c r="P50" s="178">
        <f t="shared" si="6"/>
        <v>0.86721423682408982</v>
      </c>
      <c r="Q50" s="178">
        <f t="shared" si="7"/>
        <v>0.13278576317591018</v>
      </c>
      <c r="R50" s="179">
        <f>IF(J50=1,VLOOKUP(N50,'Annuity Factors '!$K$10:$S$92,9, FALSE),VLOOKUP(N50,'Annuity Factors '!$A$10:$I$92,9,FALSE))</f>
        <v>7.7967300000000002</v>
      </c>
      <c r="S50" s="179">
        <f>IF(J50=1,VLOOKUP(O50,'Annuity Factors '!$K$10:$S$92,9, FALSE),VLOOKUP(O50,'Annuity Factors '!$A$10:$I$92,9,FALSE))</f>
        <v>8.3170999999999999</v>
      </c>
    </row>
    <row r="51" spans="1:19" x14ac:dyDescent="0.25">
      <c r="A51" s="1"/>
      <c r="B51" s="1">
        <v>694</v>
      </c>
      <c r="C51" s="19">
        <f t="shared" si="0"/>
        <v>14177.007254132883</v>
      </c>
      <c r="D51" s="172">
        <f>SUM('Yearly Pension'!$G51:$AV51) *E51</f>
        <v>182407.96495054121</v>
      </c>
      <c r="E51" s="171">
        <f t="shared" si="1"/>
        <v>7.024530636550308</v>
      </c>
      <c r="F51" s="19">
        <f>VLOOKUP(I51,'Yearly Pension'!$C$3:$BC$81,53,FALSE)</f>
        <v>2018.214167985336</v>
      </c>
      <c r="G51" s="46"/>
      <c r="H51" s="11">
        <v>600</v>
      </c>
      <c r="I51" s="11">
        <v>694</v>
      </c>
      <c r="J51" s="11">
        <v>2</v>
      </c>
      <c r="K51" s="11">
        <v>19701204</v>
      </c>
      <c r="L51" s="177">
        <f t="shared" si="2"/>
        <v>25906</v>
      </c>
      <c r="M51" s="178">
        <f t="shared" si="3"/>
        <v>54.078028747433265</v>
      </c>
      <c r="N51" s="178">
        <f t="shared" si="4"/>
        <v>54</v>
      </c>
      <c r="O51" s="178">
        <f t="shared" si="5"/>
        <v>55</v>
      </c>
      <c r="P51" s="178">
        <f t="shared" si="6"/>
        <v>7.8028747433265266E-2</v>
      </c>
      <c r="Q51" s="178">
        <f t="shared" si="7"/>
        <v>0.92197125256673473</v>
      </c>
      <c r="R51" s="179">
        <f>IF(J51=1,VLOOKUP(N51,'Annuity Factors '!$K$10:$S$92,9, FALSE),VLOOKUP(N51,'Annuity Factors '!$A$10:$I$92,9,FALSE))</f>
        <v>6.6158299999999999</v>
      </c>
      <c r="S51" s="179">
        <f>IF(J51=1,VLOOKUP(O51,'Annuity Factors '!$K$10:$S$92,9, FALSE),VLOOKUP(O51,'Annuity Factors '!$A$10:$I$92,9,FALSE))</f>
        <v>7.0591200000000001</v>
      </c>
    </row>
    <row r="52" spans="1:19" x14ac:dyDescent="0.25">
      <c r="A52" s="1"/>
      <c r="B52" s="1">
        <v>687</v>
      </c>
      <c r="C52" s="19">
        <f t="shared" si="0"/>
        <v>16932.715573984431</v>
      </c>
      <c r="D52" s="172">
        <f>SUM('Yearly Pension'!$G52:$AV52) *E52</f>
        <v>220555.99851161995</v>
      </c>
      <c r="E52" s="171">
        <f t="shared" si="1"/>
        <v>8.2960857426420276</v>
      </c>
      <c r="F52" s="19">
        <f>VLOOKUP(I52,'Yearly Pension'!$C$3:$BC$81,53,FALSE)</f>
        <v>2041.0487667635803</v>
      </c>
      <c r="G52" s="46"/>
      <c r="H52" s="11">
        <v>600</v>
      </c>
      <c r="I52" s="11">
        <v>687</v>
      </c>
      <c r="J52" s="11">
        <v>1</v>
      </c>
      <c r="K52" s="11">
        <v>19671218</v>
      </c>
      <c r="L52" s="177">
        <f t="shared" si="2"/>
        <v>24824</v>
      </c>
      <c r="M52" s="178">
        <f t="shared" si="3"/>
        <v>57.040383299110196</v>
      </c>
      <c r="N52" s="178">
        <f t="shared" si="4"/>
        <v>57</v>
      </c>
      <c r="O52" s="178">
        <f t="shared" si="5"/>
        <v>58</v>
      </c>
      <c r="P52" s="178">
        <f t="shared" si="6"/>
        <v>4.0383299110196447E-2</v>
      </c>
      <c r="Q52" s="178">
        <f t="shared" si="7"/>
        <v>0.95961670088980355</v>
      </c>
      <c r="R52" s="179">
        <f>IF(J52=1,VLOOKUP(N52,'Annuity Factors '!$K$10:$S$92,9, FALSE),VLOOKUP(N52,'Annuity Factors '!$A$10:$I$92,9,FALSE))</f>
        <v>7.7967300000000002</v>
      </c>
      <c r="S52" s="179">
        <f>IF(J52=1,VLOOKUP(O52,'Annuity Factors '!$K$10:$S$92,9, FALSE),VLOOKUP(O52,'Annuity Factors '!$A$10:$I$92,9,FALSE))</f>
        <v>8.3170999999999999</v>
      </c>
    </row>
    <row r="53" spans="1:19" x14ac:dyDescent="0.25">
      <c r="A53" s="1"/>
      <c r="B53" s="1">
        <v>685</v>
      </c>
      <c r="C53" s="19">
        <f t="shared" si="0"/>
        <v>11797.449976706726</v>
      </c>
      <c r="D53" s="172">
        <f>SUM('Yearly Pension'!$G53:$AV53) *E53</f>
        <v>154874.92948597108</v>
      </c>
      <c r="E53" s="171">
        <f t="shared" si="1"/>
        <v>5.7161410335386709</v>
      </c>
      <c r="F53" s="19">
        <f>VLOOKUP(I53,'Yearly Pension'!$C$3:$BC$81,53,FALSE)</f>
        <v>2063.8836423885996</v>
      </c>
      <c r="G53" s="46"/>
      <c r="H53" s="11">
        <v>600</v>
      </c>
      <c r="I53" s="11">
        <v>685</v>
      </c>
      <c r="J53" s="11">
        <v>2</v>
      </c>
      <c r="K53" s="11">
        <v>19730406</v>
      </c>
      <c r="L53" s="177">
        <f t="shared" si="2"/>
        <v>26760</v>
      </c>
      <c r="M53" s="178">
        <f t="shared" si="3"/>
        <v>51.739904175222449</v>
      </c>
      <c r="N53" s="178">
        <f t="shared" si="4"/>
        <v>51</v>
      </c>
      <c r="O53" s="178">
        <f t="shared" si="5"/>
        <v>52</v>
      </c>
      <c r="P53" s="178">
        <f t="shared" si="6"/>
        <v>0.73990417522244911</v>
      </c>
      <c r="Q53" s="178">
        <f t="shared" si="7"/>
        <v>0.26009582477755089</v>
      </c>
      <c r="R53" s="179">
        <f>IF(J53=1,VLOOKUP(N53,'Annuity Factors '!$K$10:$S$92,9, FALSE),VLOOKUP(N53,'Annuity Factors '!$A$10:$I$92,9,FALSE))</f>
        <v>5.4461500000000003</v>
      </c>
      <c r="S53" s="179">
        <f>IF(J53=1,VLOOKUP(O53,'Annuity Factors '!$K$10:$S$92,9, FALSE),VLOOKUP(O53,'Annuity Factors '!$A$10:$I$92,9,FALSE))</f>
        <v>5.8110499999999998</v>
      </c>
    </row>
    <row r="54" spans="1:19" x14ac:dyDescent="0.25">
      <c r="A54" s="1"/>
      <c r="B54" s="1">
        <v>684</v>
      </c>
      <c r="C54" s="19">
        <f t="shared" si="0"/>
        <v>19692.205159122121</v>
      </c>
      <c r="D54" s="172">
        <f>SUM('Yearly Pension'!$G54:$AV54) *E54</f>
        <v>258581.82474158224</v>
      </c>
      <c r="E54" s="171">
        <f t="shared" si="1"/>
        <v>9.4369257768651629</v>
      </c>
      <c r="F54" s="19">
        <f>VLOOKUP(I54,'Yearly Pension'!$C$3:$BC$81,53,FALSE)</f>
        <v>2086.7182411668437</v>
      </c>
      <c r="G54" s="46"/>
      <c r="H54" s="11">
        <v>600</v>
      </c>
      <c r="I54" s="11">
        <v>684</v>
      </c>
      <c r="J54" s="11">
        <v>2</v>
      </c>
      <c r="K54" s="11">
        <v>19650809</v>
      </c>
      <c r="L54" s="177">
        <f t="shared" si="2"/>
        <v>23963</v>
      </c>
      <c r="M54" s="178">
        <f t="shared" si="3"/>
        <v>59.397672826830934</v>
      </c>
      <c r="N54" s="178">
        <f t="shared" si="4"/>
        <v>59</v>
      </c>
      <c r="O54" s="178">
        <f t="shared" si="5"/>
        <v>60</v>
      </c>
      <c r="P54" s="178">
        <f t="shared" si="6"/>
        <v>0.39767282683093441</v>
      </c>
      <c r="Q54" s="178">
        <f t="shared" si="7"/>
        <v>0.60232717316906559</v>
      </c>
      <c r="R54" s="179">
        <f>IF(J54=1,VLOOKUP(N54,'Annuity Factors '!$K$10:$S$92,9, FALSE),VLOOKUP(N54,'Annuity Factors '!$A$10:$I$92,9,FALSE))</f>
        <v>9.0813600000000001</v>
      </c>
      <c r="S54" s="179">
        <f>IF(J54=1,VLOOKUP(O54,'Annuity Factors '!$K$10:$S$92,9, FALSE),VLOOKUP(O54,'Annuity Factors '!$A$10:$I$92,9,FALSE))</f>
        <v>9.6716800000000021</v>
      </c>
    </row>
    <row r="55" spans="1:19" x14ac:dyDescent="0.25">
      <c r="A55" s="1"/>
      <c r="B55" s="1">
        <v>681</v>
      </c>
      <c r="C55" s="19">
        <f t="shared" si="0"/>
        <v>21180.770043927929</v>
      </c>
      <c r="D55" s="172">
        <f>SUM('Yearly Pension'!$G55:$AV55) *E55</f>
        <v>280827.60739730054</v>
      </c>
      <c r="E55" s="171">
        <f t="shared" si="1"/>
        <v>10.040407446954143</v>
      </c>
      <c r="F55" s="19">
        <f>VLOOKUP(I55,'Yearly Pension'!$C$3:$BC$81,53,FALSE)</f>
        <v>2109.5528399450886</v>
      </c>
      <c r="G55" s="46"/>
      <c r="H55" s="11">
        <v>600</v>
      </c>
      <c r="I55" s="11">
        <v>681</v>
      </c>
      <c r="J55" s="11">
        <v>1</v>
      </c>
      <c r="K55" s="11">
        <v>19641203</v>
      </c>
      <c r="L55" s="177">
        <f t="shared" si="2"/>
        <v>23714</v>
      </c>
      <c r="M55" s="178">
        <f t="shared" si="3"/>
        <v>60.079397672826829</v>
      </c>
      <c r="N55" s="178">
        <f t="shared" si="4"/>
        <v>60</v>
      </c>
      <c r="O55" s="178">
        <f t="shared" si="5"/>
        <v>61</v>
      </c>
      <c r="P55" s="178">
        <f t="shared" si="6"/>
        <v>7.939767282682908E-2</v>
      </c>
      <c r="Q55" s="178">
        <f t="shared" si="7"/>
        <v>0.92060232717317092</v>
      </c>
      <c r="R55" s="179">
        <f>IF(J55=1,VLOOKUP(N55,'Annuity Factors '!$K$10:$S$92,9, FALSE),VLOOKUP(N55,'Annuity Factors '!$A$10:$I$92,9,FALSE))</f>
        <v>9.4616799999999994</v>
      </c>
      <c r="S55" s="179">
        <f>IF(J55=1,VLOOKUP(O55,'Annuity Factors '!$K$10:$S$92,9, FALSE),VLOOKUP(O55,'Annuity Factors '!$A$10:$I$92,9,FALSE))</f>
        <v>10.09032</v>
      </c>
    </row>
    <row r="56" spans="1:19" x14ac:dyDescent="0.25">
      <c r="A56" s="1"/>
      <c r="B56" s="1">
        <v>655</v>
      </c>
      <c r="C56" s="19">
        <f t="shared" si="0"/>
        <v>12255.068004468194</v>
      </c>
      <c r="D56" s="172">
        <f>SUM('Yearly Pension'!$G56:$AV56) *E56</f>
        <v>169467.96958440563</v>
      </c>
      <c r="E56" s="171">
        <f t="shared" si="1"/>
        <v>5.7471113278576329</v>
      </c>
      <c r="F56" s="19">
        <f>VLOOKUP(I56,'Yearly Pension'!$C$3:$BC$81,53,FALSE)</f>
        <v>2132.3874387233336</v>
      </c>
      <c r="G56" s="46"/>
      <c r="H56" s="11">
        <v>600</v>
      </c>
      <c r="I56" s="11">
        <v>655</v>
      </c>
      <c r="J56" s="11">
        <v>2</v>
      </c>
      <c r="K56" s="11">
        <v>19730306</v>
      </c>
      <c r="L56" s="177">
        <f t="shared" si="2"/>
        <v>26729</v>
      </c>
      <c r="M56" s="178">
        <f t="shared" si="3"/>
        <v>51.824777549623548</v>
      </c>
      <c r="N56" s="178">
        <f t="shared" si="4"/>
        <v>51</v>
      </c>
      <c r="O56" s="178">
        <f t="shared" si="5"/>
        <v>52</v>
      </c>
      <c r="P56" s="178">
        <f t="shared" si="6"/>
        <v>0.82477754962354766</v>
      </c>
      <c r="Q56" s="178">
        <f t="shared" si="7"/>
        <v>0.17522245037645234</v>
      </c>
      <c r="R56" s="179">
        <f>IF(J56=1,VLOOKUP(N56,'Annuity Factors '!$K$10:$S$92,9, FALSE),VLOOKUP(N56,'Annuity Factors '!$A$10:$I$92,9,FALSE))</f>
        <v>5.4461500000000003</v>
      </c>
      <c r="S56" s="179">
        <f>IF(J56=1,VLOOKUP(O56,'Annuity Factors '!$K$10:$S$92,9, FALSE),VLOOKUP(O56,'Annuity Factors '!$A$10:$I$92,9,FALSE))</f>
        <v>5.8110499999999998</v>
      </c>
    </row>
    <row r="57" spans="1:19" x14ac:dyDescent="0.25">
      <c r="A57" s="1"/>
      <c r="B57" s="1">
        <v>644</v>
      </c>
      <c r="C57" s="19">
        <f t="shared" si="0"/>
        <v>21564.19479124447</v>
      </c>
      <c r="D57" s="172">
        <f>SUM('Yearly Pension'!$G57:$AV57) *E57</f>
        <v>302153.04720251635</v>
      </c>
      <c r="E57" s="171">
        <f t="shared" si="1"/>
        <v>10.00555471594798</v>
      </c>
      <c r="F57" s="19">
        <f>VLOOKUP(I57,'Yearly Pension'!$C$3:$BC$81,53,FALSE)</f>
        <v>2155.2223143483516</v>
      </c>
      <c r="G57" s="46"/>
      <c r="H57" s="11">
        <v>600</v>
      </c>
      <c r="I57" s="11">
        <v>644</v>
      </c>
      <c r="J57" s="11">
        <v>1</v>
      </c>
      <c r="K57" s="11">
        <v>19640220</v>
      </c>
      <c r="L57" s="177">
        <f t="shared" si="2"/>
        <v>23427</v>
      </c>
      <c r="M57" s="178">
        <f t="shared" si="3"/>
        <v>60.865160848733744</v>
      </c>
      <c r="N57" s="178">
        <f t="shared" si="4"/>
        <v>60</v>
      </c>
      <c r="O57" s="178">
        <f t="shared" si="5"/>
        <v>61</v>
      </c>
      <c r="P57" s="178">
        <f t="shared" si="6"/>
        <v>0.8651608487337441</v>
      </c>
      <c r="Q57" s="178">
        <f t="shared" si="7"/>
        <v>0.1348391512662559</v>
      </c>
      <c r="R57" s="179">
        <f>IF(J57=1,VLOOKUP(N57,'Annuity Factors '!$K$10:$S$92,9, FALSE),VLOOKUP(N57,'Annuity Factors '!$A$10:$I$92,9,FALSE))</f>
        <v>9.4616799999999994</v>
      </c>
      <c r="S57" s="179">
        <f>IF(J57=1,VLOOKUP(O57,'Annuity Factors '!$K$10:$S$92,9, FALSE),VLOOKUP(O57,'Annuity Factors '!$A$10:$I$92,9,FALSE))</f>
        <v>10.09032</v>
      </c>
    </row>
    <row r="58" spans="1:19" x14ac:dyDescent="0.25">
      <c r="A58" s="1"/>
      <c r="B58" s="1">
        <v>634</v>
      </c>
      <c r="C58" s="19">
        <f t="shared" si="0"/>
        <v>23602.069430427313</v>
      </c>
      <c r="D58" s="172">
        <f>SUM('Yearly Pension'!$G58:$AV58) *E58</f>
        <v>337191.04965187254</v>
      </c>
      <c r="E58" s="171">
        <f t="shared" si="1"/>
        <v>10.613748391512665</v>
      </c>
      <c r="F58" s="19">
        <f>VLOOKUP(I58,'Yearly Pension'!$C$3:$BC$81,53,FALSE)</f>
        <v>2223.7261106830856</v>
      </c>
      <c r="G58" s="46"/>
      <c r="H58" s="11">
        <v>600</v>
      </c>
      <c r="I58" s="11">
        <v>634</v>
      </c>
      <c r="J58" s="11">
        <v>1</v>
      </c>
      <c r="K58" s="11">
        <v>19631014</v>
      </c>
      <c r="L58" s="177">
        <f t="shared" si="2"/>
        <v>23298</v>
      </c>
      <c r="M58" s="178">
        <f t="shared" si="3"/>
        <v>61.218343600273784</v>
      </c>
      <c r="N58" s="178">
        <f t="shared" si="4"/>
        <v>61</v>
      </c>
      <c r="O58" s="178">
        <f t="shared" si="5"/>
        <v>62</v>
      </c>
      <c r="P58" s="178">
        <f t="shared" si="6"/>
        <v>0.21834360027378352</v>
      </c>
      <c r="Q58" s="178">
        <f t="shared" si="7"/>
        <v>0.78165639972621648</v>
      </c>
      <c r="R58" s="179">
        <f>IF(J58=1,VLOOKUP(N58,'Annuity Factors '!$K$10:$S$92,9, FALSE),VLOOKUP(N58,'Annuity Factors '!$A$10:$I$92,9,FALSE))</f>
        <v>10.09032</v>
      </c>
      <c r="S58" s="179">
        <f>IF(J58=1,VLOOKUP(O58,'Annuity Factors '!$K$10:$S$92,9, FALSE),VLOOKUP(O58,'Annuity Factors '!$A$10:$I$92,9,FALSE))</f>
        <v>10.75996</v>
      </c>
    </row>
    <row r="59" spans="1:19" x14ac:dyDescent="0.25">
      <c r="A59" s="1"/>
      <c r="B59" s="1">
        <v>625</v>
      </c>
      <c r="C59" s="19">
        <f t="shared" si="0"/>
        <v>19501.355184695924</v>
      </c>
      <c r="D59" s="172">
        <f>SUM('Yearly Pension'!$G59:$AV59) *E59</f>
        <v>280780.21046122682</v>
      </c>
      <c r="E59" s="171">
        <f t="shared" si="1"/>
        <v>8.6805367419575639</v>
      </c>
      <c r="F59" s="19">
        <f>VLOOKUP(I59,'Yearly Pension'!$C$3:$BC$81,53,FALSE)</f>
        <v>2246.5609863081045</v>
      </c>
      <c r="G59" s="46"/>
      <c r="H59" s="11">
        <v>600</v>
      </c>
      <c r="I59" s="11">
        <v>625</v>
      </c>
      <c r="J59" s="11">
        <v>1</v>
      </c>
      <c r="K59" s="11">
        <v>19660507</v>
      </c>
      <c r="L59" s="177">
        <f t="shared" si="2"/>
        <v>24234</v>
      </c>
      <c r="M59" s="178">
        <f t="shared" si="3"/>
        <v>58.65571526351814</v>
      </c>
      <c r="N59" s="178">
        <f t="shared" si="4"/>
        <v>58</v>
      </c>
      <c r="O59" s="178">
        <f t="shared" si="5"/>
        <v>59</v>
      </c>
      <c r="P59" s="178">
        <f t="shared" si="6"/>
        <v>0.65571526351813958</v>
      </c>
      <c r="Q59" s="178">
        <f t="shared" si="7"/>
        <v>0.34428473648186042</v>
      </c>
      <c r="R59" s="179">
        <f>IF(J59=1,VLOOKUP(N59,'Annuity Factors '!$K$10:$S$92,9, FALSE),VLOOKUP(N59,'Annuity Factors '!$A$10:$I$92,9,FALSE))</f>
        <v>8.3170999999999999</v>
      </c>
      <c r="S59" s="179">
        <f>IF(J59=1,VLOOKUP(O59,'Annuity Factors '!$K$10:$S$92,9, FALSE),VLOOKUP(O59,'Annuity Factors '!$A$10:$I$92,9,FALSE))</f>
        <v>8.871360000000001</v>
      </c>
    </row>
    <row r="60" spans="1:19" x14ac:dyDescent="0.25">
      <c r="A60" s="1"/>
      <c r="B60" s="1">
        <v>624</v>
      </c>
      <c r="C60" s="19">
        <f t="shared" si="0"/>
        <v>0</v>
      </c>
      <c r="D60" s="172">
        <f>SUM('Yearly Pension'!$G60:$AV60) *E60</f>
        <v>375017.99901433621</v>
      </c>
      <c r="E60" s="171">
        <f t="shared" si="1"/>
        <v>11.456956078028748</v>
      </c>
      <c r="F60" s="19">
        <f>VLOOKUP(I60,'Yearly Pension'!$C$3:$BC$81,53,FALSE)</f>
        <v>0</v>
      </c>
      <c r="G60" s="46"/>
      <c r="H60" s="11">
        <v>600</v>
      </c>
      <c r="I60" s="11">
        <v>624</v>
      </c>
      <c r="J60" s="11">
        <v>1</v>
      </c>
      <c r="K60" s="11">
        <v>19570413</v>
      </c>
      <c r="L60" s="177">
        <f t="shared" si="2"/>
        <v>20923</v>
      </c>
      <c r="M60" s="178">
        <f t="shared" si="3"/>
        <v>67.720739219712527</v>
      </c>
      <c r="N60" s="178">
        <f t="shared" si="4"/>
        <v>67</v>
      </c>
      <c r="O60" s="178">
        <f t="shared" si="5"/>
        <v>68</v>
      </c>
      <c r="P60" s="178">
        <f t="shared" si="6"/>
        <v>0.7207392197125273</v>
      </c>
      <c r="Q60" s="178">
        <f t="shared" si="7"/>
        <v>0.2792607802874727</v>
      </c>
      <c r="R60" s="179">
        <f>IF(J60=1,VLOOKUP(N60,'Annuity Factors '!$K$10:$S$92,9, FALSE),VLOOKUP(N60,'Annuity Factors '!$A$10:$I$92,9,FALSE))</f>
        <v>11.61327</v>
      </c>
      <c r="S60" s="179">
        <f>IF(J60=1,VLOOKUP(O60,'Annuity Factors '!$K$10:$S$92,9, FALSE),VLOOKUP(O60,'Annuity Factors '!$A$10:$I$92,9,FALSE))</f>
        <v>11.39639</v>
      </c>
    </row>
    <row r="61" spans="1:19" x14ac:dyDescent="0.25">
      <c r="A61" s="1"/>
      <c r="B61" s="1">
        <v>620</v>
      </c>
      <c r="C61" s="19">
        <f t="shared" si="0"/>
        <v>14936.89065931709</v>
      </c>
      <c r="D61" s="172">
        <f>SUM('Yearly Pension'!$G61:$AV61) *E61</f>
        <v>216134.17391909566</v>
      </c>
      <c r="E61" s="171">
        <f t="shared" si="1"/>
        <v>6.5163135728952772</v>
      </c>
      <c r="F61" s="19">
        <f>VLOOKUP(I61,'Yearly Pension'!$C$3:$BC$81,53,FALSE)</f>
        <v>2292.230183864594</v>
      </c>
      <c r="G61" s="46"/>
      <c r="H61" s="11">
        <v>600</v>
      </c>
      <c r="I61" s="11">
        <v>620</v>
      </c>
      <c r="J61" s="11">
        <v>2</v>
      </c>
      <c r="K61" s="11">
        <v>19710330</v>
      </c>
      <c r="L61" s="177">
        <f t="shared" si="2"/>
        <v>26022</v>
      </c>
      <c r="M61" s="178">
        <f t="shared" si="3"/>
        <v>53.760438056125942</v>
      </c>
      <c r="N61" s="178">
        <f t="shared" si="4"/>
        <v>53</v>
      </c>
      <c r="O61" s="178">
        <f t="shared" si="5"/>
        <v>54</v>
      </c>
      <c r="P61" s="178">
        <f t="shared" si="6"/>
        <v>0.76043805612594184</v>
      </c>
      <c r="Q61" s="178">
        <f t="shared" si="7"/>
        <v>0.23956194387405816</v>
      </c>
      <c r="R61" s="179">
        <f>IF(J61=1,VLOOKUP(N61,'Annuity Factors '!$K$10:$S$92,9, FALSE),VLOOKUP(N61,'Annuity Factors '!$A$10:$I$92,9,FALSE))</f>
        <v>6.2004200000000003</v>
      </c>
      <c r="S61" s="179">
        <f>IF(J61=1,VLOOKUP(O61,'Annuity Factors '!$K$10:$S$92,9, FALSE),VLOOKUP(O61,'Annuity Factors '!$A$10:$I$92,9,FALSE))</f>
        <v>6.6158299999999999</v>
      </c>
    </row>
    <row r="62" spans="1:19" x14ac:dyDescent="0.25">
      <c r="A62" s="1"/>
      <c r="B62" s="1">
        <v>588</v>
      </c>
      <c r="C62" s="19">
        <f t="shared" si="0"/>
        <v>0</v>
      </c>
      <c r="D62" s="172">
        <f>SUM('Yearly Pension'!$G62:$AV62) *E62</f>
        <v>416102.78044405265</v>
      </c>
      <c r="E62" s="171">
        <f t="shared" si="1"/>
        <v>12.037218788501027</v>
      </c>
      <c r="F62" s="19">
        <f>VLOOKUP(I62,'Yearly Pension'!$C$3:$BC$81,53,FALSE)</f>
        <v>0</v>
      </c>
      <c r="G62" s="46"/>
      <c r="H62" s="11">
        <v>600</v>
      </c>
      <c r="I62" s="11">
        <v>588</v>
      </c>
      <c r="J62" s="11">
        <v>2</v>
      </c>
      <c r="K62" s="11">
        <v>19591229</v>
      </c>
      <c r="L62" s="177">
        <f t="shared" si="2"/>
        <v>21913</v>
      </c>
      <c r="M62" s="178">
        <f t="shared" si="3"/>
        <v>65.010266940451743</v>
      </c>
      <c r="N62" s="178">
        <f t="shared" si="4"/>
        <v>65</v>
      </c>
      <c r="O62" s="178">
        <f t="shared" si="5"/>
        <v>66</v>
      </c>
      <c r="P62" s="178">
        <f t="shared" si="6"/>
        <v>1.0266940451742812E-2</v>
      </c>
      <c r="Q62" s="178">
        <f t="shared" si="7"/>
        <v>0.98973305954825719</v>
      </c>
      <c r="R62" s="179">
        <f>IF(J62=1,VLOOKUP(N62,'Annuity Factors '!$K$10:$S$92,9, FALSE),VLOOKUP(N62,'Annuity Factors '!$A$10:$I$92,9,FALSE))</f>
        <v>12.24147</v>
      </c>
      <c r="S62" s="179">
        <f>IF(J62=1,VLOOKUP(O62,'Annuity Factors '!$K$10:$S$92,9, FALSE),VLOOKUP(O62,'Annuity Factors '!$A$10:$I$92,9,FALSE))</f>
        <v>12.035100000000002</v>
      </c>
    </row>
    <row r="63" spans="1:19" x14ac:dyDescent="0.25">
      <c r="A63" s="1"/>
      <c r="B63" s="1">
        <v>584</v>
      </c>
      <c r="C63" s="19">
        <f t="shared" si="0"/>
        <v>0</v>
      </c>
      <c r="D63" s="172">
        <f>SUM('Yearly Pension'!$G63:$AV63) *E63</f>
        <v>423261.35399743047</v>
      </c>
      <c r="E63" s="171">
        <f t="shared" si="1"/>
        <v>12.106150041067764</v>
      </c>
      <c r="F63" s="19">
        <f>VLOOKUP(I63,'Yearly Pension'!$C$3:$BC$81,53,FALSE)</f>
        <v>0</v>
      </c>
      <c r="G63" s="46"/>
      <c r="H63" s="11">
        <v>600</v>
      </c>
      <c r="I63" s="11">
        <v>584</v>
      </c>
      <c r="J63" s="11">
        <v>2</v>
      </c>
      <c r="K63" s="11">
        <v>19590829</v>
      </c>
      <c r="L63" s="177">
        <f t="shared" si="2"/>
        <v>21791</v>
      </c>
      <c r="M63" s="178">
        <f t="shared" si="3"/>
        <v>65.344284736481868</v>
      </c>
      <c r="N63" s="178">
        <f t="shared" si="4"/>
        <v>65</v>
      </c>
      <c r="O63" s="178">
        <f t="shared" si="5"/>
        <v>66</v>
      </c>
      <c r="P63" s="178">
        <f t="shared" si="6"/>
        <v>0.34428473648186753</v>
      </c>
      <c r="Q63" s="178">
        <f t="shared" si="7"/>
        <v>0.65571526351813247</v>
      </c>
      <c r="R63" s="179">
        <f>IF(J63=1,VLOOKUP(N63,'Annuity Factors '!$K$10:$S$92,9, FALSE),VLOOKUP(N63,'Annuity Factors '!$A$10:$I$92,9,FALSE))</f>
        <v>12.24147</v>
      </c>
      <c r="S63" s="179">
        <f>IF(J63=1,VLOOKUP(O63,'Annuity Factors '!$K$10:$S$92,9, FALSE),VLOOKUP(O63,'Annuity Factors '!$A$10:$I$92,9,FALSE))</f>
        <v>12.035100000000002</v>
      </c>
    </row>
    <row r="64" spans="1:19" x14ac:dyDescent="0.25">
      <c r="A64" s="1"/>
      <c r="B64" s="1">
        <v>580</v>
      </c>
      <c r="C64" s="19">
        <f t="shared" si="0"/>
        <v>28601.619214961509</v>
      </c>
      <c r="D64" s="172">
        <f>SUM('Yearly Pension'!$G64:$AV64) *E64</f>
        <v>424850.53995093651</v>
      </c>
      <c r="E64" s="171">
        <f t="shared" si="1"/>
        <v>11.999493593429156</v>
      </c>
      <c r="F64" s="19">
        <f>VLOOKUP(I64,'Yearly Pension'!$C$3:$BC$81,53,FALSE)</f>
        <v>2383.5688558243464</v>
      </c>
      <c r="G64" s="46"/>
      <c r="H64" s="11">
        <v>600</v>
      </c>
      <c r="I64" s="11">
        <v>580</v>
      </c>
      <c r="J64" s="11">
        <v>1</v>
      </c>
      <c r="K64" s="11">
        <v>19610423</v>
      </c>
      <c r="L64" s="177">
        <f t="shared" si="2"/>
        <v>22394</v>
      </c>
      <c r="M64" s="178">
        <f t="shared" si="3"/>
        <v>63.693360711841201</v>
      </c>
      <c r="N64" s="178">
        <f t="shared" si="4"/>
        <v>63</v>
      </c>
      <c r="O64" s="178">
        <f t="shared" si="5"/>
        <v>64</v>
      </c>
      <c r="P64" s="178">
        <f t="shared" si="6"/>
        <v>0.69336071184120129</v>
      </c>
      <c r="Q64" s="178">
        <f t="shared" si="7"/>
        <v>0.30663928815879871</v>
      </c>
      <c r="R64" s="179">
        <f>IF(J64=1,VLOOKUP(N64,'Annuity Factors '!$K$10:$S$92,9, FALSE),VLOOKUP(N64,'Annuity Factors '!$A$10:$I$92,9,FALSE))</f>
        <v>11.472900000000001</v>
      </c>
      <c r="S64" s="179">
        <f>IF(J64=1,VLOOKUP(O64,'Annuity Factors '!$K$10:$S$92,9, FALSE),VLOOKUP(O64,'Annuity Factors '!$A$10:$I$92,9,FALSE))</f>
        <v>12.232379999999999</v>
      </c>
    </row>
    <row r="65" spans="1:19" x14ac:dyDescent="0.25">
      <c r="A65" s="1"/>
      <c r="B65" s="1">
        <v>579</v>
      </c>
      <c r="C65" s="19">
        <f t="shared" si="0"/>
        <v>21738.388410150124</v>
      </c>
      <c r="D65" s="172">
        <f>SUM('Yearly Pension'!$G65:$AV65) *E65</f>
        <v>322990.05568198592</v>
      </c>
      <c r="E65" s="171">
        <f t="shared" si="1"/>
        <v>9.0335593429158116</v>
      </c>
      <c r="F65" s="19">
        <f>VLOOKUP(I65,'Yearly Pension'!$C$3:$BC$81,53,FALSE)</f>
        <v>2406.4034546025914</v>
      </c>
      <c r="G65" s="46"/>
      <c r="H65" s="11">
        <v>600</v>
      </c>
      <c r="I65" s="11">
        <v>579</v>
      </c>
      <c r="J65" s="11">
        <v>2</v>
      </c>
      <c r="K65" s="11">
        <v>19661201</v>
      </c>
      <c r="L65" s="177">
        <f t="shared" si="2"/>
        <v>24442</v>
      </c>
      <c r="M65" s="178">
        <f t="shared" si="3"/>
        <v>58.086242299794662</v>
      </c>
      <c r="N65" s="178">
        <f t="shared" si="4"/>
        <v>58</v>
      </c>
      <c r="O65" s="178">
        <f t="shared" si="5"/>
        <v>59</v>
      </c>
      <c r="P65" s="178">
        <f t="shared" si="6"/>
        <v>8.6242299794662358E-2</v>
      </c>
      <c r="Q65" s="178">
        <f t="shared" si="7"/>
        <v>0.91375770020533764</v>
      </c>
      <c r="R65" s="179">
        <f>IF(J65=1,VLOOKUP(N65,'Annuity Factors '!$K$10:$S$92,9, FALSE),VLOOKUP(N65,'Annuity Factors '!$A$10:$I$92,9,FALSE))</f>
        <v>8.5271000000000008</v>
      </c>
      <c r="S65" s="179">
        <f>IF(J65=1,VLOOKUP(O65,'Annuity Factors '!$K$10:$S$92,9, FALSE),VLOOKUP(O65,'Annuity Factors '!$A$10:$I$92,9,FALSE))</f>
        <v>9.0813600000000001</v>
      </c>
    </row>
    <row r="66" spans="1:19" x14ac:dyDescent="0.25">
      <c r="A66" s="1"/>
      <c r="B66" s="1">
        <v>576</v>
      </c>
      <c r="C66" s="19">
        <f t="shared" si="0"/>
        <v>25547.278141507886</v>
      </c>
      <c r="D66" s="172">
        <f>SUM('Yearly Pension'!$G66:$AV66) *E66</f>
        <v>379682.4139186237</v>
      </c>
      <c r="E66" s="171">
        <f t="shared" si="1"/>
        <v>10.516579548254619</v>
      </c>
      <c r="F66" s="19">
        <f>VLOOKUP(I66,'Yearly Pension'!$C$3:$BC$81,53,FALSE)</f>
        <v>2429.2383302276103</v>
      </c>
      <c r="G66" s="46"/>
      <c r="H66" s="11">
        <v>600</v>
      </c>
      <c r="I66" s="11">
        <v>576</v>
      </c>
      <c r="J66" s="11">
        <v>1</v>
      </c>
      <c r="K66" s="11">
        <v>19630822</v>
      </c>
      <c r="L66" s="177">
        <f t="shared" si="2"/>
        <v>23245</v>
      </c>
      <c r="M66" s="178">
        <f t="shared" si="3"/>
        <v>61.363449691991789</v>
      </c>
      <c r="N66" s="178">
        <f t="shared" si="4"/>
        <v>61</v>
      </c>
      <c r="O66" s="178">
        <f t="shared" si="5"/>
        <v>62</v>
      </c>
      <c r="P66" s="178">
        <f t="shared" si="6"/>
        <v>0.36344969199178934</v>
      </c>
      <c r="Q66" s="178">
        <f t="shared" si="7"/>
        <v>0.63655030800821066</v>
      </c>
      <c r="R66" s="179">
        <f>IF(J66=1,VLOOKUP(N66,'Annuity Factors '!$K$10:$S$92,9, FALSE),VLOOKUP(N66,'Annuity Factors '!$A$10:$I$92,9,FALSE))</f>
        <v>10.09032</v>
      </c>
      <c r="S66" s="179">
        <f>IF(J66=1,VLOOKUP(O66,'Annuity Factors '!$K$10:$S$92,9, FALSE),VLOOKUP(O66,'Annuity Factors '!$A$10:$I$92,9,FALSE))</f>
        <v>10.75996</v>
      </c>
    </row>
    <row r="67" spans="1:19" x14ac:dyDescent="0.25">
      <c r="A67" s="1"/>
      <c r="B67" s="1">
        <v>564</v>
      </c>
      <c r="C67" s="19">
        <f t="shared" si="0"/>
        <v>24138.69505217157</v>
      </c>
      <c r="D67" s="172">
        <f>SUM('Yearly Pension'!$G67:$AV67) *E67</f>
        <v>360778.0743585201</v>
      </c>
      <c r="E67" s="171">
        <f t="shared" si="1"/>
        <v>9.844199479808351</v>
      </c>
      <c r="F67" s="19">
        <f>VLOOKUP(I67,'Yearly Pension'!$C$3:$BC$81,53,FALSE)</f>
        <v>2452.0729290058543</v>
      </c>
      <c r="G67" s="46"/>
      <c r="H67" s="11">
        <v>600</v>
      </c>
      <c r="I67" s="11">
        <v>564</v>
      </c>
      <c r="J67" s="11">
        <v>1</v>
      </c>
      <c r="K67" s="11">
        <v>19640811</v>
      </c>
      <c r="L67" s="177">
        <f t="shared" si="2"/>
        <v>23600</v>
      </c>
      <c r="M67" s="178">
        <f t="shared" si="3"/>
        <v>60.39151266255989</v>
      </c>
      <c r="N67" s="178">
        <f t="shared" si="4"/>
        <v>60</v>
      </c>
      <c r="O67" s="178">
        <f t="shared" si="5"/>
        <v>61</v>
      </c>
      <c r="P67" s="178">
        <f t="shared" si="6"/>
        <v>0.39151266255989015</v>
      </c>
      <c r="Q67" s="178">
        <f t="shared" si="7"/>
        <v>0.60848733744010985</v>
      </c>
      <c r="R67" s="179">
        <f>IF(J67=1,VLOOKUP(N67,'Annuity Factors '!$K$10:$S$92,9, FALSE),VLOOKUP(N67,'Annuity Factors '!$A$10:$I$92,9,FALSE))</f>
        <v>9.4616799999999994</v>
      </c>
      <c r="S67" s="179">
        <f>IF(J67=1,VLOOKUP(O67,'Annuity Factors '!$K$10:$S$92,9, FALSE),VLOOKUP(O67,'Annuity Factors '!$A$10:$I$92,9,FALSE))</f>
        <v>10.09032</v>
      </c>
    </row>
    <row r="68" spans="1:19" x14ac:dyDescent="0.25">
      <c r="A68" s="1"/>
      <c r="B68" s="1">
        <v>561</v>
      </c>
      <c r="C68" s="19">
        <f t="shared" ref="C68:C81" si="8">E68*F68</f>
        <v>9972.4450752897446</v>
      </c>
      <c r="D68" s="172">
        <f>SUM('Yearly Pension'!$G68:$AV68) *E68</f>
        <v>449010.92602989986</v>
      </c>
      <c r="E68" s="171">
        <f t="shared" ref="E68:E81" si="9">IF(P68&gt;=Q68, P68*S68+ Q68*R68, P68*R68+Q68*S68)</f>
        <v>12.088263860369612</v>
      </c>
      <c r="F68" s="19">
        <f>VLOOKUP(I68,'Yearly Pension'!$C$3:$BC$81,53,FALSE)</f>
        <v>824.96917592803334</v>
      </c>
      <c r="G68" s="46"/>
      <c r="H68" s="11">
        <v>600</v>
      </c>
      <c r="I68" s="11">
        <v>561</v>
      </c>
      <c r="J68" s="11">
        <v>1</v>
      </c>
      <c r="K68" s="11">
        <v>19600414</v>
      </c>
      <c r="L68" s="177">
        <f t="shared" ref="L68:L81" si="10">DATE(LEFT(K68,4), MID(K68, 5, 2), RIGHT(K68, 2))</f>
        <v>22020</v>
      </c>
      <c r="M68" s="178">
        <f t="shared" ref="M68:M81" si="11">($A$2-L68)/365.25</f>
        <v>64.717316906228604</v>
      </c>
      <c r="N68" s="178">
        <f t="shared" ref="N68:N81" si="12">ROUNDDOWN(M68, 0)</f>
        <v>64</v>
      </c>
      <c r="O68" s="178">
        <f t="shared" ref="O68:O81" si="13">ROUNDUP(M68,0)</f>
        <v>65</v>
      </c>
      <c r="P68" s="178">
        <f t="shared" ref="P68:P81" si="14">M68-N68</f>
        <v>0.71731690622860356</v>
      </c>
      <c r="Q68" s="178">
        <f t="shared" ref="Q68:Q81" si="15">1-P68</f>
        <v>0.28268309377139644</v>
      </c>
      <c r="R68" s="179">
        <f>IF(J68=1,VLOOKUP(N68,'Annuity Factors '!$K$10:$S$92,9, FALSE),VLOOKUP(N68,'Annuity Factors '!$A$10:$I$92,9,FALSE))</f>
        <v>12.232379999999999</v>
      </c>
      <c r="S68" s="179">
        <f>IF(J68=1,VLOOKUP(O68,'Annuity Factors '!$K$10:$S$92,9, FALSE),VLOOKUP(O68,'Annuity Factors '!$A$10:$I$92,9,FALSE))</f>
        <v>12.031470000000001</v>
      </c>
    </row>
    <row r="69" spans="1:19" x14ac:dyDescent="0.25">
      <c r="A69" s="1"/>
      <c r="B69" s="1">
        <v>553</v>
      </c>
      <c r="C69" s="19">
        <f t="shared" si="8"/>
        <v>20170.801603644341</v>
      </c>
      <c r="D69" s="172">
        <f>SUM('Yearly Pension'!$G69:$AV69) *E69</f>
        <v>303971.63684001332</v>
      </c>
      <c r="E69" s="171">
        <f t="shared" si="9"/>
        <v>8.075614127310061</v>
      </c>
      <c r="F69" s="19">
        <f>VLOOKUP(I69,'Yearly Pension'!$C$3:$BC$81,53,FALSE)</f>
        <v>2497.7421265623443</v>
      </c>
      <c r="G69" s="46"/>
      <c r="H69" s="11">
        <v>600</v>
      </c>
      <c r="I69" s="11">
        <v>553</v>
      </c>
      <c r="J69" s="11">
        <v>1</v>
      </c>
      <c r="K69" s="11">
        <v>19670620</v>
      </c>
      <c r="L69" s="177">
        <f t="shared" si="10"/>
        <v>24643</v>
      </c>
      <c r="M69" s="178">
        <f t="shared" si="11"/>
        <v>57.535934291581107</v>
      </c>
      <c r="N69" s="178">
        <f t="shared" si="12"/>
        <v>57</v>
      </c>
      <c r="O69" s="178">
        <f t="shared" si="13"/>
        <v>58</v>
      </c>
      <c r="P69" s="178">
        <f t="shared" si="14"/>
        <v>0.53593429158110695</v>
      </c>
      <c r="Q69" s="178">
        <f t="shared" si="15"/>
        <v>0.46406570841889305</v>
      </c>
      <c r="R69" s="179">
        <f>IF(J69=1,VLOOKUP(N69,'Annuity Factors '!$K$10:$S$92,9, FALSE),VLOOKUP(N69,'Annuity Factors '!$A$10:$I$92,9,FALSE))</f>
        <v>7.7967300000000002</v>
      </c>
      <c r="S69" s="179">
        <f>IF(J69=1,VLOOKUP(O69,'Annuity Factors '!$K$10:$S$92,9, FALSE),VLOOKUP(O69,'Annuity Factors '!$A$10:$I$92,9,FALSE))</f>
        <v>8.3170999999999999</v>
      </c>
    </row>
    <row r="70" spans="1:19" x14ac:dyDescent="0.25">
      <c r="A70" s="1"/>
      <c r="B70" s="1">
        <v>547</v>
      </c>
      <c r="C70" s="19">
        <f t="shared" si="8"/>
        <v>20391.117792796133</v>
      </c>
      <c r="D70" s="172">
        <f>SUM('Yearly Pension'!$G70:$AV70) *E70</f>
        <v>310116.24305980827</v>
      </c>
      <c r="E70" s="171">
        <f t="shared" si="9"/>
        <v>8.0898610814510619</v>
      </c>
      <c r="F70" s="19">
        <f>VLOOKUP(I70,'Yearly Pension'!$C$3:$BC$81,53,FALSE)</f>
        <v>2520.5770021873627</v>
      </c>
      <c r="G70" s="46"/>
      <c r="H70" s="11">
        <v>600</v>
      </c>
      <c r="I70" s="11">
        <v>547</v>
      </c>
      <c r="J70" s="11">
        <v>1</v>
      </c>
      <c r="K70" s="11">
        <v>19670610</v>
      </c>
      <c r="L70" s="177">
        <f t="shared" si="10"/>
        <v>24633</v>
      </c>
      <c r="M70" s="178">
        <f t="shared" si="11"/>
        <v>57.563312799452433</v>
      </c>
      <c r="N70" s="178">
        <f t="shared" si="12"/>
        <v>57</v>
      </c>
      <c r="O70" s="178">
        <f t="shared" si="13"/>
        <v>58</v>
      </c>
      <c r="P70" s="178">
        <f t="shared" si="14"/>
        <v>0.56331279945243296</v>
      </c>
      <c r="Q70" s="178">
        <f t="shared" si="15"/>
        <v>0.43668720054756704</v>
      </c>
      <c r="R70" s="179">
        <f>IF(J70=1,VLOOKUP(N70,'Annuity Factors '!$K$10:$S$92,9, FALSE),VLOOKUP(N70,'Annuity Factors '!$A$10:$I$92,9,FALSE))</f>
        <v>7.7967300000000002</v>
      </c>
      <c r="S70" s="179">
        <f>IF(J70=1,VLOOKUP(O70,'Annuity Factors '!$K$10:$S$92,9, FALSE),VLOOKUP(O70,'Annuity Factors '!$A$10:$I$92,9,FALSE))</f>
        <v>8.3170999999999999</v>
      </c>
    </row>
    <row r="71" spans="1:19" x14ac:dyDescent="0.25">
      <c r="A71" s="1"/>
      <c r="B71" s="1">
        <v>524</v>
      </c>
      <c r="C71" s="19">
        <f t="shared" si="8"/>
        <v>0</v>
      </c>
      <c r="D71" s="172">
        <f>SUM('Yearly Pension'!$G71:$AV71) *E71</f>
        <v>440190.30573653174</v>
      </c>
      <c r="E71" s="171">
        <f t="shared" si="9"/>
        <v>11.255014339493499</v>
      </c>
      <c r="F71" s="19">
        <f>VLOOKUP(I71,'Yearly Pension'!$C$3:$BC$81,53,FALSE)</f>
        <v>0</v>
      </c>
      <c r="G71" s="46"/>
      <c r="H71" s="11">
        <v>600</v>
      </c>
      <c r="I71" s="11">
        <v>524</v>
      </c>
      <c r="J71" s="11">
        <v>1</v>
      </c>
      <c r="K71" s="11">
        <v>19560513</v>
      </c>
      <c r="L71" s="177">
        <f t="shared" si="10"/>
        <v>20588</v>
      </c>
      <c r="M71" s="178">
        <f t="shared" si="11"/>
        <v>68.637919233401774</v>
      </c>
      <c r="N71" s="178">
        <f t="shared" si="12"/>
        <v>68</v>
      </c>
      <c r="O71" s="178">
        <f t="shared" si="13"/>
        <v>69</v>
      </c>
      <c r="P71" s="178">
        <f t="shared" si="14"/>
        <v>0.63791923340177448</v>
      </c>
      <c r="Q71" s="178">
        <f t="shared" si="15"/>
        <v>0.36208076659822552</v>
      </c>
      <c r="R71" s="179">
        <f>IF(J71=1,VLOOKUP(N71,'Annuity Factors '!$K$10:$S$92,9, FALSE),VLOOKUP(N71,'Annuity Factors '!$A$10:$I$92,9,FALSE))</f>
        <v>11.39639</v>
      </c>
      <c r="S71" s="179">
        <f>IF(J71=1,VLOOKUP(O71,'Annuity Factors '!$K$10:$S$92,9, FALSE),VLOOKUP(O71,'Annuity Factors '!$A$10:$I$92,9,FALSE))</f>
        <v>11.174769999999999</v>
      </c>
    </row>
    <row r="72" spans="1:19" x14ac:dyDescent="0.25">
      <c r="A72" s="1"/>
      <c r="B72" s="1">
        <v>514</v>
      </c>
      <c r="C72" s="19">
        <f t="shared" si="8"/>
        <v>29389.690308575038</v>
      </c>
      <c r="D72" s="172">
        <f>SUM('Yearly Pension'!$G72:$AV72) *E72</f>
        <v>457353.73992478277</v>
      </c>
      <c r="E72" s="171">
        <f t="shared" si="9"/>
        <v>11.452404804928131</v>
      </c>
      <c r="F72" s="19">
        <f>VLOOKUP(I72,'Yearly Pension'!$C$3:$BC$81,53,FALSE)</f>
        <v>2566.2461997438513</v>
      </c>
      <c r="G72" s="46"/>
      <c r="H72" s="11">
        <v>600</v>
      </c>
      <c r="I72" s="11">
        <v>514</v>
      </c>
      <c r="J72" s="11">
        <v>1</v>
      </c>
      <c r="K72" s="11">
        <v>19621222</v>
      </c>
      <c r="L72" s="177">
        <f t="shared" si="10"/>
        <v>23002</v>
      </c>
      <c r="M72" s="178">
        <f t="shared" si="11"/>
        <v>62.02874743326489</v>
      </c>
      <c r="N72" s="178">
        <f t="shared" si="12"/>
        <v>62</v>
      </c>
      <c r="O72" s="178">
        <f t="shared" si="13"/>
        <v>63</v>
      </c>
      <c r="P72" s="178">
        <f t="shared" si="14"/>
        <v>2.8747433264889821E-2</v>
      </c>
      <c r="Q72" s="178">
        <f t="shared" si="15"/>
        <v>0.97125256673511018</v>
      </c>
      <c r="R72" s="179">
        <f>IF(J72=1,VLOOKUP(N72,'Annuity Factors '!$K$10:$S$92,9, FALSE),VLOOKUP(N72,'Annuity Factors '!$A$10:$I$92,9,FALSE))</f>
        <v>10.75996</v>
      </c>
      <c r="S72" s="179">
        <f>IF(J72=1,VLOOKUP(O72,'Annuity Factors '!$K$10:$S$92,9, FALSE),VLOOKUP(O72,'Annuity Factors '!$A$10:$I$92,9,FALSE))</f>
        <v>11.472900000000001</v>
      </c>
    </row>
    <row r="73" spans="1:19" x14ac:dyDescent="0.25">
      <c r="A73" s="1"/>
      <c r="B73" s="1">
        <v>498</v>
      </c>
      <c r="C73" s="19">
        <f t="shared" si="8"/>
        <v>29356.824095597542</v>
      </c>
      <c r="D73" s="172">
        <f>SUM('Yearly Pension'!$G73:$AV73) *E73</f>
        <v>460626.47066658386</v>
      </c>
      <c r="E73" s="171">
        <f t="shared" si="9"/>
        <v>11.338705270362768</v>
      </c>
      <c r="F73" s="19">
        <f>VLOOKUP(I73,'Yearly Pension'!$C$3:$BC$81,53,FALSE)</f>
        <v>2589.0807985220968</v>
      </c>
      <c r="G73" s="46"/>
      <c r="H73" s="11">
        <v>600</v>
      </c>
      <c r="I73" s="11">
        <v>498</v>
      </c>
      <c r="J73" s="11">
        <v>1</v>
      </c>
      <c r="K73" s="11">
        <v>19620311</v>
      </c>
      <c r="L73" s="177">
        <f t="shared" si="10"/>
        <v>22716</v>
      </c>
      <c r="M73" s="178">
        <f t="shared" si="11"/>
        <v>62.81177275838467</v>
      </c>
      <c r="N73" s="178">
        <f t="shared" si="12"/>
        <v>62</v>
      </c>
      <c r="O73" s="178">
        <f t="shared" si="13"/>
        <v>63</v>
      </c>
      <c r="P73" s="178">
        <f t="shared" si="14"/>
        <v>0.81177275838467011</v>
      </c>
      <c r="Q73" s="178">
        <f t="shared" si="15"/>
        <v>0.18822724161532989</v>
      </c>
      <c r="R73" s="179">
        <f>IF(J73=1,VLOOKUP(N73,'Annuity Factors '!$K$10:$S$92,9, FALSE),VLOOKUP(N73,'Annuity Factors '!$A$10:$I$92,9,FALSE))</f>
        <v>10.75996</v>
      </c>
      <c r="S73" s="179">
        <f>IF(J73=1,VLOOKUP(O73,'Annuity Factors '!$K$10:$S$92,9, FALSE),VLOOKUP(O73,'Annuity Factors '!$A$10:$I$92,9,FALSE))</f>
        <v>11.472900000000001</v>
      </c>
    </row>
    <row r="74" spans="1:19" x14ac:dyDescent="0.25">
      <c r="A74" s="1"/>
      <c r="B74" s="1">
        <v>482</v>
      </c>
      <c r="C74" s="19">
        <f t="shared" si="8"/>
        <v>5337.628044819704</v>
      </c>
      <c r="D74" s="172">
        <f>SUM('Yearly Pension'!$G74:$AV74) *E74</f>
        <v>505451.25341559242</v>
      </c>
      <c r="E74" s="171">
        <f t="shared" si="9"/>
        <v>12.261409733059548</v>
      </c>
      <c r="F74" s="19">
        <f>VLOOKUP(I74,'Yearly Pension'!$C$3:$BC$81,53,FALSE)</f>
        <v>435.31927902451912</v>
      </c>
      <c r="G74" s="46"/>
      <c r="H74" s="11">
        <v>600</v>
      </c>
      <c r="I74" s="11">
        <v>482</v>
      </c>
      <c r="J74" s="11">
        <v>2</v>
      </c>
      <c r="K74" s="11">
        <v>19600207</v>
      </c>
      <c r="L74" s="177">
        <f t="shared" si="10"/>
        <v>21953</v>
      </c>
      <c r="M74" s="178">
        <f t="shared" si="11"/>
        <v>64.900752908966467</v>
      </c>
      <c r="N74" s="178">
        <f t="shared" si="12"/>
        <v>64</v>
      </c>
      <c r="O74" s="178">
        <f t="shared" si="13"/>
        <v>65</v>
      </c>
      <c r="P74" s="178">
        <f t="shared" si="14"/>
        <v>0.9007529089664672</v>
      </c>
      <c r="Q74" s="178">
        <f t="shared" si="15"/>
        <v>9.9247091033532797E-2</v>
      </c>
      <c r="R74" s="179">
        <f>IF(J74=1,VLOOKUP(N74,'Annuity Factors '!$K$10:$S$92,9, FALSE),VLOOKUP(N74,'Annuity Factors '!$A$10:$I$92,9,FALSE))</f>
        <v>12.44238</v>
      </c>
      <c r="S74" s="179">
        <f>IF(J74=1,VLOOKUP(O74,'Annuity Factors '!$K$10:$S$92,9, FALSE),VLOOKUP(O74,'Annuity Factors '!$A$10:$I$92,9,FALSE))</f>
        <v>12.24147</v>
      </c>
    </row>
    <row r="75" spans="1:19" x14ac:dyDescent="0.25">
      <c r="A75" s="1"/>
      <c r="B75" s="1">
        <v>481</v>
      </c>
      <c r="C75" s="19">
        <f t="shared" si="8"/>
        <v>0</v>
      </c>
      <c r="D75" s="172">
        <f>SUM('Yearly Pension'!$G75:$AV75) *E75</f>
        <v>477117.80959700234</v>
      </c>
      <c r="E75" s="171">
        <f t="shared" si="9"/>
        <v>11.470930273785079</v>
      </c>
      <c r="F75" s="19">
        <f>VLOOKUP(I75,'Yearly Pension'!$C$3:$BC$81,53,FALSE)</f>
        <v>0</v>
      </c>
      <c r="G75" s="46"/>
      <c r="H75" s="11">
        <v>600</v>
      </c>
      <c r="I75" s="11">
        <v>481</v>
      </c>
      <c r="J75" s="11">
        <v>2</v>
      </c>
      <c r="K75" s="11">
        <v>19560812</v>
      </c>
      <c r="L75" s="177">
        <f t="shared" si="10"/>
        <v>20679</v>
      </c>
      <c r="M75" s="178">
        <f t="shared" si="11"/>
        <v>68.388774811772763</v>
      </c>
      <c r="N75" s="178">
        <f t="shared" si="12"/>
        <v>68</v>
      </c>
      <c r="O75" s="178">
        <f t="shared" si="13"/>
        <v>69</v>
      </c>
      <c r="P75" s="178">
        <f t="shared" si="14"/>
        <v>0.38877481177276252</v>
      </c>
      <c r="Q75" s="178">
        <f t="shared" si="15"/>
        <v>0.61122518822723748</v>
      </c>
      <c r="R75" s="179">
        <f>IF(J75=1,VLOOKUP(N75,'Annuity Factors '!$K$10:$S$92,9, FALSE),VLOOKUP(N75,'Annuity Factors '!$A$10:$I$92,9,FALSE))</f>
        <v>11.606389999999999</v>
      </c>
      <c r="S75" s="179">
        <f>IF(J75=1,VLOOKUP(O75,'Annuity Factors '!$K$10:$S$92,9, FALSE),VLOOKUP(O75,'Annuity Factors '!$A$10:$I$92,9,FALSE))</f>
        <v>11.38477</v>
      </c>
    </row>
    <row r="76" spans="1:19" x14ac:dyDescent="0.25">
      <c r="A76" s="1"/>
      <c r="B76" s="1">
        <v>474</v>
      </c>
      <c r="C76" s="19">
        <f t="shared" si="8"/>
        <v>29796.390465149179</v>
      </c>
      <c r="D76" s="172">
        <f>SUM('Yearly Pension'!$G76:$AV76) *E76</f>
        <v>473124.36845096736</v>
      </c>
      <c r="E76" s="171">
        <f t="shared" si="9"/>
        <v>11.2118302532512</v>
      </c>
      <c r="F76" s="19">
        <f>VLOOKUP(I76,'Yearly Pension'!$C$3:$BC$81,53,FALSE)</f>
        <v>2657.5848717036042</v>
      </c>
      <c r="G76" s="46"/>
      <c r="H76" s="11">
        <v>600</v>
      </c>
      <c r="I76" s="11">
        <v>474</v>
      </c>
      <c r="J76" s="11">
        <v>1</v>
      </c>
      <c r="K76" s="11">
        <v>19620515</v>
      </c>
      <c r="L76" s="177">
        <f t="shared" si="10"/>
        <v>22781</v>
      </c>
      <c r="M76" s="178">
        <f t="shared" si="11"/>
        <v>62.633812457221083</v>
      </c>
      <c r="N76" s="178">
        <f t="shared" si="12"/>
        <v>62</v>
      </c>
      <c r="O76" s="178">
        <f t="shared" si="13"/>
        <v>63</v>
      </c>
      <c r="P76" s="178">
        <f t="shared" si="14"/>
        <v>0.63381245722108304</v>
      </c>
      <c r="Q76" s="178">
        <f t="shared" si="15"/>
        <v>0.36618754277891696</v>
      </c>
      <c r="R76" s="179">
        <f>IF(J76=1,VLOOKUP(N76,'Annuity Factors '!$K$10:$S$92,9, FALSE),VLOOKUP(N76,'Annuity Factors '!$A$10:$I$92,9,FALSE))</f>
        <v>10.75996</v>
      </c>
      <c r="S76" s="179">
        <f>IF(J76=1,VLOOKUP(O76,'Annuity Factors '!$K$10:$S$92,9, FALSE),VLOOKUP(O76,'Annuity Factors '!$A$10:$I$92,9,FALSE))</f>
        <v>11.472900000000001</v>
      </c>
    </row>
    <row r="77" spans="1:19" x14ac:dyDescent="0.25">
      <c r="A77" s="1"/>
      <c r="B77" s="1">
        <v>452</v>
      </c>
      <c r="C77" s="19">
        <f t="shared" si="8"/>
        <v>0</v>
      </c>
      <c r="D77" s="172">
        <f>SUM('Yearly Pension'!$G77:$AV77) *E77</f>
        <v>502202.97208838229</v>
      </c>
      <c r="E77" s="171">
        <f t="shared" si="9"/>
        <v>11.495552108145107</v>
      </c>
      <c r="F77" s="19">
        <f>VLOOKUP(I77,'Yearly Pension'!$C$3:$BC$81,53,FALSE)</f>
        <v>0</v>
      </c>
      <c r="G77" s="46"/>
      <c r="H77" s="11">
        <v>600</v>
      </c>
      <c r="I77" s="11">
        <v>452</v>
      </c>
      <c r="J77" s="11">
        <v>1</v>
      </c>
      <c r="K77" s="11">
        <v>19570617</v>
      </c>
      <c r="L77" s="177">
        <f t="shared" si="10"/>
        <v>20988</v>
      </c>
      <c r="M77" s="178">
        <f t="shared" si="11"/>
        <v>67.542778918548933</v>
      </c>
      <c r="N77" s="178">
        <f t="shared" si="12"/>
        <v>67</v>
      </c>
      <c r="O77" s="178">
        <f t="shared" si="13"/>
        <v>68</v>
      </c>
      <c r="P77" s="178">
        <f t="shared" si="14"/>
        <v>0.54277891854893312</v>
      </c>
      <c r="Q77" s="178">
        <f t="shared" si="15"/>
        <v>0.45722108145106688</v>
      </c>
      <c r="R77" s="179">
        <f>IF(J77=1,VLOOKUP(N77,'Annuity Factors '!$K$10:$S$92,9, FALSE),VLOOKUP(N77,'Annuity Factors '!$A$10:$I$92,9,FALSE))</f>
        <v>11.61327</v>
      </c>
      <c r="S77" s="179">
        <f>IF(J77=1,VLOOKUP(O77,'Annuity Factors '!$K$10:$S$92,9, FALSE),VLOOKUP(O77,'Annuity Factors '!$A$10:$I$92,9,FALSE))</f>
        <v>11.39639</v>
      </c>
    </row>
    <row r="78" spans="1:19" x14ac:dyDescent="0.25">
      <c r="A78" s="1"/>
      <c r="B78" s="1">
        <v>391</v>
      </c>
      <c r="C78" s="19">
        <f t="shared" si="8"/>
        <v>11262.443355740113</v>
      </c>
      <c r="D78" s="172">
        <f>SUM('Yearly Pension'!$G78:$AV78) *E78</f>
        <v>556394.25479818159</v>
      </c>
      <c r="E78" s="171">
        <f t="shared" si="9"/>
        <v>12.291113059548254</v>
      </c>
      <c r="F78" s="19">
        <f>VLOOKUP(I78,'Yearly Pension'!$C$3:$BC$81,53,FALSE)</f>
        <v>916.30784788778533</v>
      </c>
      <c r="G78" s="46"/>
      <c r="H78" s="11">
        <v>600</v>
      </c>
      <c r="I78" s="11">
        <v>391</v>
      </c>
      <c r="J78" s="11">
        <v>2</v>
      </c>
      <c r="K78" s="11">
        <v>19600401</v>
      </c>
      <c r="L78" s="177">
        <f t="shared" si="10"/>
        <v>22007</v>
      </c>
      <c r="M78" s="178">
        <f t="shared" si="11"/>
        <v>64.752908966461334</v>
      </c>
      <c r="N78" s="178">
        <f t="shared" si="12"/>
        <v>64</v>
      </c>
      <c r="O78" s="178">
        <f t="shared" si="13"/>
        <v>65</v>
      </c>
      <c r="P78" s="178">
        <f t="shared" si="14"/>
        <v>0.75290896646133376</v>
      </c>
      <c r="Q78" s="178">
        <f t="shared" si="15"/>
        <v>0.24709103353866624</v>
      </c>
      <c r="R78" s="179">
        <f>IF(J78=1,VLOOKUP(N78,'Annuity Factors '!$K$10:$S$92,9, FALSE),VLOOKUP(N78,'Annuity Factors '!$A$10:$I$92,9,FALSE))</f>
        <v>12.44238</v>
      </c>
      <c r="S78" s="179">
        <f>IF(J78=1,VLOOKUP(O78,'Annuity Factors '!$K$10:$S$92,9, FALSE),VLOOKUP(O78,'Annuity Factors '!$A$10:$I$92,9,FALSE))</f>
        <v>12.24147</v>
      </c>
    </row>
    <row r="79" spans="1:19" x14ac:dyDescent="0.25">
      <c r="A79" s="1"/>
      <c r="B79" s="1">
        <v>386</v>
      </c>
      <c r="C79" s="19">
        <f t="shared" si="8"/>
        <v>0</v>
      </c>
      <c r="D79" s="172">
        <f>SUM('Yearly Pension'!$G79:$AV79) *E79</f>
        <v>526248.799869576</v>
      </c>
      <c r="E79" s="171">
        <f t="shared" si="9"/>
        <v>11.492731629021218</v>
      </c>
      <c r="F79" s="19">
        <f>VLOOKUP(I79,'Yearly Pension'!$C$3:$BC$81,53,FALSE)</f>
        <v>0</v>
      </c>
      <c r="G79" s="46"/>
      <c r="H79" s="11">
        <v>600</v>
      </c>
      <c r="I79" s="11">
        <v>386</v>
      </c>
      <c r="J79" s="11">
        <v>1</v>
      </c>
      <c r="K79" s="11">
        <v>19570723</v>
      </c>
      <c r="L79" s="177">
        <f t="shared" si="10"/>
        <v>21024</v>
      </c>
      <c r="M79" s="178">
        <f t="shared" si="11"/>
        <v>67.444216290212182</v>
      </c>
      <c r="N79" s="178">
        <f t="shared" si="12"/>
        <v>67</v>
      </c>
      <c r="O79" s="178">
        <f t="shared" si="13"/>
        <v>68</v>
      </c>
      <c r="P79" s="178">
        <f t="shared" si="14"/>
        <v>0.44421629021218223</v>
      </c>
      <c r="Q79" s="178">
        <f t="shared" si="15"/>
        <v>0.55578370978781777</v>
      </c>
      <c r="R79" s="179">
        <f>IF(J79=1,VLOOKUP(N79,'Annuity Factors '!$K$10:$S$92,9, FALSE),VLOOKUP(N79,'Annuity Factors '!$A$10:$I$92,9,FALSE))</f>
        <v>11.61327</v>
      </c>
      <c r="S79" s="179">
        <f>IF(J79=1,VLOOKUP(O79,'Annuity Factors '!$K$10:$S$92,9, FALSE),VLOOKUP(O79,'Annuity Factors '!$A$10:$I$92,9,FALSE))</f>
        <v>11.39639</v>
      </c>
    </row>
    <row r="80" spans="1:19" x14ac:dyDescent="0.25">
      <c r="A80" s="1"/>
      <c r="B80" s="1">
        <v>360</v>
      </c>
      <c r="C80" s="19">
        <f t="shared" si="8"/>
        <v>0</v>
      </c>
      <c r="D80" s="172">
        <f>SUM('Yearly Pension'!$G80:$AV80) *E80</f>
        <v>528029.44011974358</v>
      </c>
      <c r="E80" s="171">
        <f t="shared" si="9"/>
        <v>11.274279048596853</v>
      </c>
      <c r="F80" s="19">
        <f>VLOOKUP(I80,'Yearly Pension'!$C$3:$BC$81,53,FALSE)</f>
        <v>0</v>
      </c>
      <c r="G80" s="46"/>
      <c r="H80" s="11">
        <v>600</v>
      </c>
      <c r="I80" s="11">
        <v>360</v>
      </c>
      <c r="J80" s="11">
        <v>1</v>
      </c>
      <c r="K80" s="11">
        <v>19560721</v>
      </c>
      <c r="L80" s="177">
        <f t="shared" si="10"/>
        <v>20657</v>
      </c>
      <c r="M80" s="178">
        <f t="shared" si="11"/>
        <v>68.44900752908967</v>
      </c>
      <c r="N80" s="178">
        <f t="shared" si="12"/>
        <v>68</v>
      </c>
      <c r="O80" s="178">
        <f t="shared" si="13"/>
        <v>69</v>
      </c>
      <c r="P80" s="178">
        <f t="shared" si="14"/>
        <v>0.44900752908966979</v>
      </c>
      <c r="Q80" s="178">
        <f t="shared" si="15"/>
        <v>0.55099247091033021</v>
      </c>
      <c r="R80" s="179">
        <f>IF(J80=1,VLOOKUP(N80,'Annuity Factors '!$K$10:$S$92,9, FALSE),VLOOKUP(N80,'Annuity Factors '!$A$10:$I$92,9,FALSE))</f>
        <v>11.39639</v>
      </c>
      <c r="S80" s="179">
        <f>IF(J80=1,VLOOKUP(O80,'Annuity Factors '!$K$10:$S$92,9, FALSE),VLOOKUP(O80,'Annuity Factors '!$A$10:$I$92,9,FALSE))</f>
        <v>11.174769999999999</v>
      </c>
    </row>
    <row r="81" spans="1:19" ht="13.8" thickBot="1" x14ac:dyDescent="0.3">
      <c r="A81" s="1"/>
      <c r="B81" s="1">
        <v>316</v>
      </c>
      <c r="C81" s="19">
        <f t="shared" si="8"/>
        <v>0</v>
      </c>
      <c r="D81" s="172">
        <f>SUM('Yearly Pension'!$G81:$AV81) *E81</f>
        <v>581999.90550664777</v>
      </c>
      <c r="E81" s="171">
        <f t="shared" si="9"/>
        <v>11.898519671457908</v>
      </c>
      <c r="F81" s="19">
        <f>VLOOKUP(I81,'Yearly Pension'!$C$3:$BC$81,53,FALSE)</f>
        <v>0</v>
      </c>
      <c r="G81" s="181"/>
      <c r="H81" s="11">
        <v>600</v>
      </c>
      <c r="I81" s="11">
        <v>316</v>
      </c>
      <c r="J81" s="11">
        <v>2</v>
      </c>
      <c r="K81" s="11">
        <v>19580511</v>
      </c>
      <c r="L81" s="177">
        <f t="shared" si="10"/>
        <v>21316</v>
      </c>
      <c r="M81" s="178">
        <f t="shared" si="11"/>
        <v>66.644763860369608</v>
      </c>
      <c r="N81" s="178">
        <f t="shared" si="12"/>
        <v>66</v>
      </c>
      <c r="O81" s="178">
        <f t="shared" si="13"/>
        <v>67</v>
      </c>
      <c r="P81" s="178">
        <f t="shared" si="14"/>
        <v>0.64476386036960776</v>
      </c>
      <c r="Q81" s="178">
        <f t="shared" si="15"/>
        <v>0.35523613963039224</v>
      </c>
      <c r="R81" s="179">
        <f>IF(J81=1,VLOOKUP(N81,'Annuity Factors '!$K$10:$S$92,9, FALSE),VLOOKUP(N81,'Annuity Factors '!$A$10:$I$92,9,FALSE))</f>
        <v>12.035100000000002</v>
      </c>
      <c r="S81" s="179">
        <f>IF(J81=1,VLOOKUP(O81,'Annuity Factors '!$K$10:$S$92,9, FALSE),VLOOKUP(O81,'Annuity Factors '!$A$10:$I$92,9,FALSE))</f>
        <v>11.823270000000001</v>
      </c>
    </row>
  </sheetData>
  <mergeCells count="1">
    <mergeCell ref="B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1589-291C-4DA8-AAC7-77A18AE2F420}">
  <dimension ref="A1:R151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5" sqref="G25"/>
    </sheetView>
  </sheetViews>
  <sheetFormatPr defaultRowHeight="13.2" x14ac:dyDescent="0.25"/>
  <cols>
    <col min="1" max="1" width="27.109375" style="208" bestFit="1" customWidth="1"/>
    <col min="2" max="2" width="12.33203125" style="208" bestFit="1" customWidth="1"/>
    <col min="3" max="3" width="16.88671875" style="208" bestFit="1" customWidth="1"/>
    <col min="4" max="4" width="13.77734375" style="208" bestFit="1" customWidth="1"/>
    <col min="5" max="5" width="12.44140625" style="208" bestFit="1" customWidth="1"/>
    <col min="6" max="6" width="17.21875" style="208" bestFit="1" customWidth="1"/>
    <col min="7" max="7" width="35.5546875" style="209" bestFit="1" customWidth="1"/>
    <col min="8" max="8" width="8.88671875" style="208"/>
    <col min="9" max="9" width="13.5546875" style="209" bestFit="1" customWidth="1"/>
    <col min="10" max="10" width="12.44140625" style="208" bestFit="1" customWidth="1"/>
    <col min="11" max="11" width="23.44140625" style="208" bestFit="1" customWidth="1"/>
    <col min="12" max="12" width="15.77734375" style="208" customWidth="1"/>
    <col min="13" max="13" width="8.88671875" style="208"/>
    <col min="14" max="14" width="9" style="208" bestFit="1" customWidth="1"/>
    <col min="15" max="15" width="13.5546875" style="208" bestFit="1" customWidth="1"/>
    <col min="16" max="16" width="8.88671875" style="208"/>
    <col min="17" max="17" width="12.77734375" style="208" bestFit="1" customWidth="1"/>
    <col min="18" max="18" width="13.44140625" style="209" bestFit="1" customWidth="1"/>
    <col min="19" max="256" width="8.88671875" style="208"/>
    <col min="257" max="257" width="27.109375" style="208" bestFit="1" customWidth="1"/>
    <col min="258" max="258" width="12.33203125" style="208" bestFit="1" customWidth="1"/>
    <col min="259" max="259" width="16.88671875" style="208" bestFit="1" customWidth="1"/>
    <col min="260" max="260" width="13.77734375" style="208" bestFit="1" customWidth="1"/>
    <col min="261" max="261" width="12.44140625" style="208" bestFit="1" customWidth="1"/>
    <col min="262" max="262" width="17.21875" style="208" bestFit="1" customWidth="1"/>
    <col min="263" max="263" width="35.5546875" style="208" bestFit="1" customWidth="1"/>
    <col min="264" max="264" width="8.88671875" style="208"/>
    <col min="265" max="265" width="13.5546875" style="208" bestFit="1" customWidth="1"/>
    <col min="266" max="266" width="12.44140625" style="208" bestFit="1" customWidth="1"/>
    <col min="267" max="267" width="23.44140625" style="208" bestFit="1" customWidth="1"/>
    <col min="268" max="268" width="15.77734375" style="208" customWidth="1"/>
    <col min="269" max="269" width="8.88671875" style="208"/>
    <col min="270" max="270" width="9" style="208" bestFit="1" customWidth="1"/>
    <col min="271" max="271" width="13.5546875" style="208" bestFit="1" customWidth="1"/>
    <col min="272" max="272" width="8.88671875" style="208"/>
    <col min="273" max="273" width="12.77734375" style="208" bestFit="1" customWidth="1"/>
    <col min="274" max="274" width="13.44140625" style="208" bestFit="1" customWidth="1"/>
    <col min="275" max="512" width="8.88671875" style="208"/>
    <col min="513" max="513" width="27.109375" style="208" bestFit="1" customWidth="1"/>
    <col min="514" max="514" width="12.33203125" style="208" bestFit="1" customWidth="1"/>
    <col min="515" max="515" width="16.88671875" style="208" bestFit="1" customWidth="1"/>
    <col min="516" max="516" width="13.77734375" style="208" bestFit="1" customWidth="1"/>
    <col min="517" max="517" width="12.44140625" style="208" bestFit="1" customWidth="1"/>
    <col min="518" max="518" width="17.21875" style="208" bestFit="1" customWidth="1"/>
    <col min="519" max="519" width="35.5546875" style="208" bestFit="1" customWidth="1"/>
    <col min="520" max="520" width="8.88671875" style="208"/>
    <col min="521" max="521" width="13.5546875" style="208" bestFit="1" customWidth="1"/>
    <col min="522" max="522" width="12.44140625" style="208" bestFit="1" customWidth="1"/>
    <col min="523" max="523" width="23.44140625" style="208" bestFit="1" customWidth="1"/>
    <col min="524" max="524" width="15.77734375" style="208" customWidth="1"/>
    <col min="525" max="525" width="8.88671875" style="208"/>
    <col min="526" max="526" width="9" style="208" bestFit="1" customWidth="1"/>
    <col min="527" max="527" width="13.5546875" style="208" bestFit="1" customWidth="1"/>
    <col min="528" max="528" width="8.88671875" style="208"/>
    <col min="529" max="529" width="12.77734375" style="208" bestFit="1" customWidth="1"/>
    <col min="530" max="530" width="13.44140625" style="208" bestFit="1" customWidth="1"/>
    <col min="531" max="768" width="8.88671875" style="208"/>
    <col min="769" max="769" width="27.109375" style="208" bestFit="1" customWidth="1"/>
    <col min="770" max="770" width="12.33203125" style="208" bestFit="1" customWidth="1"/>
    <col min="771" max="771" width="16.88671875" style="208" bestFit="1" customWidth="1"/>
    <col min="772" max="772" width="13.77734375" style="208" bestFit="1" customWidth="1"/>
    <col min="773" max="773" width="12.44140625" style="208" bestFit="1" customWidth="1"/>
    <col min="774" max="774" width="17.21875" style="208" bestFit="1" customWidth="1"/>
    <col min="775" max="775" width="35.5546875" style="208" bestFit="1" customWidth="1"/>
    <col min="776" max="776" width="8.88671875" style="208"/>
    <col min="777" max="777" width="13.5546875" style="208" bestFit="1" customWidth="1"/>
    <col min="778" max="778" width="12.44140625" style="208" bestFit="1" customWidth="1"/>
    <col min="779" max="779" width="23.44140625" style="208" bestFit="1" customWidth="1"/>
    <col min="780" max="780" width="15.77734375" style="208" customWidth="1"/>
    <col min="781" max="781" width="8.88671875" style="208"/>
    <col min="782" max="782" width="9" style="208" bestFit="1" customWidth="1"/>
    <col min="783" max="783" width="13.5546875" style="208" bestFit="1" customWidth="1"/>
    <col min="784" max="784" width="8.88671875" style="208"/>
    <col min="785" max="785" width="12.77734375" style="208" bestFit="1" customWidth="1"/>
    <col min="786" max="786" width="13.44140625" style="208" bestFit="1" customWidth="1"/>
    <col min="787" max="1024" width="8.88671875" style="208"/>
    <col min="1025" max="1025" width="27.109375" style="208" bestFit="1" customWidth="1"/>
    <col min="1026" max="1026" width="12.33203125" style="208" bestFit="1" customWidth="1"/>
    <col min="1027" max="1027" width="16.88671875" style="208" bestFit="1" customWidth="1"/>
    <col min="1028" max="1028" width="13.77734375" style="208" bestFit="1" customWidth="1"/>
    <col min="1029" max="1029" width="12.44140625" style="208" bestFit="1" customWidth="1"/>
    <col min="1030" max="1030" width="17.21875" style="208" bestFit="1" customWidth="1"/>
    <col min="1031" max="1031" width="35.5546875" style="208" bestFit="1" customWidth="1"/>
    <col min="1032" max="1032" width="8.88671875" style="208"/>
    <col min="1033" max="1033" width="13.5546875" style="208" bestFit="1" customWidth="1"/>
    <col min="1034" max="1034" width="12.44140625" style="208" bestFit="1" customWidth="1"/>
    <col min="1035" max="1035" width="23.44140625" style="208" bestFit="1" customWidth="1"/>
    <col min="1036" max="1036" width="15.77734375" style="208" customWidth="1"/>
    <col min="1037" max="1037" width="8.88671875" style="208"/>
    <col min="1038" max="1038" width="9" style="208" bestFit="1" customWidth="1"/>
    <col min="1039" max="1039" width="13.5546875" style="208" bestFit="1" customWidth="1"/>
    <col min="1040" max="1040" width="8.88671875" style="208"/>
    <col min="1041" max="1041" width="12.77734375" style="208" bestFit="1" customWidth="1"/>
    <col min="1042" max="1042" width="13.44140625" style="208" bestFit="1" customWidth="1"/>
    <col min="1043" max="1280" width="8.88671875" style="208"/>
    <col min="1281" max="1281" width="27.109375" style="208" bestFit="1" customWidth="1"/>
    <col min="1282" max="1282" width="12.33203125" style="208" bestFit="1" customWidth="1"/>
    <col min="1283" max="1283" width="16.88671875" style="208" bestFit="1" customWidth="1"/>
    <col min="1284" max="1284" width="13.77734375" style="208" bestFit="1" customWidth="1"/>
    <col min="1285" max="1285" width="12.44140625" style="208" bestFit="1" customWidth="1"/>
    <col min="1286" max="1286" width="17.21875" style="208" bestFit="1" customWidth="1"/>
    <col min="1287" max="1287" width="35.5546875" style="208" bestFit="1" customWidth="1"/>
    <col min="1288" max="1288" width="8.88671875" style="208"/>
    <col min="1289" max="1289" width="13.5546875" style="208" bestFit="1" customWidth="1"/>
    <col min="1290" max="1290" width="12.44140625" style="208" bestFit="1" customWidth="1"/>
    <col min="1291" max="1291" width="23.44140625" style="208" bestFit="1" customWidth="1"/>
    <col min="1292" max="1292" width="15.77734375" style="208" customWidth="1"/>
    <col min="1293" max="1293" width="8.88671875" style="208"/>
    <col min="1294" max="1294" width="9" style="208" bestFit="1" customWidth="1"/>
    <col min="1295" max="1295" width="13.5546875" style="208" bestFit="1" customWidth="1"/>
    <col min="1296" max="1296" width="8.88671875" style="208"/>
    <col min="1297" max="1297" width="12.77734375" style="208" bestFit="1" customWidth="1"/>
    <col min="1298" max="1298" width="13.44140625" style="208" bestFit="1" customWidth="1"/>
    <col min="1299" max="1536" width="8.88671875" style="208"/>
    <col min="1537" max="1537" width="27.109375" style="208" bestFit="1" customWidth="1"/>
    <col min="1538" max="1538" width="12.33203125" style="208" bestFit="1" customWidth="1"/>
    <col min="1539" max="1539" width="16.88671875" style="208" bestFit="1" customWidth="1"/>
    <col min="1540" max="1540" width="13.77734375" style="208" bestFit="1" customWidth="1"/>
    <col min="1541" max="1541" width="12.44140625" style="208" bestFit="1" customWidth="1"/>
    <col min="1542" max="1542" width="17.21875" style="208" bestFit="1" customWidth="1"/>
    <col min="1543" max="1543" width="35.5546875" style="208" bestFit="1" customWidth="1"/>
    <col min="1544" max="1544" width="8.88671875" style="208"/>
    <col min="1545" max="1545" width="13.5546875" style="208" bestFit="1" customWidth="1"/>
    <col min="1546" max="1546" width="12.44140625" style="208" bestFit="1" customWidth="1"/>
    <col min="1547" max="1547" width="23.44140625" style="208" bestFit="1" customWidth="1"/>
    <col min="1548" max="1548" width="15.77734375" style="208" customWidth="1"/>
    <col min="1549" max="1549" width="8.88671875" style="208"/>
    <col min="1550" max="1550" width="9" style="208" bestFit="1" customWidth="1"/>
    <col min="1551" max="1551" width="13.5546875" style="208" bestFit="1" customWidth="1"/>
    <col min="1552" max="1552" width="8.88671875" style="208"/>
    <col min="1553" max="1553" width="12.77734375" style="208" bestFit="1" customWidth="1"/>
    <col min="1554" max="1554" width="13.44140625" style="208" bestFit="1" customWidth="1"/>
    <col min="1555" max="1792" width="8.88671875" style="208"/>
    <col min="1793" max="1793" width="27.109375" style="208" bestFit="1" customWidth="1"/>
    <col min="1794" max="1794" width="12.33203125" style="208" bestFit="1" customWidth="1"/>
    <col min="1795" max="1795" width="16.88671875" style="208" bestFit="1" customWidth="1"/>
    <col min="1796" max="1796" width="13.77734375" style="208" bestFit="1" customWidth="1"/>
    <col min="1797" max="1797" width="12.44140625" style="208" bestFit="1" customWidth="1"/>
    <col min="1798" max="1798" width="17.21875" style="208" bestFit="1" customWidth="1"/>
    <col min="1799" max="1799" width="35.5546875" style="208" bestFit="1" customWidth="1"/>
    <col min="1800" max="1800" width="8.88671875" style="208"/>
    <col min="1801" max="1801" width="13.5546875" style="208" bestFit="1" customWidth="1"/>
    <col min="1802" max="1802" width="12.44140625" style="208" bestFit="1" customWidth="1"/>
    <col min="1803" max="1803" width="23.44140625" style="208" bestFit="1" customWidth="1"/>
    <col min="1804" max="1804" width="15.77734375" style="208" customWidth="1"/>
    <col min="1805" max="1805" width="8.88671875" style="208"/>
    <col min="1806" max="1806" width="9" style="208" bestFit="1" customWidth="1"/>
    <col min="1807" max="1807" width="13.5546875" style="208" bestFit="1" customWidth="1"/>
    <col min="1808" max="1808" width="8.88671875" style="208"/>
    <col min="1809" max="1809" width="12.77734375" style="208" bestFit="1" customWidth="1"/>
    <col min="1810" max="1810" width="13.44140625" style="208" bestFit="1" customWidth="1"/>
    <col min="1811" max="2048" width="8.88671875" style="208"/>
    <col min="2049" max="2049" width="27.109375" style="208" bestFit="1" customWidth="1"/>
    <col min="2050" max="2050" width="12.33203125" style="208" bestFit="1" customWidth="1"/>
    <col min="2051" max="2051" width="16.88671875" style="208" bestFit="1" customWidth="1"/>
    <col min="2052" max="2052" width="13.77734375" style="208" bestFit="1" customWidth="1"/>
    <col min="2053" max="2053" width="12.44140625" style="208" bestFit="1" customWidth="1"/>
    <col min="2054" max="2054" width="17.21875" style="208" bestFit="1" customWidth="1"/>
    <col min="2055" max="2055" width="35.5546875" style="208" bestFit="1" customWidth="1"/>
    <col min="2056" max="2056" width="8.88671875" style="208"/>
    <col min="2057" max="2057" width="13.5546875" style="208" bestFit="1" customWidth="1"/>
    <col min="2058" max="2058" width="12.44140625" style="208" bestFit="1" customWidth="1"/>
    <col min="2059" max="2059" width="23.44140625" style="208" bestFit="1" customWidth="1"/>
    <col min="2060" max="2060" width="15.77734375" style="208" customWidth="1"/>
    <col min="2061" max="2061" width="8.88671875" style="208"/>
    <col min="2062" max="2062" width="9" style="208" bestFit="1" customWidth="1"/>
    <col min="2063" max="2063" width="13.5546875" style="208" bestFit="1" customWidth="1"/>
    <col min="2064" max="2064" width="8.88671875" style="208"/>
    <col min="2065" max="2065" width="12.77734375" style="208" bestFit="1" customWidth="1"/>
    <col min="2066" max="2066" width="13.44140625" style="208" bestFit="1" customWidth="1"/>
    <col min="2067" max="2304" width="8.88671875" style="208"/>
    <col min="2305" max="2305" width="27.109375" style="208" bestFit="1" customWidth="1"/>
    <col min="2306" max="2306" width="12.33203125" style="208" bestFit="1" customWidth="1"/>
    <col min="2307" max="2307" width="16.88671875" style="208" bestFit="1" customWidth="1"/>
    <col min="2308" max="2308" width="13.77734375" style="208" bestFit="1" customWidth="1"/>
    <col min="2309" max="2309" width="12.44140625" style="208" bestFit="1" customWidth="1"/>
    <col min="2310" max="2310" width="17.21875" style="208" bestFit="1" customWidth="1"/>
    <col min="2311" max="2311" width="35.5546875" style="208" bestFit="1" customWidth="1"/>
    <col min="2312" max="2312" width="8.88671875" style="208"/>
    <col min="2313" max="2313" width="13.5546875" style="208" bestFit="1" customWidth="1"/>
    <col min="2314" max="2314" width="12.44140625" style="208" bestFit="1" customWidth="1"/>
    <col min="2315" max="2315" width="23.44140625" style="208" bestFit="1" customWidth="1"/>
    <col min="2316" max="2316" width="15.77734375" style="208" customWidth="1"/>
    <col min="2317" max="2317" width="8.88671875" style="208"/>
    <col min="2318" max="2318" width="9" style="208" bestFit="1" customWidth="1"/>
    <col min="2319" max="2319" width="13.5546875" style="208" bestFit="1" customWidth="1"/>
    <col min="2320" max="2320" width="8.88671875" style="208"/>
    <col min="2321" max="2321" width="12.77734375" style="208" bestFit="1" customWidth="1"/>
    <col min="2322" max="2322" width="13.44140625" style="208" bestFit="1" customWidth="1"/>
    <col min="2323" max="2560" width="8.88671875" style="208"/>
    <col min="2561" max="2561" width="27.109375" style="208" bestFit="1" customWidth="1"/>
    <col min="2562" max="2562" width="12.33203125" style="208" bestFit="1" customWidth="1"/>
    <col min="2563" max="2563" width="16.88671875" style="208" bestFit="1" customWidth="1"/>
    <col min="2564" max="2564" width="13.77734375" style="208" bestFit="1" customWidth="1"/>
    <col min="2565" max="2565" width="12.44140625" style="208" bestFit="1" customWidth="1"/>
    <col min="2566" max="2566" width="17.21875" style="208" bestFit="1" customWidth="1"/>
    <col min="2567" max="2567" width="35.5546875" style="208" bestFit="1" customWidth="1"/>
    <col min="2568" max="2568" width="8.88671875" style="208"/>
    <col min="2569" max="2569" width="13.5546875" style="208" bestFit="1" customWidth="1"/>
    <col min="2570" max="2570" width="12.44140625" style="208" bestFit="1" customWidth="1"/>
    <col min="2571" max="2571" width="23.44140625" style="208" bestFit="1" customWidth="1"/>
    <col min="2572" max="2572" width="15.77734375" style="208" customWidth="1"/>
    <col min="2573" max="2573" width="8.88671875" style="208"/>
    <col min="2574" max="2574" width="9" style="208" bestFit="1" customWidth="1"/>
    <col min="2575" max="2575" width="13.5546875" style="208" bestFit="1" customWidth="1"/>
    <col min="2576" max="2576" width="8.88671875" style="208"/>
    <col min="2577" max="2577" width="12.77734375" style="208" bestFit="1" customWidth="1"/>
    <col min="2578" max="2578" width="13.44140625" style="208" bestFit="1" customWidth="1"/>
    <col min="2579" max="2816" width="8.88671875" style="208"/>
    <col min="2817" max="2817" width="27.109375" style="208" bestFit="1" customWidth="1"/>
    <col min="2818" max="2818" width="12.33203125" style="208" bestFit="1" customWidth="1"/>
    <col min="2819" max="2819" width="16.88671875" style="208" bestFit="1" customWidth="1"/>
    <col min="2820" max="2820" width="13.77734375" style="208" bestFit="1" customWidth="1"/>
    <col min="2821" max="2821" width="12.44140625" style="208" bestFit="1" customWidth="1"/>
    <col min="2822" max="2822" width="17.21875" style="208" bestFit="1" customWidth="1"/>
    <col min="2823" max="2823" width="35.5546875" style="208" bestFit="1" customWidth="1"/>
    <col min="2824" max="2824" width="8.88671875" style="208"/>
    <col min="2825" max="2825" width="13.5546875" style="208" bestFit="1" customWidth="1"/>
    <col min="2826" max="2826" width="12.44140625" style="208" bestFit="1" customWidth="1"/>
    <col min="2827" max="2827" width="23.44140625" style="208" bestFit="1" customWidth="1"/>
    <col min="2828" max="2828" width="15.77734375" style="208" customWidth="1"/>
    <col min="2829" max="2829" width="8.88671875" style="208"/>
    <col min="2830" max="2830" width="9" style="208" bestFit="1" customWidth="1"/>
    <col min="2831" max="2831" width="13.5546875" style="208" bestFit="1" customWidth="1"/>
    <col min="2832" max="2832" width="8.88671875" style="208"/>
    <col min="2833" max="2833" width="12.77734375" style="208" bestFit="1" customWidth="1"/>
    <col min="2834" max="2834" width="13.44140625" style="208" bestFit="1" customWidth="1"/>
    <col min="2835" max="3072" width="8.88671875" style="208"/>
    <col min="3073" max="3073" width="27.109375" style="208" bestFit="1" customWidth="1"/>
    <col min="3074" max="3074" width="12.33203125" style="208" bestFit="1" customWidth="1"/>
    <col min="3075" max="3075" width="16.88671875" style="208" bestFit="1" customWidth="1"/>
    <col min="3076" max="3076" width="13.77734375" style="208" bestFit="1" customWidth="1"/>
    <col min="3077" max="3077" width="12.44140625" style="208" bestFit="1" customWidth="1"/>
    <col min="3078" max="3078" width="17.21875" style="208" bestFit="1" customWidth="1"/>
    <col min="3079" max="3079" width="35.5546875" style="208" bestFit="1" customWidth="1"/>
    <col min="3080" max="3080" width="8.88671875" style="208"/>
    <col min="3081" max="3081" width="13.5546875" style="208" bestFit="1" customWidth="1"/>
    <col min="3082" max="3082" width="12.44140625" style="208" bestFit="1" customWidth="1"/>
    <col min="3083" max="3083" width="23.44140625" style="208" bestFit="1" customWidth="1"/>
    <col min="3084" max="3084" width="15.77734375" style="208" customWidth="1"/>
    <col min="3085" max="3085" width="8.88671875" style="208"/>
    <col min="3086" max="3086" width="9" style="208" bestFit="1" customWidth="1"/>
    <col min="3087" max="3087" width="13.5546875" style="208" bestFit="1" customWidth="1"/>
    <col min="3088" max="3088" width="8.88671875" style="208"/>
    <col min="3089" max="3089" width="12.77734375" style="208" bestFit="1" customWidth="1"/>
    <col min="3090" max="3090" width="13.44140625" style="208" bestFit="1" customWidth="1"/>
    <col min="3091" max="3328" width="8.88671875" style="208"/>
    <col min="3329" max="3329" width="27.109375" style="208" bestFit="1" customWidth="1"/>
    <col min="3330" max="3330" width="12.33203125" style="208" bestFit="1" customWidth="1"/>
    <col min="3331" max="3331" width="16.88671875" style="208" bestFit="1" customWidth="1"/>
    <col min="3332" max="3332" width="13.77734375" style="208" bestFit="1" customWidth="1"/>
    <col min="3333" max="3333" width="12.44140625" style="208" bestFit="1" customWidth="1"/>
    <col min="3334" max="3334" width="17.21875" style="208" bestFit="1" customWidth="1"/>
    <col min="3335" max="3335" width="35.5546875" style="208" bestFit="1" customWidth="1"/>
    <col min="3336" max="3336" width="8.88671875" style="208"/>
    <col min="3337" max="3337" width="13.5546875" style="208" bestFit="1" customWidth="1"/>
    <col min="3338" max="3338" width="12.44140625" style="208" bestFit="1" customWidth="1"/>
    <col min="3339" max="3339" width="23.44140625" style="208" bestFit="1" customWidth="1"/>
    <col min="3340" max="3340" width="15.77734375" style="208" customWidth="1"/>
    <col min="3341" max="3341" width="8.88671875" style="208"/>
    <col min="3342" max="3342" width="9" style="208" bestFit="1" customWidth="1"/>
    <col min="3343" max="3343" width="13.5546875" style="208" bestFit="1" customWidth="1"/>
    <col min="3344" max="3344" width="8.88671875" style="208"/>
    <col min="3345" max="3345" width="12.77734375" style="208" bestFit="1" customWidth="1"/>
    <col min="3346" max="3346" width="13.44140625" style="208" bestFit="1" customWidth="1"/>
    <col min="3347" max="3584" width="8.88671875" style="208"/>
    <col min="3585" max="3585" width="27.109375" style="208" bestFit="1" customWidth="1"/>
    <col min="3586" max="3586" width="12.33203125" style="208" bestFit="1" customWidth="1"/>
    <col min="3587" max="3587" width="16.88671875" style="208" bestFit="1" customWidth="1"/>
    <col min="3588" max="3588" width="13.77734375" style="208" bestFit="1" customWidth="1"/>
    <col min="3589" max="3589" width="12.44140625" style="208" bestFit="1" customWidth="1"/>
    <col min="3590" max="3590" width="17.21875" style="208" bestFit="1" customWidth="1"/>
    <col min="3591" max="3591" width="35.5546875" style="208" bestFit="1" customWidth="1"/>
    <col min="3592" max="3592" width="8.88671875" style="208"/>
    <col min="3593" max="3593" width="13.5546875" style="208" bestFit="1" customWidth="1"/>
    <col min="3594" max="3594" width="12.44140625" style="208" bestFit="1" customWidth="1"/>
    <col min="3595" max="3595" width="23.44140625" style="208" bestFit="1" customWidth="1"/>
    <col min="3596" max="3596" width="15.77734375" style="208" customWidth="1"/>
    <col min="3597" max="3597" width="8.88671875" style="208"/>
    <col min="3598" max="3598" width="9" style="208" bestFit="1" customWidth="1"/>
    <col min="3599" max="3599" width="13.5546875" style="208" bestFit="1" customWidth="1"/>
    <col min="3600" max="3600" width="8.88671875" style="208"/>
    <col min="3601" max="3601" width="12.77734375" style="208" bestFit="1" customWidth="1"/>
    <col min="3602" max="3602" width="13.44140625" style="208" bestFit="1" customWidth="1"/>
    <col min="3603" max="3840" width="8.88671875" style="208"/>
    <col min="3841" max="3841" width="27.109375" style="208" bestFit="1" customWidth="1"/>
    <col min="3842" max="3842" width="12.33203125" style="208" bestFit="1" customWidth="1"/>
    <col min="3843" max="3843" width="16.88671875" style="208" bestFit="1" customWidth="1"/>
    <col min="3844" max="3844" width="13.77734375" style="208" bestFit="1" customWidth="1"/>
    <col min="3845" max="3845" width="12.44140625" style="208" bestFit="1" customWidth="1"/>
    <col min="3846" max="3846" width="17.21875" style="208" bestFit="1" customWidth="1"/>
    <col min="3847" max="3847" width="35.5546875" style="208" bestFit="1" customWidth="1"/>
    <col min="3848" max="3848" width="8.88671875" style="208"/>
    <col min="3849" max="3849" width="13.5546875" style="208" bestFit="1" customWidth="1"/>
    <col min="3850" max="3850" width="12.44140625" style="208" bestFit="1" customWidth="1"/>
    <col min="3851" max="3851" width="23.44140625" style="208" bestFit="1" customWidth="1"/>
    <col min="3852" max="3852" width="15.77734375" style="208" customWidth="1"/>
    <col min="3853" max="3853" width="8.88671875" style="208"/>
    <col min="3854" max="3854" width="9" style="208" bestFit="1" customWidth="1"/>
    <col min="3855" max="3855" width="13.5546875" style="208" bestFit="1" customWidth="1"/>
    <col min="3856" max="3856" width="8.88671875" style="208"/>
    <col min="3857" max="3857" width="12.77734375" style="208" bestFit="1" customWidth="1"/>
    <col min="3858" max="3858" width="13.44140625" style="208" bestFit="1" customWidth="1"/>
    <col min="3859" max="4096" width="8.88671875" style="208"/>
    <col min="4097" max="4097" width="27.109375" style="208" bestFit="1" customWidth="1"/>
    <col min="4098" max="4098" width="12.33203125" style="208" bestFit="1" customWidth="1"/>
    <col min="4099" max="4099" width="16.88671875" style="208" bestFit="1" customWidth="1"/>
    <col min="4100" max="4100" width="13.77734375" style="208" bestFit="1" customWidth="1"/>
    <col min="4101" max="4101" width="12.44140625" style="208" bestFit="1" customWidth="1"/>
    <col min="4102" max="4102" width="17.21875" style="208" bestFit="1" customWidth="1"/>
    <col min="4103" max="4103" width="35.5546875" style="208" bestFit="1" customWidth="1"/>
    <col min="4104" max="4104" width="8.88671875" style="208"/>
    <col min="4105" max="4105" width="13.5546875" style="208" bestFit="1" customWidth="1"/>
    <col min="4106" max="4106" width="12.44140625" style="208" bestFit="1" customWidth="1"/>
    <col min="4107" max="4107" width="23.44140625" style="208" bestFit="1" customWidth="1"/>
    <col min="4108" max="4108" width="15.77734375" style="208" customWidth="1"/>
    <col min="4109" max="4109" width="8.88671875" style="208"/>
    <col min="4110" max="4110" width="9" style="208" bestFit="1" customWidth="1"/>
    <col min="4111" max="4111" width="13.5546875" style="208" bestFit="1" customWidth="1"/>
    <col min="4112" max="4112" width="8.88671875" style="208"/>
    <col min="4113" max="4113" width="12.77734375" style="208" bestFit="1" customWidth="1"/>
    <col min="4114" max="4114" width="13.44140625" style="208" bestFit="1" customWidth="1"/>
    <col min="4115" max="4352" width="8.88671875" style="208"/>
    <col min="4353" max="4353" width="27.109375" style="208" bestFit="1" customWidth="1"/>
    <col min="4354" max="4354" width="12.33203125" style="208" bestFit="1" customWidth="1"/>
    <col min="4355" max="4355" width="16.88671875" style="208" bestFit="1" customWidth="1"/>
    <col min="4356" max="4356" width="13.77734375" style="208" bestFit="1" customWidth="1"/>
    <col min="4357" max="4357" width="12.44140625" style="208" bestFit="1" customWidth="1"/>
    <col min="4358" max="4358" width="17.21875" style="208" bestFit="1" customWidth="1"/>
    <col min="4359" max="4359" width="35.5546875" style="208" bestFit="1" customWidth="1"/>
    <col min="4360" max="4360" width="8.88671875" style="208"/>
    <col min="4361" max="4361" width="13.5546875" style="208" bestFit="1" customWidth="1"/>
    <col min="4362" max="4362" width="12.44140625" style="208" bestFit="1" customWidth="1"/>
    <col min="4363" max="4363" width="23.44140625" style="208" bestFit="1" customWidth="1"/>
    <col min="4364" max="4364" width="15.77734375" style="208" customWidth="1"/>
    <col min="4365" max="4365" width="8.88671875" style="208"/>
    <col min="4366" max="4366" width="9" style="208" bestFit="1" customWidth="1"/>
    <col min="4367" max="4367" width="13.5546875" style="208" bestFit="1" customWidth="1"/>
    <col min="4368" max="4368" width="8.88671875" style="208"/>
    <col min="4369" max="4369" width="12.77734375" style="208" bestFit="1" customWidth="1"/>
    <col min="4370" max="4370" width="13.44140625" style="208" bestFit="1" customWidth="1"/>
    <col min="4371" max="4608" width="8.88671875" style="208"/>
    <col min="4609" max="4609" width="27.109375" style="208" bestFit="1" customWidth="1"/>
    <col min="4610" max="4610" width="12.33203125" style="208" bestFit="1" customWidth="1"/>
    <col min="4611" max="4611" width="16.88671875" style="208" bestFit="1" customWidth="1"/>
    <col min="4612" max="4612" width="13.77734375" style="208" bestFit="1" customWidth="1"/>
    <col min="4613" max="4613" width="12.44140625" style="208" bestFit="1" customWidth="1"/>
    <col min="4614" max="4614" width="17.21875" style="208" bestFit="1" customWidth="1"/>
    <col min="4615" max="4615" width="35.5546875" style="208" bestFit="1" customWidth="1"/>
    <col min="4616" max="4616" width="8.88671875" style="208"/>
    <col min="4617" max="4617" width="13.5546875" style="208" bestFit="1" customWidth="1"/>
    <col min="4618" max="4618" width="12.44140625" style="208" bestFit="1" customWidth="1"/>
    <col min="4619" max="4619" width="23.44140625" style="208" bestFit="1" customWidth="1"/>
    <col min="4620" max="4620" width="15.77734375" style="208" customWidth="1"/>
    <col min="4621" max="4621" width="8.88671875" style="208"/>
    <col min="4622" max="4622" width="9" style="208" bestFit="1" customWidth="1"/>
    <col min="4623" max="4623" width="13.5546875" style="208" bestFit="1" customWidth="1"/>
    <col min="4624" max="4624" width="8.88671875" style="208"/>
    <col min="4625" max="4625" width="12.77734375" style="208" bestFit="1" customWidth="1"/>
    <col min="4626" max="4626" width="13.44140625" style="208" bestFit="1" customWidth="1"/>
    <col min="4627" max="4864" width="8.88671875" style="208"/>
    <col min="4865" max="4865" width="27.109375" style="208" bestFit="1" customWidth="1"/>
    <col min="4866" max="4866" width="12.33203125" style="208" bestFit="1" customWidth="1"/>
    <col min="4867" max="4867" width="16.88671875" style="208" bestFit="1" customWidth="1"/>
    <col min="4868" max="4868" width="13.77734375" style="208" bestFit="1" customWidth="1"/>
    <col min="4869" max="4869" width="12.44140625" style="208" bestFit="1" customWidth="1"/>
    <col min="4870" max="4870" width="17.21875" style="208" bestFit="1" customWidth="1"/>
    <col min="4871" max="4871" width="35.5546875" style="208" bestFit="1" customWidth="1"/>
    <col min="4872" max="4872" width="8.88671875" style="208"/>
    <col min="4873" max="4873" width="13.5546875" style="208" bestFit="1" customWidth="1"/>
    <col min="4874" max="4874" width="12.44140625" style="208" bestFit="1" customWidth="1"/>
    <col min="4875" max="4875" width="23.44140625" style="208" bestFit="1" customWidth="1"/>
    <col min="4876" max="4876" width="15.77734375" style="208" customWidth="1"/>
    <col min="4877" max="4877" width="8.88671875" style="208"/>
    <col min="4878" max="4878" width="9" style="208" bestFit="1" customWidth="1"/>
    <col min="4879" max="4879" width="13.5546875" style="208" bestFit="1" customWidth="1"/>
    <col min="4880" max="4880" width="8.88671875" style="208"/>
    <col min="4881" max="4881" width="12.77734375" style="208" bestFit="1" customWidth="1"/>
    <col min="4882" max="4882" width="13.44140625" style="208" bestFit="1" customWidth="1"/>
    <col min="4883" max="5120" width="8.88671875" style="208"/>
    <col min="5121" max="5121" width="27.109375" style="208" bestFit="1" customWidth="1"/>
    <col min="5122" max="5122" width="12.33203125" style="208" bestFit="1" customWidth="1"/>
    <col min="5123" max="5123" width="16.88671875" style="208" bestFit="1" customWidth="1"/>
    <col min="5124" max="5124" width="13.77734375" style="208" bestFit="1" customWidth="1"/>
    <col min="5125" max="5125" width="12.44140625" style="208" bestFit="1" customWidth="1"/>
    <col min="5126" max="5126" width="17.21875" style="208" bestFit="1" customWidth="1"/>
    <col min="5127" max="5127" width="35.5546875" style="208" bestFit="1" customWidth="1"/>
    <col min="5128" max="5128" width="8.88671875" style="208"/>
    <col min="5129" max="5129" width="13.5546875" style="208" bestFit="1" customWidth="1"/>
    <col min="5130" max="5130" width="12.44140625" style="208" bestFit="1" customWidth="1"/>
    <col min="5131" max="5131" width="23.44140625" style="208" bestFit="1" customWidth="1"/>
    <col min="5132" max="5132" width="15.77734375" style="208" customWidth="1"/>
    <col min="5133" max="5133" width="8.88671875" style="208"/>
    <col min="5134" max="5134" width="9" style="208" bestFit="1" customWidth="1"/>
    <col min="5135" max="5135" width="13.5546875" style="208" bestFit="1" customWidth="1"/>
    <col min="5136" max="5136" width="8.88671875" style="208"/>
    <col min="5137" max="5137" width="12.77734375" style="208" bestFit="1" customWidth="1"/>
    <col min="5138" max="5138" width="13.44140625" style="208" bestFit="1" customWidth="1"/>
    <col min="5139" max="5376" width="8.88671875" style="208"/>
    <col min="5377" max="5377" width="27.109375" style="208" bestFit="1" customWidth="1"/>
    <col min="5378" max="5378" width="12.33203125" style="208" bestFit="1" customWidth="1"/>
    <col min="5379" max="5379" width="16.88671875" style="208" bestFit="1" customWidth="1"/>
    <col min="5380" max="5380" width="13.77734375" style="208" bestFit="1" customWidth="1"/>
    <col min="5381" max="5381" width="12.44140625" style="208" bestFit="1" customWidth="1"/>
    <col min="5382" max="5382" width="17.21875" style="208" bestFit="1" customWidth="1"/>
    <col min="5383" max="5383" width="35.5546875" style="208" bestFit="1" customWidth="1"/>
    <col min="5384" max="5384" width="8.88671875" style="208"/>
    <col min="5385" max="5385" width="13.5546875" style="208" bestFit="1" customWidth="1"/>
    <col min="5386" max="5386" width="12.44140625" style="208" bestFit="1" customWidth="1"/>
    <col min="5387" max="5387" width="23.44140625" style="208" bestFit="1" customWidth="1"/>
    <col min="5388" max="5388" width="15.77734375" style="208" customWidth="1"/>
    <col min="5389" max="5389" width="8.88671875" style="208"/>
    <col min="5390" max="5390" width="9" style="208" bestFit="1" customWidth="1"/>
    <col min="5391" max="5391" width="13.5546875" style="208" bestFit="1" customWidth="1"/>
    <col min="5392" max="5392" width="8.88671875" style="208"/>
    <col min="5393" max="5393" width="12.77734375" style="208" bestFit="1" customWidth="1"/>
    <col min="5394" max="5394" width="13.44140625" style="208" bestFit="1" customWidth="1"/>
    <col min="5395" max="5632" width="8.88671875" style="208"/>
    <col min="5633" max="5633" width="27.109375" style="208" bestFit="1" customWidth="1"/>
    <col min="5634" max="5634" width="12.33203125" style="208" bestFit="1" customWidth="1"/>
    <col min="5635" max="5635" width="16.88671875" style="208" bestFit="1" customWidth="1"/>
    <col min="5636" max="5636" width="13.77734375" style="208" bestFit="1" customWidth="1"/>
    <col min="5637" max="5637" width="12.44140625" style="208" bestFit="1" customWidth="1"/>
    <col min="5638" max="5638" width="17.21875" style="208" bestFit="1" customWidth="1"/>
    <col min="5639" max="5639" width="35.5546875" style="208" bestFit="1" customWidth="1"/>
    <col min="5640" max="5640" width="8.88671875" style="208"/>
    <col min="5641" max="5641" width="13.5546875" style="208" bestFit="1" customWidth="1"/>
    <col min="5642" max="5642" width="12.44140625" style="208" bestFit="1" customWidth="1"/>
    <col min="5643" max="5643" width="23.44140625" style="208" bestFit="1" customWidth="1"/>
    <col min="5644" max="5644" width="15.77734375" style="208" customWidth="1"/>
    <col min="5645" max="5645" width="8.88671875" style="208"/>
    <col min="5646" max="5646" width="9" style="208" bestFit="1" customWidth="1"/>
    <col min="5647" max="5647" width="13.5546875" style="208" bestFit="1" customWidth="1"/>
    <col min="5648" max="5648" width="8.88671875" style="208"/>
    <col min="5649" max="5649" width="12.77734375" style="208" bestFit="1" customWidth="1"/>
    <col min="5650" max="5650" width="13.44140625" style="208" bestFit="1" customWidth="1"/>
    <col min="5651" max="5888" width="8.88671875" style="208"/>
    <col min="5889" max="5889" width="27.109375" style="208" bestFit="1" customWidth="1"/>
    <col min="5890" max="5890" width="12.33203125" style="208" bestFit="1" customWidth="1"/>
    <col min="5891" max="5891" width="16.88671875" style="208" bestFit="1" customWidth="1"/>
    <col min="5892" max="5892" width="13.77734375" style="208" bestFit="1" customWidth="1"/>
    <col min="5893" max="5893" width="12.44140625" style="208" bestFit="1" customWidth="1"/>
    <col min="5894" max="5894" width="17.21875" style="208" bestFit="1" customWidth="1"/>
    <col min="5895" max="5895" width="35.5546875" style="208" bestFit="1" customWidth="1"/>
    <col min="5896" max="5896" width="8.88671875" style="208"/>
    <col min="5897" max="5897" width="13.5546875" style="208" bestFit="1" customWidth="1"/>
    <col min="5898" max="5898" width="12.44140625" style="208" bestFit="1" customWidth="1"/>
    <col min="5899" max="5899" width="23.44140625" style="208" bestFit="1" customWidth="1"/>
    <col min="5900" max="5900" width="15.77734375" style="208" customWidth="1"/>
    <col min="5901" max="5901" width="8.88671875" style="208"/>
    <col min="5902" max="5902" width="9" style="208" bestFit="1" customWidth="1"/>
    <col min="5903" max="5903" width="13.5546875" style="208" bestFit="1" customWidth="1"/>
    <col min="5904" max="5904" width="8.88671875" style="208"/>
    <col min="5905" max="5905" width="12.77734375" style="208" bestFit="1" customWidth="1"/>
    <col min="5906" max="5906" width="13.44140625" style="208" bestFit="1" customWidth="1"/>
    <col min="5907" max="6144" width="8.88671875" style="208"/>
    <col min="6145" max="6145" width="27.109375" style="208" bestFit="1" customWidth="1"/>
    <col min="6146" max="6146" width="12.33203125" style="208" bestFit="1" customWidth="1"/>
    <col min="6147" max="6147" width="16.88671875" style="208" bestFit="1" customWidth="1"/>
    <col min="6148" max="6148" width="13.77734375" style="208" bestFit="1" customWidth="1"/>
    <col min="6149" max="6149" width="12.44140625" style="208" bestFit="1" customWidth="1"/>
    <col min="6150" max="6150" width="17.21875" style="208" bestFit="1" customWidth="1"/>
    <col min="6151" max="6151" width="35.5546875" style="208" bestFit="1" customWidth="1"/>
    <col min="6152" max="6152" width="8.88671875" style="208"/>
    <col min="6153" max="6153" width="13.5546875" style="208" bestFit="1" customWidth="1"/>
    <col min="6154" max="6154" width="12.44140625" style="208" bestFit="1" customWidth="1"/>
    <col min="6155" max="6155" width="23.44140625" style="208" bestFit="1" customWidth="1"/>
    <col min="6156" max="6156" width="15.77734375" style="208" customWidth="1"/>
    <col min="6157" max="6157" width="8.88671875" style="208"/>
    <col min="6158" max="6158" width="9" style="208" bestFit="1" customWidth="1"/>
    <col min="6159" max="6159" width="13.5546875" style="208" bestFit="1" customWidth="1"/>
    <col min="6160" max="6160" width="8.88671875" style="208"/>
    <col min="6161" max="6161" width="12.77734375" style="208" bestFit="1" customWidth="1"/>
    <col min="6162" max="6162" width="13.44140625" style="208" bestFit="1" customWidth="1"/>
    <col min="6163" max="6400" width="8.88671875" style="208"/>
    <col min="6401" max="6401" width="27.109375" style="208" bestFit="1" customWidth="1"/>
    <col min="6402" max="6402" width="12.33203125" style="208" bestFit="1" customWidth="1"/>
    <col min="6403" max="6403" width="16.88671875" style="208" bestFit="1" customWidth="1"/>
    <col min="6404" max="6404" width="13.77734375" style="208" bestFit="1" customWidth="1"/>
    <col min="6405" max="6405" width="12.44140625" style="208" bestFit="1" customWidth="1"/>
    <col min="6406" max="6406" width="17.21875" style="208" bestFit="1" customWidth="1"/>
    <col min="6407" max="6407" width="35.5546875" style="208" bestFit="1" customWidth="1"/>
    <col min="6408" max="6408" width="8.88671875" style="208"/>
    <col min="6409" max="6409" width="13.5546875" style="208" bestFit="1" customWidth="1"/>
    <col min="6410" max="6410" width="12.44140625" style="208" bestFit="1" customWidth="1"/>
    <col min="6411" max="6411" width="23.44140625" style="208" bestFit="1" customWidth="1"/>
    <col min="6412" max="6412" width="15.77734375" style="208" customWidth="1"/>
    <col min="6413" max="6413" width="8.88671875" style="208"/>
    <col min="6414" max="6414" width="9" style="208" bestFit="1" customWidth="1"/>
    <col min="6415" max="6415" width="13.5546875" style="208" bestFit="1" customWidth="1"/>
    <col min="6416" max="6416" width="8.88671875" style="208"/>
    <col min="6417" max="6417" width="12.77734375" style="208" bestFit="1" customWidth="1"/>
    <col min="6418" max="6418" width="13.44140625" style="208" bestFit="1" customWidth="1"/>
    <col min="6419" max="6656" width="8.88671875" style="208"/>
    <col min="6657" max="6657" width="27.109375" style="208" bestFit="1" customWidth="1"/>
    <col min="6658" max="6658" width="12.33203125" style="208" bestFit="1" customWidth="1"/>
    <col min="6659" max="6659" width="16.88671875" style="208" bestFit="1" customWidth="1"/>
    <col min="6660" max="6660" width="13.77734375" style="208" bestFit="1" customWidth="1"/>
    <col min="6661" max="6661" width="12.44140625" style="208" bestFit="1" customWidth="1"/>
    <col min="6662" max="6662" width="17.21875" style="208" bestFit="1" customWidth="1"/>
    <col min="6663" max="6663" width="35.5546875" style="208" bestFit="1" customWidth="1"/>
    <col min="6664" max="6664" width="8.88671875" style="208"/>
    <col min="6665" max="6665" width="13.5546875" style="208" bestFit="1" customWidth="1"/>
    <col min="6666" max="6666" width="12.44140625" style="208" bestFit="1" customWidth="1"/>
    <col min="6667" max="6667" width="23.44140625" style="208" bestFit="1" customWidth="1"/>
    <col min="6668" max="6668" width="15.77734375" style="208" customWidth="1"/>
    <col min="6669" max="6669" width="8.88671875" style="208"/>
    <col min="6670" max="6670" width="9" style="208" bestFit="1" customWidth="1"/>
    <col min="6671" max="6671" width="13.5546875" style="208" bestFit="1" customWidth="1"/>
    <col min="6672" max="6672" width="8.88671875" style="208"/>
    <col min="6673" max="6673" width="12.77734375" style="208" bestFit="1" customWidth="1"/>
    <col min="6674" max="6674" width="13.44140625" style="208" bestFit="1" customWidth="1"/>
    <col min="6675" max="6912" width="8.88671875" style="208"/>
    <col min="6913" max="6913" width="27.109375" style="208" bestFit="1" customWidth="1"/>
    <col min="6914" max="6914" width="12.33203125" style="208" bestFit="1" customWidth="1"/>
    <col min="6915" max="6915" width="16.88671875" style="208" bestFit="1" customWidth="1"/>
    <col min="6916" max="6916" width="13.77734375" style="208" bestFit="1" customWidth="1"/>
    <col min="6917" max="6917" width="12.44140625" style="208" bestFit="1" customWidth="1"/>
    <col min="6918" max="6918" width="17.21875" style="208" bestFit="1" customWidth="1"/>
    <col min="6919" max="6919" width="35.5546875" style="208" bestFit="1" customWidth="1"/>
    <col min="6920" max="6920" width="8.88671875" style="208"/>
    <col min="6921" max="6921" width="13.5546875" style="208" bestFit="1" customWidth="1"/>
    <col min="6922" max="6922" width="12.44140625" style="208" bestFit="1" customWidth="1"/>
    <col min="6923" max="6923" width="23.44140625" style="208" bestFit="1" customWidth="1"/>
    <col min="6924" max="6924" width="15.77734375" style="208" customWidth="1"/>
    <col min="6925" max="6925" width="8.88671875" style="208"/>
    <col min="6926" max="6926" width="9" style="208" bestFit="1" customWidth="1"/>
    <col min="6927" max="6927" width="13.5546875" style="208" bestFit="1" customWidth="1"/>
    <col min="6928" max="6928" width="8.88671875" style="208"/>
    <col min="6929" max="6929" width="12.77734375" style="208" bestFit="1" customWidth="1"/>
    <col min="6930" max="6930" width="13.44140625" style="208" bestFit="1" customWidth="1"/>
    <col min="6931" max="7168" width="8.88671875" style="208"/>
    <col min="7169" max="7169" width="27.109375" style="208" bestFit="1" customWidth="1"/>
    <col min="7170" max="7170" width="12.33203125" style="208" bestFit="1" customWidth="1"/>
    <col min="7171" max="7171" width="16.88671875" style="208" bestFit="1" customWidth="1"/>
    <col min="7172" max="7172" width="13.77734375" style="208" bestFit="1" customWidth="1"/>
    <col min="7173" max="7173" width="12.44140625" style="208" bestFit="1" customWidth="1"/>
    <col min="7174" max="7174" width="17.21875" style="208" bestFit="1" customWidth="1"/>
    <col min="7175" max="7175" width="35.5546875" style="208" bestFit="1" customWidth="1"/>
    <col min="7176" max="7176" width="8.88671875" style="208"/>
    <col min="7177" max="7177" width="13.5546875" style="208" bestFit="1" customWidth="1"/>
    <col min="7178" max="7178" width="12.44140625" style="208" bestFit="1" customWidth="1"/>
    <col min="7179" max="7179" width="23.44140625" style="208" bestFit="1" customWidth="1"/>
    <col min="7180" max="7180" width="15.77734375" style="208" customWidth="1"/>
    <col min="7181" max="7181" width="8.88671875" style="208"/>
    <col min="7182" max="7182" width="9" style="208" bestFit="1" customWidth="1"/>
    <col min="7183" max="7183" width="13.5546875" style="208" bestFit="1" customWidth="1"/>
    <col min="7184" max="7184" width="8.88671875" style="208"/>
    <col min="7185" max="7185" width="12.77734375" style="208" bestFit="1" customWidth="1"/>
    <col min="7186" max="7186" width="13.44140625" style="208" bestFit="1" customWidth="1"/>
    <col min="7187" max="7424" width="8.88671875" style="208"/>
    <col min="7425" max="7425" width="27.109375" style="208" bestFit="1" customWidth="1"/>
    <col min="7426" max="7426" width="12.33203125" style="208" bestFit="1" customWidth="1"/>
    <col min="7427" max="7427" width="16.88671875" style="208" bestFit="1" customWidth="1"/>
    <col min="7428" max="7428" width="13.77734375" style="208" bestFit="1" customWidth="1"/>
    <col min="7429" max="7429" width="12.44140625" style="208" bestFit="1" customWidth="1"/>
    <col min="7430" max="7430" width="17.21875" style="208" bestFit="1" customWidth="1"/>
    <col min="7431" max="7431" width="35.5546875" style="208" bestFit="1" customWidth="1"/>
    <col min="7432" max="7432" width="8.88671875" style="208"/>
    <col min="7433" max="7433" width="13.5546875" style="208" bestFit="1" customWidth="1"/>
    <col min="7434" max="7434" width="12.44140625" style="208" bestFit="1" customWidth="1"/>
    <col min="7435" max="7435" width="23.44140625" style="208" bestFit="1" customWidth="1"/>
    <col min="7436" max="7436" width="15.77734375" style="208" customWidth="1"/>
    <col min="7437" max="7437" width="8.88671875" style="208"/>
    <col min="7438" max="7438" width="9" style="208" bestFit="1" customWidth="1"/>
    <col min="7439" max="7439" width="13.5546875" style="208" bestFit="1" customWidth="1"/>
    <col min="7440" max="7440" width="8.88671875" style="208"/>
    <col min="7441" max="7441" width="12.77734375" style="208" bestFit="1" customWidth="1"/>
    <col min="7442" max="7442" width="13.44140625" style="208" bestFit="1" customWidth="1"/>
    <col min="7443" max="7680" width="8.88671875" style="208"/>
    <col min="7681" max="7681" width="27.109375" style="208" bestFit="1" customWidth="1"/>
    <col min="7682" max="7682" width="12.33203125" style="208" bestFit="1" customWidth="1"/>
    <col min="7683" max="7683" width="16.88671875" style="208" bestFit="1" customWidth="1"/>
    <col min="7684" max="7684" width="13.77734375" style="208" bestFit="1" customWidth="1"/>
    <col min="7685" max="7685" width="12.44140625" style="208" bestFit="1" customWidth="1"/>
    <col min="7686" max="7686" width="17.21875" style="208" bestFit="1" customWidth="1"/>
    <col min="7687" max="7687" width="35.5546875" style="208" bestFit="1" customWidth="1"/>
    <col min="7688" max="7688" width="8.88671875" style="208"/>
    <col min="7689" max="7689" width="13.5546875" style="208" bestFit="1" customWidth="1"/>
    <col min="7690" max="7690" width="12.44140625" style="208" bestFit="1" customWidth="1"/>
    <col min="7691" max="7691" width="23.44140625" style="208" bestFit="1" customWidth="1"/>
    <col min="7692" max="7692" width="15.77734375" style="208" customWidth="1"/>
    <col min="7693" max="7693" width="8.88671875" style="208"/>
    <col min="7694" max="7694" width="9" style="208" bestFit="1" customWidth="1"/>
    <col min="7695" max="7695" width="13.5546875" style="208" bestFit="1" customWidth="1"/>
    <col min="7696" max="7696" width="8.88671875" style="208"/>
    <col min="7697" max="7697" width="12.77734375" style="208" bestFit="1" customWidth="1"/>
    <col min="7698" max="7698" width="13.44140625" style="208" bestFit="1" customWidth="1"/>
    <col min="7699" max="7936" width="8.88671875" style="208"/>
    <col min="7937" max="7937" width="27.109375" style="208" bestFit="1" customWidth="1"/>
    <col min="7938" max="7938" width="12.33203125" style="208" bestFit="1" customWidth="1"/>
    <col min="7939" max="7939" width="16.88671875" style="208" bestFit="1" customWidth="1"/>
    <col min="7940" max="7940" width="13.77734375" style="208" bestFit="1" customWidth="1"/>
    <col min="7941" max="7941" width="12.44140625" style="208" bestFit="1" customWidth="1"/>
    <col min="7942" max="7942" width="17.21875" style="208" bestFit="1" customWidth="1"/>
    <col min="7943" max="7943" width="35.5546875" style="208" bestFit="1" customWidth="1"/>
    <col min="7944" max="7944" width="8.88671875" style="208"/>
    <col min="7945" max="7945" width="13.5546875" style="208" bestFit="1" customWidth="1"/>
    <col min="7946" max="7946" width="12.44140625" style="208" bestFit="1" customWidth="1"/>
    <col min="7947" max="7947" width="23.44140625" style="208" bestFit="1" customWidth="1"/>
    <col min="7948" max="7948" width="15.77734375" style="208" customWidth="1"/>
    <col min="7949" max="7949" width="8.88671875" style="208"/>
    <col min="7950" max="7950" width="9" style="208" bestFit="1" customWidth="1"/>
    <col min="7951" max="7951" width="13.5546875" style="208" bestFit="1" customWidth="1"/>
    <col min="7952" max="7952" width="8.88671875" style="208"/>
    <col min="7953" max="7953" width="12.77734375" style="208" bestFit="1" customWidth="1"/>
    <col min="7954" max="7954" width="13.44140625" style="208" bestFit="1" customWidth="1"/>
    <col min="7955" max="8192" width="8.88671875" style="208"/>
    <col min="8193" max="8193" width="27.109375" style="208" bestFit="1" customWidth="1"/>
    <col min="8194" max="8194" width="12.33203125" style="208" bestFit="1" customWidth="1"/>
    <col min="8195" max="8195" width="16.88671875" style="208" bestFit="1" customWidth="1"/>
    <col min="8196" max="8196" width="13.77734375" style="208" bestFit="1" customWidth="1"/>
    <col min="8197" max="8197" width="12.44140625" style="208" bestFit="1" customWidth="1"/>
    <col min="8198" max="8198" width="17.21875" style="208" bestFit="1" customWidth="1"/>
    <col min="8199" max="8199" width="35.5546875" style="208" bestFit="1" customWidth="1"/>
    <col min="8200" max="8200" width="8.88671875" style="208"/>
    <col min="8201" max="8201" width="13.5546875" style="208" bestFit="1" customWidth="1"/>
    <col min="8202" max="8202" width="12.44140625" style="208" bestFit="1" customWidth="1"/>
    <col min="8203" max="8203" width="23.44140625" style="208" bestFit="1" customWidth="1"/>
    <col min="8204" max="8204" width="15.77734375" style="208" customWidth="1"/>
    <col min="8205" max="8205" width="8.88671875" style="208"/>
    <col min="8206" max="8206" width="9" style="208" bestFit="1" customWidth="1"/>
    <col min="8207" max="8207" width="13.5546875" style="208" bestFit="1" customWidth="1"/>
    <col min="8208" max="8208" width="8.88671875" style="208"/>
    <col min="8209" max="8209" width="12.77734375" style="208" bestFit="1" customWidth="1"/>
    <col min="8210" max="8210" width="13.44140625" style="208" bestFit="1" customWidth="1"/>
    <col min="8211" max="8448" width="8.88671875" style="208"/>
    <col min="8449" max="8449" width="27.109375" style="208" bestFit="1" customWidth="1"/>
    <col min="8450" max="8450" width="12.33203125" style="208" bestFit="1" customWidth="1"/>
    <col min="8451" max="8451" width="16.88671875" style="208" bestFit="1" customWidth="1"/>
    <col min="8452" max="8452" width="13.77734375" style="208" bestFit="1" customWidth="1"/>
    <col min="8453" max="8453" width="12.44140625" style="208" bestFit="1" customWidth="1"/>
    <col min="8454" max="8454" width="17.21875" style="208" bestFit="1" customWidth="1"/>
    <col min="8455" max="8455" width="35.5546875" style="208" bestFit="1" customWidth="1"/>
    <col min="8456" max="8456" width="8.88671875" style="208"/>
    <col min="8457" max="8457" width="13.5546875" style="208" bestFit="1" customWidth="1"/>
    <col min="8458" max="8458" width="12.44140625" style="208" bestFit="1" customWidth="1"/>
    <col min="8459" max="8459" width="23.44140625" style="208" bestFit="1" customWidth="1"/>
    <col min="8460" max="8460" width="15.77734375" style="208" customWidth="1"/>
    <col min="8461" max="8461" width="8.88671875" style="208"/>
    <col min="8462" max="8462" width="9" style="208" bestFit="1" customWidth="1"/>
    <col min="8463" max="8463" width="13.5546875" style="208" bestFit="1" customWidth="1"/>
    <col min="8464" max="8464" width="8.88671875" style="208"/>
    <col min="8465" max="8465" width="12.77734375" style="208" bestFit="1" customWidth="1"/>
    <col min="8466" max="8466" width="13.44140625" style="208" bestFit="1" customWidth="1"/>
    <col min="8467" max="8704" width="8.88671875" style="208"/>
    <col min="8705" max="8705" width="27.109375" style="208" bestFit="1" customWidth="1"/>
    <col min="8706" max="8706" width="12.33203125" style="208" bestFit="1" customWidth="1"/>
    <col min="8707" max="8707" width="16.88671875" style="208" bestFit="1" customWidth="1"/>
    <col min="8708" max="8708" width="13.77734375" style="208" bestFit="1" customWidth="1"/>
    <col min="8709" max="8709" width="12.44140625" style="208" bestFit="1" customWidth="1"/>
    <col min="8710" max="8710" width="17.21875" style="208" bestFit="1" customWidth="1"/>
    <col min="8711" max="8711" width="35.5546875" style="208" bestFit="1" customWidth="1"/>
    <col min="8712" max="8712" width="8.88671875" style="208"/>
    <col min="8713" max="8713" width="13.5546875" style="208" bestFit="1" customWidth="1"/>
    <col min="8714" max="8714" width="12.44140625" style="208" bestFit="1" customWidth="1"/>
    <col min="8715" max="8715" width="23.44140625" style="208" bestFit="1" customWidth="1"/>
    <col min="8716" max="8716" width="15.77734375" style="208" customWidth="1"/>
    <col min="8717" max="8717" width="8.88671875" style="208"/>
    <col min="8718" max="8718" width="9" style="208" bestFit="1" customWidth="1"/>
    <col min="8719" max="8719" width="13.5546875" style="208" bestFit="1" customWidth="1"/>
    <col min="8720" max="8720" width="8.88671875" style="208"/>
    <col min="8721" max="8721" width="12.77734375" style="208" bestFit="1" customWidth="1"/>
    <col min="8722" max="8722" width="13.44140625" style="208" bestFit="1" customWidth="1"/>
    <col min="8723" max="8960" width="8.88671875" style="208"/>
    <col min="8961" max="8961" width="27.109375" style="208" bestFit="1" customWidth="1"/>
    <col min="8962" max="8962" width="12.33203125" style="208" bestFit="1" customWidth="1"/>
    <col min="8963" max="8963" width="16.88671875" style="208" bestFit="1" customWidth="1"/>
    <col min="8964" max="8964" width="13.77734375" style="208" bestFit="1" customWidth="1"/>
    <col min="8965" max="8965" width="12.44140625" style="208" bestFit="1" customWidth="1"/>
    <col min="8966" max="8966" width="17.21875" style="208" bestFit="1" customWidth="1"/>
    <col min="8967" max="8967" width="35.5546875" style="208" bestFit="1" customWidth="1"/>
    <col min="8968" max="8968" width="8.88671875" style="208"/>
    <col min="8969" max="8969" width="13.5546875" style="208" bestFit="1" customWidth="1"/>
    <col min="8970" max="8970" width="12.44140625" style="208" bestFit="1" customWidth="1"/>
    <col min="8971" max="8971" width="23.44140625" style="208" bestFit="1" customWidth="1"/>
    <col min="8972" max="8972" width="15.77734375" style="208" customWidth="1"/>
    <col min="8973" max="8973" width="8.88671875" style="208"/>
    <col min="8974" max="8974" width="9" style="208" bestFit="1" customWidth="1"/>
    <col min="8975" max="8975" width="13.5546875" style="208" bestFit="1" customWidth="1"/>
    <col min="8976" max="8976" width="8.88671875" style="208"/>
    <col min="8977" max="8977" width="12.77734375" style="208" bestFit="1" customWidth="1"/>
    <col min="8978" max="8978" width="13.44140625" style="208" bestFit="1" customWidth="1"/>
    <col min="8979" max="9216" width="8.88671875" style="208"/>
    <col min="9217" max="9217" width="27.109375" style="208" bestFit="1" customWidth="1"/>
    <col min="9218" max="9218" width="12.33203125" style="208" bestFit="1" customWidth="1"/>
    <col min="9219" max="9219" width="16.88671875" style="208" bestFit="1" customWidth="1"/>
    <col min="9220" max="9220" width="13.77734375" style="208" bestFit="1" customWidth="1"/>
    <col min="9221" max="9221" width="12.44140625" style="208" bestFit="1" customWidth="1"/>
    <col min="9222" max="9222" width="17.21875" style="208" bestFit="1" customWidth="1"/>
    <col min="9223" max="9223" width="35.5546875" style="208" bestFit="1" customWidth="1"/>
    <col min="9224" max="9224" width="8.88671875" style="208"/>
    <col min="9225" max="9225" width="13.5546875" style="208" bestFit="1" customWidth="1"/>
    <col min="9226" max="9226" width="12.44140625" style="208" bestFit="1" customWidth="1"/>
    <col min="9227" max="9227" width="23.44140625" style="208" bestFit="1" customWidth="1"/>
    <col min="9228" max="9228" width="15.77734375" style="208" customWidth="1"/>
    <col min="9229" max="9229" width="8.88671875" style="208"/>
    <col min="9230" max="9230" width="9" style="208" bestFit="1" customWidth="1"/>
    <col min="9231" max="9231" width="13.5546875" style="208" bestFit="1" customWidth="1"/>
    <col min="9232" max="9232" width="8.88671875" style="208"/>
    <col min="9233" max="9233" width="12.77734375" style="208" bestFit="1" customWidth="1"/>
    <col min="9234" max="9234" width="13.44140625" style="208" bestFit="1" customWidth="1"/>
    <col min="9235" max="9472" width="8.88671875" style="208"/>
    <col min="9473" max="9473" width="27.109375" style="208" bestFit="1" customWidth="1"/>
    <col min="9474" max="9474" width="12.33203125" style="208" bestFit="1" customWidth="1"/>
    <col min="9475" max="9475" width="16.88671875" style="208" bestFit="1" customWidth="1"/>
    <col min="9476" max="9476" width="13.77734375" style="208" bestFit="1" customWidth="1"/>
    <col min="9477" max="9477" width="12.44140625" style="208" bestFit="1" customWidth="1"/>
    <col min="9478" max="9478" width="17.21875" style="208" bestFit="1" customWidth="1"/>
    <col min="9479" max="9479" width="35.5546875" style="208" bestFit="1" customWidth="1"/>
    <col min="9480" max="9480" width="8.88671875" style="208"/>
    <col min="9481" max="9481" width="13.5546875" style="208" bestFit="1" customWidth="1"/>
    <col min="9482" max="9482" width="12.44140625" style="208" bestFit="1" customWidth="1"/>
    <col min="9483" max="9483" width="23.44140625" style="208" bestFit="1" customWidth="1"/>
    <col min="9484" max="9484" width="15.77734375" style="208" customWidth="1"/>
    <col min="9485" max="9485" width="8.88671875" style="208"/>
    <col min="9486" max="9486" width="9" style="208" bestFit="1" customWidth="1"/>
    <col min="9487" max="9487" width="13.5546875" style="208" bestFit="1" customWidth="1"/>
    <col min="9488" max="9488" width="8.88671875" style="208"/>
    <col min="9489" max="9489" width="12.77734375" style="208" bestFit="1" customWidth="1"/>
    <col min="9490" max="9490" width="13.44140625" style="208" bestFit="1" customWidth="1"/>
    <col min="9491" max="9728" width="8.88671875" style="208"/>
    <col min="9729" max="9729" width="27.109375" style="208" bestFit="1" customWidth="1"/>
    <col min="9730" max="9730" width="12.33203125" style="208" bestFit="1" customWidth="1"/>
    <col min="9731" max="9731" width="16.88671875" style="208" bestFit="1" customWidth="1"/>
    <col min="9732" max="9732" width="13.77734375" style="208" bestFit="1" customWidth="1"/>
    <col min="9733" max="9733" width="12.44140625" style="208" bestFit="1" customWidth="1"/>
    <col min="9734" max="9734" width="17.21875" style="208" bestFit="1" customWidth="1"/>
    <col min="9735" max="9735" width="35.5546875" style="208" bestFit="1" customWidth="1"/>
    <col min="9736" max="9736" width="8.88671875" style="208"/>
    <col min="9737" max="9737" width="13.5546875" style="208" bestFit="1" customWidth="1"/>
    <col min="9738" max="9738" width="12.44140625" style="208" bestFit="1" customWidth="1"/>
    <col min="9739" max="9739" width="23.44140625" style="208" bestFit="1" customWidth="1"/>
    <col min="9740" max="9740" width="15.77734375" style="208" customWidth="1"/>
    <col min="9741" max="9741" width="8.88671875" style="208"/>
    <col min="9742" max="9742" width="9" style="208" bestFit="1" customWidth="1"/>
    <col min="9743" max="9743" width="13.5546875" style="208" bestFit="1" customWidth="1"/>
    <col min="9744" max="9744" width="8.88671875" style="208"/>
    <col min="9745" max="9745" width="12.77734375" style="208" bestFit="1" customWidth="1"/>
    <col min="9746" max="9746" width="13.44140625" style="208" bestFit="1" customWidth="1"/>
    <col min="9747" max="9984" width="8.88671875" style="208"/>
    <col min="9985" max="9985" width="27.109375" style="208" bestFit="1" customWidth="1"/>
    <col min="9986" max="9986" width="12.33203125" style="208" bestFit="1" customWidth="1"/>
    <col min="9987" max="9987" width="16.88671875" style="208" bestFit="1" customWidth="1"/>
    <col min="9988" max="9988" width="13.77734375" style="208" bestFit="1" customWidth="1"/>
    <col min="9989" max="9989" width="12.44140625" style="208" bestFit="1" customWidth="1"/>
    <col min="9990" max="9990" width="17.21875" style="208" bestFit="1" customWidth="1"/>
    <col min="9991" max="9991" width="35.5546875" style="208" bestFit="1" customWidth="1"/>
    <col min="9992" max="9992" width="8.88671875" style="208"/>
    <col min="9993" max="9993" width="13.5546875" style="208" bestFit="1" customWidth="1"/>
    <col min="9994" max="9994" width="12.44140625" style="208" bestFit="1" customWidth="1"/>
    <col min="9995" max="9995" width="23.44140625" style="208" bestFit="1" customWidth="1"/>
    <col min="9996" max="9996" width="15.77734375" style="208" customWidth="1"/>
    <col min="9997" max="9997" width="8.88671875" style="208"/>
    <col min="9998" max="9998" width="9" style="208" bestFit="1" customWidth="1"/>
    <col min="9999" max="9999" width="13.5546875" style="208" bestFit="1" customWidth="1"/>
    <col min="10000" max="10000" width="8.88671875" style="208"/>
    <col min="10001" max="10001" width="12.77734375" style="208" bestFit="1" customWidth="1"/>
    <col min="10002" max="10002" width="13.44140625" style="208" bestFit="1" customWidth="1"/>
    <col min="10003" max="10240" width="8.88671875" style="208"/>
    <col min="10241" max="10241" width="27.109375" style="208" bestFit="1" customWidth="1"/>
    <col min="10242" max="10242" width="12.33203125" style="208" bestFit="1" customWidth="1"/>
    <col min="10243" max="10243" width="16.88671875" style="208" bestFit="1" customWidth="1"/>
    <col min="10244" max="10244" width="13.77734375" style="208" bestFit="1" customWidth="1"/>
    <col min="10245" max="10245" width="12.44140625" style="208" bestFit="1" customWidth="1"/>
    <col min="10246" max="10246" width="17.21875" style="208" bestFit="1" customWidth="1"/>
    <col min="10247" max="10247" width="35.5546875" style="208" bestFit="1" customWidth="1"/>
    <col min="10248" max="10248" width="8.88671875" style="208"/>
    <col min="10249" max="10249" width="13.5546875" style="208" bestFit="1" customWidth="1"/>
    <col min="10250" max="10250" width="12.44140625" style="208" bestFit="1" customWidth="1"/>
    <col min="10251" max="10251" width="23.44140625" style="208" bestFit="1" customWidth="1"/>
    <col min="10252" max="10252" width="15.77734375" style="208" customWidth="1"/>
    <col min="10253" max="10253" width="8.88671875" style="208"/>
    <col min="10254" max="10254" width="9" style="208" bestFit="1" customWidth="1"/>
    <col min="10255" max="10255" width="13.5546875" style="208" bestFit="1" customWidth="1"/>
    <col min="10256" max="10256" width="8.88671875" style="208"/>
    <col min="10257" max="10257" width="12.77734375" style="208" bestFit="1" customWidth="1"/>
    <col min="10258" max="10258" width="13.44140625" style="208" bestFit="1" customWidth="1"/>
    <col min="10259" max="10496" width="8.88671875" style="208"/>
    <col min="10497" max="10497" width="27.109375" style="208" bestFit="1" customWidth="1"/>
    <col min="10498" max="10498" width="12.33203125" style="208" bestFit="1" customWidth="1"/>
    <col min="10499" max="10499" width="16.88671875" style="208" bestFit="1" customWidth="1"/>
    <col min="10500" max="10500" width="13.77734375" style="208" bestFit="1" customWidth="1"/>
    <col min="10501" max="10501" width="12.44140625" style="208" bestFit="1" customWidth="1"/>
    <col min="10502" max="10502" width="17.21875" style="208" bestFit="1" customWidth="1"/>
    <col min="10503" max="10503" width="35.5546875" style="208" bestFit="1" customWidth="1"/>
    <col min="10504" max="10504" width="8.88671875" style="208"/>
    <col min="10505" max="10505" width="13.5546875" style="208" bestFit="1" customWidth="1"/>
    <col min="10506" max="10506" width="12.44140625" style="208" bestFit="1" customWidth="1"/>
    <col min="10507" max="10507" width="23.44140625" style="208" bestFit="1" customWidth="1"/>
    <col min="10508" max="10508" width="15.77734375" style="208" customWidth="1"/>
    <col min="10509" max="10509" width="8.88671875" style="208"/>
    <col min="10510" max="10510" width="9" style="208" bestFit="1" customWidth="1"/>
    <col min="10511" max="10511" width="13.5546875" style="208" bestFit="1" customWidth="1"/>
    <col min="10512" max="10512" width="8.88671875" style="208"/>
    <col min="10513" max="10513" width="12.77734375" style="208" bestFit="1" customWidth="1"/>
    <col min="10514" max="10514" width="13.44140625" style="208" bestFit="1" customWidth="1"/>
    <col min="10515" max="10752" width="8.88671875" style="208"/>
    <col min="10753" max="10753" width="27.109375" style="208" bestFit="1" customWidth="1"/>
    <col min="10754" max="10754" width="12.33203125" style="208" bestFit="1" customWidth="1"/>
    <col min="10755" max="10755" width="16.88671875" style="208" bestFit="1" customWidth="1"/>
    <col min="10756" max="10756" width="13.77734375" style="208" bestFit="1" customWidth="1"/>
    <col min="10757" max="10757" width="12.44140625" style="208" bestFit="1" customWidth="1"/>
    <col min="10758" max="10758" width="17.21875" style="208" bestFit="1" customWidth="1"/>
    <col min="10759" max="10759" width="35.5546875" style="208" bestFit="1" customWidth="1"/>
    <col min="10760" max="10760" width="8.88671875" style="208"/>
    <col min="10761" max="10761" width="13.5546875" style="208" bestFit="1" customWidth="1"/>
    <col min="10762" max="10762" width="12.44140625" style="208" bestFit="1" customWidth="1"/>
    <col min="10763" max="10763" width="23.44140625" style="208" bestFit="1" customWidth="1"/>
    <col min="10764" max="10764" width="15.77734375" style="208" customWidth="1"/>
    <col min="10765" max="10765" width="8.88671875" style="208"/>
    <col min="10766" max="10766" width="9" style="208" bestFit="1" customWidth="1"/>
    <col min="10767" max="10767" width="13.5546875" style="208" bestFit="1" customWidth="1"/>
    <col min="10768" max="10768" width="8.88671875" style="208"/>
    <col min="10769" max="10769" width="12.77734375" style="208" bestFit="1" customWidth="1"/>
    <col min="10770" max="10770" width="13.44140625" style="208" bestFit="1" customWidth="1"/>
    <col min="10771" max="11008" width="8.88671875" style="208"/>
    <col min="11009" max="11009" width="27.109375" style="208" bestFit="1" customWidth="1"/>
    <col min="11010" max="11010" width="12.33203125" style="208" bestFit="1" customWidth="1"/>
    <col min="11011" max="11011" width="16.88671875" style="208" bestFit="1" customWidth="1"/>
    <col min="11012" max="11012" width="13.77734375" style="208" bestFit="1" customWidth="1"/>
    <col min="11013" max="11013" width="12.44140625" style="208" bestFit="1" customWidth="1"/>
    <col min="11014" max="11014" width="17.21875" style="208" bestFit="1" customWidth="1"/>
    <col min="11015" max="11015" width="35.5546875" style="208" bestFit="1" customWidth="1"/>
    <col min="11016" max="11016" width="8.88671875" style="208"/>
    <col min="11017" max="11017" width="13.5546875" style="208" bestFit="1" customWidth="1"/>
    <col min="11018" max="11018" width="12.44140625" style="208" bestFit="1" customWidth="1"/>
    <col min="11019" max="11019" width="23.44140625" style="208" bestFit="1" customWidth="1"/>
    <col min="11020" max="11020" width="15.77734375" style="208" customWidth="1"/>
    <col min="11021" max="11021" width="8.88671875" style="208"/>
    <col min="11022" max="11022" width="9" style="208" bestFit="1" customWidth="1"/>
    <col min="11023" max="11023" width="13.5546875" style="208" bestFit="1" customWidth="1"/>
    <col min="11024" max="11024" width="8.88671875" style="208"/>
    <col min="11025" max="11025" width="12.77734375" style="208" bestFit="1" customWidth="1"/>
    <col min="11026" max="11026" width="13.44140625" style="208" bestFit="1" customWidth="1"/>
    <col min="11027" max="11264" width="8.88671875" style="208"/>
    <col min="11265" max="11265" width="27.109375" style="208" bestFit="1" customWidth="1"/>
    <col min="11266" max="11266" width="12.33203125" style="208" bestFit="1" customWidth="1"/>
    <col min="11267" max="11267" width="16.88671875" style="208" bestFit="1" customWidth="1"/>
    <col min="11268" max="11268" width="13.77734375" style="208" bestFit="1" customWidth="1"/>
    <col min="11269" max="11269" width="12.44140625" style="208" bestFit="1" customWidth="1"/>
    <col min="11270" max="11270" width="17.21875" style="208" bestFit="1" customWidth="1"/>
    <col min="11271" max="11271" width="35.5546875" style="208" bestFit="1" customWidth="1"/>
    <col min="11272" max="11272" width="8.88671875" style="208"/>
    <col min="11273" max="11273" width="13.5546875" style="208" bestFit="1" customWidth="1"/>
    <col min="11274" max="11274" width="12.44140625" style="208" bestFit="1" customWidth="1"/>
    <col min="11275" max="11275" width="23.44140625" style="208" bestFit="1" customWidth="1"/>
    <col min="11276" max="11276" width="15.77734375" style="208" customWidth="1"/>
    <col min="11277" max="11277" width="8.88671875" style="208"/>
    <col min="11278" max="11278" width="9" style="208" bestFit="1" customWidth="1"/>
    <col min="11279" max="11279" width="13.5546875" style="208" bestFit="1" customWidth="1"/>
    <col min="11280" max="11280" width="8.88671875" style="208"/>
    <col min="11281" max="11281" width="12.77734375" style="208" bestFit="1" customWidth="1"/>
    <col min="11282" max="11282" width="13.44140625" style="208" bestFit="1" customWidth="1"/>
    <col min="11283" max="11520" width="8.88671875" style="208"/>
    <col min="11521" max="11521" width="27.109375" style="208" bestFit="1" customWidth="1"/>
    <col min="11522" max="11522" width="12.33203125" style="208" bestFit="1" customWidth="1"/>
    <col min="11523" max="11523" width="16.88671875" style="208" bestFit="1" customWidth="1"/>
    <col min="11524" max="11524" width="13.77734375" style="208" bestFit="1" customWidth="1"/>
    <col min="11525" max="11525" width="12.44140625" style="208" bestFit="1" customWidth="1"/>
    <col min="11526" max="11526" width="17.21875" style="208" bestFit="1" customWidth="1"/>
    <col min="11527" max="11527" width="35.5546875" style="208" bestFit="1" customWidth="1"/>
    <col min="11528" max="11528" width="8.88671875" style="208"/>
    <col min="11529" max="11529" width="13.5546875" style="208" bestFit="1" customWidth="1"/>
    <col min="11530" max="11530" width="12.44140625" style="208" bestFit="1" customWidth="1"/>
    <col min="11531" max="11531" width="23.44140625" style="208" bestFit="1" customWidth="1"/>
    <col min="11532" max="11532" width="15.77734375" style="208" customWidth="1"/>
    <col min="11533" max="11533" width="8.88671875" style="208"/>
    <col min="11534" max="11534" width="9" style="208" bestFit="1" customWidth="1"/>
    <col min="11535" max="11535" width="13.5546875" style="208" bestFit="1" customWidth="1"/>
    <col min="11536" max="11536" width="8.88671875" style="208"/>
    <col min="11537" max="11537" width="12.77734375" style="208" bestFit="1" customWidth="1"/>
    <col min="11538" max="11538" width="13.44140625" style="208" bestFit="1" customWidth="1"/>
    <col min="11539" max="11776" width="8.88671875" style="208"/>
    <col min="11777" max="11777" width="27.109375" style="208" bestFit="1" customWidth="1"/>
    <col min="11778" max="11778" width="12.33203125" style="208" bestFit="1" customWidth="1"/>
    <col min="11779" max="11779" width="16.88671875" style="208" bestFit="1" customWidth="1"/>
    <col min="11780" max="11780" width="13.77734375" style="208" bestFit="1" customWidth="1"/>
    <col min="11781" max="11781" width="12.44140625" style="208" bestFit="1" customWidth="1"/>
    <col min="11782" max="11782" width="17.21875" style="208" bestFit="1" customWidth="1"/>
    <col min="11783" max="11783" width="35.5546875" style="208" bestFit="1" customWidth="1"/>
    <col min="11784" max="11784" width="8.88671875" style="208"/>
    <col min="11785" max="11785" width="13.5546875" style="208" bestFit="1" customWidth="1"/>
    <col min="11786" max="11786" width="12.44140625" style="208" bestFit="1" customWidth="1"/>
    <col min="11787" max="11787" width="23.44140625" style="208" bestFit="1" customWidth="1"/>
    <col min="11788" max="11788" width="15.77734375" style="208" customWidth="1"/>
    <col min="11789" max="11789" width="8.88671875" style="208"/>
    <col min="11790" max="11790" width="9" style="208" bestFit="1" customWidth="1"/>
    <col min="11791" max="11791" width="13.5546875" style="208" bestFit="1" customWidth="1"/>
    <col min="11792" max="11792" width="8.88671875" style="208"/>
    <col min="11793" max="11793" width="12.77734375" style="208" bestFit="1" customWidth="1"/>
    <col min="11794" max="11794" width="13.44140625" style="208" bestFit="1" customWidth="1"/>
    <col min="11795" max="12032" width="8.88671875" style="208"/>
    <col min="12033" max="12033" width="27.109375" style="208" bestFit="1" customWidth="1"/>
    <col min="12034" max="12034" width="12.33203125" style="208" bestFit="1" customWidth="1"/>
    <col min="12035" max="12035" width="16.88671875" style="208" bestFit="1" customWidth="1"/>
    <col min="12036" max="12036" width="13.77734375" style="208" bestFit="1" customWidth="1"/>
    <col min="12037" max="12037" width="12.44140625" style="208" bestFit="1" customWidth="1"/>
    <col min="12038" max="12038" width="17.21875" style="208" bestFit="1" customWidth="1"/>
    <col min="12039" max="12039" width="35.5546875" style="208" bestFit="1" customWidth="1"/>
    <col min="12040" max="12040" width="8.88671875" style="208"/>
    <col min="12041" max="12041" width="13.5546875" style="208" bestFit="1" customWidth="1"/>
    <col min="12042" max="12042" width="12.44140625" style="208" bestFit="1" customWidth="1"/>
    <col min="12043" max="12043" width="23.44140625" style="208" bestFit="1" customWidth="1"/>
    <col min="12044" max="12044" width="15.77734375" style="208" customWidth="1"/>
    <col min="12045" max="12045" width="8.88671875" style="208"/>
    <col min="12046" max="12046" width="9" style="208" bestFit="1" customWidth="1"/>
    <col min="12047" max="12047" width="13.5546875" style="208" bestFit="1" customWidth="1"/>
    <col min="12048" max="12048" width="8.88671875" style="208"/>
    <col min="12049" max="12049" width="12.77734375" style="208" bestFit="1" customWidth="1"/>
    <col min="12050" max="12050" width="13.44140625" style="208" bestFit="1" customWidth="1"/>
    <col min="12051" max="12288" width="8.88671875" style="208"/>
    <col min="12289" max="12289" width="27.109375" style="208" bestFit="1" customWidth="1"/>
    <col min="12290" max="12290" width="12.33203125" style="208" bestFit="1" customWidth="1"/>
    <col min="12291" max="12291" width="16.88671875" style="208" bestFit="1" customWidth="1"/>
    <col min="12292" max="12292" width="13.77734375" style="208" bestFit="1" customWidth="1"/>
    <col min="12293" max="12293" width="12.44140625" style="208" bestFit="1" customWidth="1"/>
    <col min="12294" max="12294" width="17.21875" style="208" bestFit="1" customWidth="1"/>
    <col min="12295" max="12295" width="35.5546875" style="208" bestFit="1" customWidth="1"/>
    <col min="12296" max="12296" width="8.88671875" style="208"/>
    <col min="12297" max="12297" width="13.5546875" style="208" bestFit="1" customWidth="1"/>
    <col min="12298" max="12298" width="12.44140625" style="208" bestFit="1" customWidth="1"/>
    <col min="12299" max="12299" width="23.44140625" style="208" bestFit="1" customWidth="1"/>
    <col min="12300" max="12300" width="15.77734375" style="208" customWidth="1"/>
    <col min="12301" max="12301" width="8.88671875" style="208"/>
    <col min="12302" max="12302" width="9" style="208" bestFit="1" customWidth="1"/>
    <col min="12303" max="12303" width="13.5546875" style="208" bestFit="1" customWidth="1"/>
    <col min="12304" max="12304" width="8.88671875" style="208"/>
    <col min="12305" max="12305" width="12.77734375" style="208" bestFit="1" customWidth="1"/>
    <col min="12306" max="12306" width="13.44140625" style="208" bestFit="1" customWidth="1"/>
    <col min="12307" max="12544" width="8.88671875" style="208"/>
    <col min="12545" max="12545" width="27.109375" style="208" bestFit="1" customWidth="1"/>
    <col min="12546" max="12546" width="12.33203125" style="208" bestFit="1" customWidth="1"/>
    <col min="12547" max="12547" width="16.88671875" style="208" bestFit="1" customWidth="1"/>
    <col min="12548" max="12548" width="13.77734375" style="208" bestFit="1" customWidth="1"/>
    <col min="12549" max="12549" width="12.44140625" style="208" bestFit="1" customWidth="1"/>
    <col min="12550" max="12550" width="17.21875" style="208" bestFit="1" customWidth="1"/>
    <col min="12551" max="12551" width="35.5546875" style="208" bestFit="1" customWidth="1"/>
    <col min="12552" max="12552" width="8.88671875" style="208"/>
    <col min="12553" max="12553" width="13.5546875" style="208" bestFit="1" customWidth="1"/>
    <col min="12554" max="12554" width="12.44140625" style="208" bestFit="1" customWidth="1"/>
    <col min="12555" max="12555" width="23.44140625" style="208" bestFit="1" customWidth="1"/>
    <col min="12556" max="12556" width="15.77734375" style="208" customWidth="1"/>
    <col min="12557" max="12557" width="8.88671875" style="208"/>
    <col min="12558" max="12558" width="9" style="208" bestFit="1" customWidth="1"/>
    <col min="12559" max="12559" width="13.5546875" style="208" bestFit="1" customWidth="1"/>
    <col min="12560" max="12560" width="8.88671875" style="208"/>
    <col min="12561" max="12561" width="12.77734375" style="208" bestFit="1" customWidth="1"/>
    <col min="12562" max="12562" width="13.44140625" style="208" bestFit="1" customWidth="1"/>
    <col min="12563" max="12800" width="8.88671875" style="208"/>
    <col min="12801" max="12801" width="27.109375" style="208" bestFit="1" customWidth="1"/>
    <col min="12802" max="12802" width="12.33203125" style="208" bestFit="1" customWidth="1"/>
    <col min="12803" max="12803" width="16.88671875" style="208" bestFit="1" customWidth="1"/>
    <col min="12804" max="12804" width="13.77734375" style="208" bestFit="1" customWidth="1"/>
    <col min="12805" max="12805" width="12.44140625" style="208" bestFit="1" customWidth="1"/>
    <col min="12806" max="12806" width="17.21875" style="208" bestFit="1" customWidth="1"/>
    <col min="12807" max="12807" width="35.5546875" style="208" bestFit="1" customWidth="1"/>
    <col min="12808" max="12808" width="8.88671875" style="208"/>
    <col min="12809" max="12809" width="13.5546875" style="208" bestFit="1" customWidth="1"/>
    <col min="12810" max="12810" width="12.44140625" style="208" bestFit="1" customWidth="1"/>
    <col min="12811" max="12811" width="23.44140625" style="208" bestFit="1" customWidth="1"/>
    <col min="12812" max="12812" width="15.77734375" style="208" customWidth="1"/>
    <col min="12813" max="12813" width="8.88671875" style="208"/>
    <col min="12814" max="12814" width="9" style="208" bestFit="1" customWidth="1"/>
    <col min="12815" max="12815" width="13.5546875" style="208" bestFit="1" customWidth="1"/>
    <col min="12816" max="12816" width="8.88671875" style="208"/>
    <col min="12817" max="12817" width="12.77734375" style="208" bestFit="1" customWidth="1"/>
    <col min="12818" max="12818" width="13.44140625" style="208" bestFit="1" customWidth="1"/>
    <col min="12819" max="13056" width="8.88671875" style="208"/>
    <col min="13057" max="13057" width="27.109375" style="208" bestFit="1" customWidth="1"/>
    <col min="13058" max="13058" width="12.33203125" style="208" bestFit="1" customWidth="1"/>
    <col min="13059" max="13059" width="16.88671875" style="208" bestFit="1" customWidth="1"/>
    <col min="13060" max="13060" width="13.77734375" style="208" bestFit="1" customWidth="1"/>
    <col min="13061" max="13061" width="12.44140625" style="208" bestFit="1" customWidth="1"/>
    <col min="13062" max="13062" width="17.21875" style="208" bestFit="1" customWidth="1"/>
    <col min="13063" max="13063" width="35.5546875" style="208" bestFit="1" customWidth="1"/>
    <col min="13064" max="13064" width="8.88671875" style="208"/>
    <col min="13065" max="13065" width="13.5546875" style="208" bestFit="1" customWidth="1"/>
    <col min="13066" max="13066" width="12.44140625" style="208" bestFit="1" customWidth="1"/>
    <col min="13067" max="13067" width="23.44140625" style="208" bestFit="1" customWidth="1"/>
    <col min="13068" max="13068" width="15.77734375" style="208" customWidth="1"/>
    <col min="13069" max="13069" width="8.88671875" style="208"/>
    <col min="13070" max="13070" width="9" style="208" bestFit="1" customWidth="1"/>
    <col min="13071" max="13071" width="13.5546875" style="208" bestFit="1" customWidth="1"/>
    <col min="13072" max="13072" width="8.88671875" style="208"/>
    <col min="13073" max="13073" width="12.77734375" style="208" bestFit="1" customWidth="1"/>
    <col min="13074" max="13074" width="13.44140625" style="208" bestFit="1" customWidth="1"/>
    <col min="13075" max="13312" width="8.88671875" style="208"/>
    <col min="13313" max="13313" width="27.109375" style="208" bestFit="1" customWidth="1"/>
    <col min="13314" max="13314" width="12.33203125" style="208" bestFit="1" customWidth="1"/>
    <col min="13315" max="13315" width="16.88671875" style="208" bestFit="1" customWidth="1"/>
    <col min="13316" max="13316" width="13.77734375" style="208" bestFit="1" customWidth="1"/>
    <col min="13317" max="13317" width="12.44140625" style="208" bestFit="1" customWidth="1"/>
    <col min="13318" max="13318" width="17.21875" style="208" bestFit="1" customWidth="1"/>
    <col min="13319" max="13319" width="35.5546875" style="208" bestFit="1" customWidth="1"/>
    <col min="13320" max="13320" width="8.88671875" style="208"/>
    <col min="13321" max="13321" width="13.5546875" style="208" bestFit="1" customWidth="1"/>
    <col min="13322" max="13322" width="12.44140625" style="208" bestFit="1" customWidth="1"/>
    <col min="13323" max="13323" width="23.44140625" style="208" bestFit="1" customWidth="1"/>
    <col min="13324" max="13324" width="15.77734375" style="208" customWidth="1"/>
    <col min="13325" max="13325" width="8.88671875" style="208"/>
    <col min="13326" max="13326" width="9" style="208" bestFit="1" customWidth="1"/>
    <col min="13327" max="13327" width="13.5546875" style="208" bestFit="1" customWidth="1"/>
    <col min="13328" max="13328" width="8.88671875" style="208"/>
    <col min="13329" max="13329" width="12.77734375" style="208" bestFit="1" customWidth="1"/>
    <col min="13330" max="13330" width="13.44140625" style="208" bestFit="1" customWidth="1"/>
    <col min="13331" max="13568" width="8.88671875" style="208"/>
    <col min="13569" max="13569" width="27.109375" style="208" bestFit="1" customWidth="1"/>
    <col min="13570" max="13570" width="12.33203125" style="208" bestFit="1" customWidth="1"/>
    <col min="13571" max="13571" width="16.88671875" style="208" bestFit="1" customWidth="1"/>
    <col min="13572" max="13572" width="13.77734375" style="208" bestFit="1" customWidth="1"/>
    <col min="13573" max="13573" width="12.44140625" style="208" bestFit="1" customWidth="1"/>
    <col min="13574" max="13574" width="17.21875" style="208" bestFit="1" customWidth="1"/>
    <col min="13575" max="13575" width="35.5546875" style="208" bestFit="1" customWidth="1"/>
    <col min="13576" max="13576" width="8.88671875" style="208"/>
    <col min="13577" max="13577" width="13.5546875" style="208" bestFit="1" customWidth="1"/>
    <col min="13578" max="13578" width="12.44140625" style="208" bestFit="1" customWidth="1"/>
    <col min="13579" max="13579" width="23.44140625" style="208" bestFit="1" customWidth="1"/>
    <col min="13580" max="13580" width="15.77734375" style="208" customWidth="1"/>
    <col min="13581" max="13581" width="8.88671875" style="208"/>
    <col min="13582" max="13582" width="9" style="208" bestFit="1" customWidth="1"/>
    <col min="13583" max="13583" width="13.5546875" style="208" bestFit="1" customWidth="1"/>
    <col min="13584" max="13584" width="8.88671875" style="208"/>
    <col min="13585" max="13585" width="12.77734375" style="208" bestFit="1" customWidth="1"/>
    <col min="13586" max="13586" width="13.44140625" style="208" bestFit="1" customWidth="1"/>
    <col min="13587" max="13824" width="8.88671875" style="208"/>
    <col min="13825" max="13825" width="27.109375" style="208" bestFit="1" customWidth="1"/>
    <col min="13826" max="13826" width="12.33203125" style="208" bestFit="1" customWidth="1"/>
    <col min="13827" max="13827" width="16.88671875" style="208" bestFit="1" customWidth="1"/>
    <col min="13828" max="13828" width="13.77734375" style="208" bestFit="1" customWidth="1"/>
    <col min="13829" max="13829" width="12.44140625" style="208" bestFit="1" customWidth="1"/>
    <col min="13830" max="13830" width="17.21875" style="208" bestFit="1" customWidth="1"/>
    <col min="13831" max="13831" width="35.5546875" style="208" bestFit="1" customWidth="1"/>
    <col min="13832" max="13832" width="8.88671875" style="208"/>
    <col min="13833" max="13833" width="13.5546875" style="208" bestFit="1" customWidth="1"/>
    <col min="13834" max="13834" width="12.44140625" style="208" bestFit="1" customWidth="1"/>
    <col min="13835" max="13835" width="23.44140625" style="208" bestFit="1" customWidth="1"/>
    <col min="13836" max="13836" width="15.77734375" style="208" customWidth="1"/>
    <col min="13837" max="13837" width="8.88671875" style="208"/>
    <col min="13838" max="13838" width="9" style="208" bestFit="1" customWidth="1"/>
    <col min="13839" max="13839" width="13.5546875" style="208" bestFit="1" customWidth="1"/>
    <col min="13840" max="13840" width="8.88671875" style="208"/>
    <col min="13841" max="13841" width="12.77734375" style="208" bestFit="1" customWidth="1"/>
    <col min="13842" max="13842" width="13.44140625" style="208" bestFit="1" customWidth="1"/>
    <col min="13843" max="14080" width="8.88671875" style="208"/>
    <col min="14081" max="14081" width="27.109375" style="208" bestFit="1" customWidth="1"/>
    <col min="14082" max="14082" width="12.33203125" style="208" bestFit="1" customWidth="1"/>
    <col min="14083" max="14083" width="16.88671875" style="208" bestFit="1" customWidth="1"/>
    <col min="14084" max="14084" width="13.77734375" style="208" bestFit="1" customWidth="1"/>
    <col min="14085" max="14085" width="12.44140625" style="208" bestFit="1" customWidth="1"/>
    <col min="14086" max="14086" width="17.21875" style="208" bestFit="1" customWidth="1"/>
    <col min="14087" max="14087" width="35.5546875" style="208" bestFit="1" customWidth="1"/>
    <col min="14088" max="14088" width="8.88671875" style="208"/>
    <col min="14089" max="14089" width="13.5546875" style="208" bestFit="1" customWidth="1"/>
    <col min="14090" max="14090" width="12.44140625" style="208" bestFit="1" customWidth="1"/>
    <col min="14091" max="14091" width="23.44140625" style="208" bestFit="1" customWidth="1"/>
    <col min="14092" max="14092" width="15.77734375" style="208" customWidth="1"/>
    <col min="14093" max="14093" width="8.88671875" style="208"/>
    <col min="14094" max="14094" width="9" style="208" bestFit="1" customWidth="1"/>
    <col min="14095" max="14095" width="13.5546875" style="208" bestFit="1" customWidth="1"/>
    <col min="14096" max="14096" width="8.88671875" style="208"/>
    <col min="14097" max="14097" width="12.77734375" style="208" bestFit="1" customWidth="1"/>
    <col min="14098" max="14098" width="13.44140625" style="208" bestFit="1" customWidth="1"/>
    <col min="14099" max="14336" width="8.88671875" style="208"/>
    <col min="14337" max="14337" width="27.109375" style="208" bestFit="1" customWidth="1"/>
    <col min="14338" max="14338" width="12.33203125" style="208" bestFit="1" customWidth="1"/>
    <col min="14339" max="14339" width="16.88671875" style="208" bestFit="1" customWidth="1"/>
    <col min="14340" max="14340" width="13.77734375" style="208" bestFit="1" customWidth="1"/>
    <col min="14341" max="14341" width="12.44140625" style="208" bestFit="1" customWidth="1"/>
    <col min="14342" max="14342" width="17.21875" style="208" bestFit="1" customWidth="1"/>
    <col min="14343" max="14343" width="35.5546875" style="208" bestFit="1" customWidth="1"/>
    <col min="14344" max="14344" width="8.88671875" style="208"/>
    <col min="14345" max="14345" width="13.5546875" style="208" bestFit="1" customWidth="1"/>
    <col min="14346" max="14346" width="12.44140625" style="208" bestFit="1" customWidth="1"/>
    <col min="14347" max="14347" width="23.44140625" style="208" bestFit="1" customWidth="1"/>
    <col min="14348" max="14348" width="15.77734375" style="208" customWidth="1"/>
    <col min="14349" max="14349" width="8.88671875" style="208"/>
    <col min="14350" max="14350" width="9" style="208" bestFit="1" customWidth="1"/>
    <col min="14351" max="14351" width="13.5546875" style="208" bestFit="1" customWidth="1"/>
    <col min="14352" max="14352" width="8.88671875" style="208"/>
    <col min="14353" max="14353" width="12.77734375" style="208" bestFit="1" customWidth="1"/>
    <col min="14354" max="14354" width="13.44140625" style="208" bestFit="1" customWidth="1"/>
    <col min="14355" max="14592" width="8.88671875" style="208"/>
    <col min="14593" max="14593" width="27.109375" style="208" bestFit="1" customWidth="1"/>
    <col min="14594" max="14594" width="12.33203125" style="208" bestFit="1" customWidth="1"/>
    <col min="14595" max="14595" width="16.88671875" style="208" bestFit="1" customWidth="1"/>
    <col min="14596" max="14596" width="13.77734375" style="208" bestFit="1" customWidth="1"/>
    <col min="14597" max="14597" width="12.44140625" style="208" bestFit="1" customWidth="1"/>
    <col min="14598" max="14598" width="17.21875" style="208" bestFit="1" customWidth="1"/>
    <col min="14599" max="14599" width="35.5546875" style="208" bestFit="1" customWidth="1"/>
    <col min="14600" max="14600" width="8.88671875" style="208"/>
    <col min="14601" max="14601" width="13.5546875" style="208" bestFit="1" customWidth="1"/>
    <col min="14602" max="14602" width="12.44140625" style="208" bestFit="1" customWidth="1"/>
    <col min="14603" max="14603" width="23.44140625" style="208" bestFit="1" customWidth="1"/>
    <col min="14604" max="14604" width="15.77734375" style="208" customWidth="1"/>
    <col min="14605" max="14605" width="8.88671875" style="208"/>
    <col min="14606" max="14606" width="9" style="208" bestFit="1" customWidth="1"/>
    <col min="14607" max="14607" width="13.5546875" style="208" bestFit="1" customWidth="1"/>
    <col min="14608" max="14608" width="8.88671875" style="208"/>
    <col min="14609" max="14609" width="12.77734375" style="208" bestFit="1" customWidth="1"/>
    <col min="14610" max="14610" width="13.44140625" style="208" bestFit="1" customWidth="1"/>
    <col min="14611" max="14848" width="8.88671875" style="208"/>
    <col min="14849" max="14849" width="27.109375" style="208" bestFit="1" customWidth="1"/>
    <col min="14850" max="14850" width="12.33203125" style="208" bestFit="1" customWidth="1"/>
    <col min="14851" max="14851" width="16.88671875" style="208" bestFit="1" customWidth="1"/>
    <col min="14852" max="14852" width="13.77734375" style="208" bestFit="1" customWidth="1"/>
    <col min="14853" max="14853" width="12.44140625" style="208" bestFit="1" customWidth="1"/>
    <col min="14854" max="14854" width="17.21875" style="208" bestFit="1" customWidth="1"/>
    <col min="14855" max="14855" width="35.5546875" style="208" bestFit="1" customWidth="1"/>
    <col min="14856" max="14856" width="8.88671875" style="208"/>
    <col min="14857" max="14857" width="13.5546875" style="208" bestFit="1" customWidth="1"/>
    <col min="14858" max="14858" width="12.44140625" style="208" bestFit="1" customWidth="1"/>
    <col min="14859" max="14859" width="23.44140625" style="208" bestFit="1" customWidth="1"/>
    <col min="14860" max="14860" width="15.77734375" style="208" customWidth="1"/>
    <col min="14861" max="14861" width="8.88671875" style="208"/>
    <col min="14862" max="14862" width="9" style="208" bestFit="1" customWidth="1"/>
    <col min="14863" max="14863" width="13.5546875" style="208" bestFit="1" customWidth="1"/>
    <col min="14864" max="14864" width="8.88671875" style="208"/>
    <col min="14865" max="14865" width="12.77734375" style="208" bestFit="1" customWidth="1"/>
    <col min="14866" max="14866" width="13.44140625" style="208" bestFit="1" customWidth="1"/>
    <col min="14867" max="15104" width="8.88671875" style="208"/>
    <col min="15105" max="15105" width="27.109375" style="208" bestFit="1" customWidth="1"/>
    <col min="15106" max="15106" width="12.33203125" style="208" bestFit="1" customWidth="1"/>
    <col min="15107" max="15107" width="16.88671875" style="208" bestFit="1" customWidth="1"/>
    <col min="15108" max="15108" width="13.77734375" style="208" bestFit="1" customWidth="1"/>
    <col min="15109" max="15109" width="12.44140625" style="208" bestFit="1" customWidth="1"/>
    <col min="15110" max="15110" width="17.21875" style="208" bestFit="1" customWidth="1"/>
    <col min="15111" max="15111" width="35.5546875" style="208" bestFit="1" customWidth="1"/>
    <col min="15112" max="15112" width="8.88671875" style="208"/>
    <col min="15113" max="15113" width="13.5546875" style="208" bestFit="1" customWidth="1"/>
    <col min="15114" max="15114" width="12.44140625" style="208" bestFit="1" customWidth="1"/>
    <col min="15115" max="15115" width="23.44140625" style="208" bestFit="1" customWidth="1"/>
    <col min="15116" max="15116" width="15.77734375" style="208" customWidth="1"/>
    <col min="15117" max="15117" width="8.88671875" style="208"/>
    <col min="15118" max="15118" width="9" style="208" bestFit="1" customWidth="1"/>
    <col min="15119" max="15119" width="13.5546875" style="208" bestFit="1" customWidth="1"/>
    <col min="15120" max="15120" width="8.88671875" style="208"/>
    <col min="15121" max="15121" width="12.77734375" style="208" bestFit="1" customWidth="1"/>
    <col min="15122" max="15122" width="13.44140625" style="208" bestFit="1" customWidth="1"/>
    <col min="15123" max="15360" width="8.88671875" style="208"/>
    <col min="15361" max="15361" width="27.109375" style="208" bestFit="1" customWidth="1"/>
    <col min="15362" max="15362" width="12.33203125" style="208" bestFit="1" customWidth="1"/>
    <col min="15363" max="15363" width="16.88671875" style="208" bestFit="1" customWidth="1"/>
    <col min="15364" max="15364" width="13.77734375" style="208" bestFit="1" customWidth="1"/>
    <col min="15365" max="15365" width="12.44140625" style="208" bestFit="1" customWidth="1"/>
    <col min="15366" max="15366" width="17.21875" style="208" bestFit="1" customWidth="1"/>
    <col min="15367" max="15367" width="35.5546875" style="208" bestFit="1" customWidth="1"/>
    <col min="15368" max="15368" width="8.88671875" style="208"/>
    <col min="15369" max="15369" width="13.5546875" style="208" bestFit="1" customWidth="1"/>
    <col min="15370" max="15370" width="12.44140625" style="208" bestFit="1" customWidth="1"/>
    <col min="15371" max="15371" width="23.44140625" style="208" bestFit="1" customWidth="1"/>
    <col min="15372" max="15372" width="15.77734375" style="208" customWidth="1"/>
    <col min="15373" max="15373" width="8.88671875" style="208"/>
    <col min="15374" max="15374" width="9" style="208" bestFit="1" customWidth="1"/>
    <col min="15375" max="15375" width="13.5546875" style="208" bestFit="1" customWidth="1"/>
    <col min="15376" max="15376" width="8.88671875" style="208"/>
    <col min="15377" max="15377" width="12.77734375" style="208" bestFit="1" customWidth="1"/>
    <col min="15378" max="15378" width="13.44140625" style="208" bestFit="1" customWidth="1"/>
    <col min="15379" max="15616" width="8.88671875" style="208"/>
    <col min="15617" max="15617" width="27.109375" style="208" bestFit="1" customWidth="1"/>
    <col min="15618" max="15618" width="12.33203125" style="208" bestFit="1" customWidth="1"/>
    <col min="15619" max="15619" width="16.88671875" style="208" bestFit="1" customWidth="1"/>
    <col min="15620" max="15620" width="13.77734375" style="208" bestFit="1" customWidth="1"/>
    <col min="15621" max="15621" width="12.44140625" style="208" bestFit="1" customWidth="1"/>
    <col min="15622" max="15622" width="17.21875" style="208" bestFit="1" customWidth="1"/>
    <col min="15623" max="15623" width="35.5546875" style="208" bestFit="1" customWidth="1"/>
    <col min="15624" max="15624" width="8.88671875" style="208"/>
    <col min="15625" max="15625" width="13.5546875" style="208" bestFit="1" customWidth="1"/>
    <col min="15626" max="15626" width="12.44140625" style="208" bestFit="1" customWidth="1"/>
    <col min="15627" max="15627" width="23.44140625" style="208" bestFit="1" customWidth="1"/>
    <col min="15628" max="15628" width="15.77734375" style="208" customWidth="1"/>
    <col min="15629" max="15629" width="8.88671875" style="208"/>
    <col min="15630" max="15630" width="9" style="208" bestFit="1" customWidth="1"/>
    <col min="15631" max="15631" width="13.5546875" style="208" bestFit="1" customWidth="1"/>
    <col min="15632" max="15632" width="8.88671875" style="208"/>
    <col min="15633" max="15633" width="12.77734375" style="208" bestFit="1" customWidth="1"/>
    <col min="15634" max="15634" width="13.44140625" style="208" bestFit="1" customWidth="1"/>
    <col min="15635" max="15872" width="8.88671875" style="208"/>
    <col min="15873" max="15873" width="27.109375" style="208" bestFit="1" customWidth="1"/>
    <col min="15874" max="15874" width="12.33203125" style="208" bestFit="1" customWidth="1"/>
    <col min="15875" max="15875" width="16.88671875" style="208" bestFit="1" customWidth="1"/>
    <col min="15876" max="15876" width="13.77734375" style="208" bestFit="1" customWidth="1"/>
    <col min="15877" max="15877" width="12.44140625" style="208" bestFit="1" customWidth="1"/>
    <col min="15878" max="15878" width="17.21875" style="208" bestFit="1" customWidth="1"/>
    <col min="15879" max="15879" width="35.5546875" style="208" bestFit="1" customWidth="1"/>
    <col min="15880" max="15880" width="8.88671875" style="208"/>
    <col min="15881" max="15881" width="13.5546875" style="208" bestFit="1" customWidth="1"/>
    <col min="15882" max="15882" width="12.44140625" style="208" bestFit="1" customWidth="1"/>
    <col min="15883" max="15883" width="23.44140625" style="208" bestFit="1" customWidth="1"/>
    <col min="15884" max="15884" width="15.77734375" style="208" customWidth="1"/>
    <col min="15885" max="15885" width="8.88671875" style="208"/>
    <col min="15886" max="15886" width="9" style="208" bestFit="1" customWidth="1"/>
    <col min="15887" max="15887" width="13.5546875" style="208" bestFit="1" customWidth="1"/>
    <col min="15888" max="15888" width="8.88671875" style="208"/>
    <col min="15889" max="15889" width="12.77734375" style="208" bestFit="1" customWidth="1"/>
    <col min="15890" max="15890" width="13.44140625" style="208" bestFit="1" customWidth="1"/>
    <col min="15891" max="16128" width="8.88671875" style="208"/>
    <col min="16129" max="16129" width="27.109375" style="208" bestFit="1" customWidth="1"/>
    <col min="16130" max="16130" width="12.33203125" style="208" bestFit="1" customWidth="1"/>
    <col min="16131" max="16131" width="16.88671875" style="208" bestFit="1" customWidth="1"/>
    <col min="16132" max="16132" width="13.77734375" style="208" bestFit="1" customWidth="1"/>
    <col min="16133" max="16133" width="12.44140625" style="208" bestFit="1" customWidth="1"/>
    <col min="16134" max="16134" width="17.21875" style="208" bestFit="1" customWidth="1"/>
    <col min="16135" max="16135" width="35.5546875" style="208" bestFit="1" customWidth="1"/>
    <col min="16136" max="16136" width="8.88671875" style="208"/>
    <col min="16137" max="16137" width="13.5546875" style="208" bestFit="1" customWidth="1"/>
    <col min="16138" max="16138" width="12.44140625" style="208" bestFit="1" customWidth="1"/>
    <col min="16139" max="16139" width="23.44140625" style="208" bestFit="1" customWidth="1"/>
    <col min="16140" max="16140" width="15.77734375" style="208" customWidth="1"/>
    <col min="16141" max="16141" width="8.88671875" style="208"/>
    <col min="16142" max="16142" width="9" style="208" bestFit="1" customWidth="1"/>
    <col min="16143" max="16143" width="13.5546875" style="208" bestFit="1" customWidth="1"/>
    <col min="16144" max="16144" width="8.88671875" style="208"/>
    <col min="16145" max="16145" width="12.77734375" style="208" bestFit="1" customWidth="1"/>
    <col min="16146" max="16146" width="13.44140625" style="208" bestFit="1" customWidth="1"/>
    <col min="16147" max="16384" width="8.88671875" style="208"/>
  </cols>
  <sheetData>
    <row r="1" spans="1:18" x14ac:dyDescent="0.25">
      <c r="A1" s="211" t="s">
        <v>76</v>
      </c>
      <c r="B1" s="212">
        <f>'Part D Pension Calculator'!B5</f>
        <v>757</v>
      </c>
      <c r="D1" s="207" t="s">
        <v>77</v>
      </c>
      <c r="E1" s="213"/>
      <c r="F1" s="213"/>
      <c r="G1" s="207" t="s">
        <v>78</v>
      </c>
      <c r="H1" s="214"/>
      <c r="I1" s="207" t="s">
        <v>79</v>
      </c>
      <c r="J1" s="213"/>
      <c r="K1" s="213"/>
      <c r="L1" s="213"/>
      <c r="N1" s="207" t="s">
        <v>16</v>
      </c>
      <c r="O1" s="215" t="s">
        <v>17</v>
      </c>
      <c r="Q1" s="207" t="s">
        <v>4</v>
      </c>
      <c r="R1" s="207" t="s">
        <v>5</v>
      </c>
    </row>
    <row r="2" spans="1:18" x14ac:dyDescent="0.25">
      <c r="A2" s="216" t="s">
        <v>0</v>
      </c>
      <c r="B2" s="217">
        <f>'Part D Pension Calculator'!B9</f>
        <v>500</v>
      </c>
      <c r="D2" s="207" t="s">
        <v>16</v>
      </c>
      <c r="E2" s="207" t="s">
        <v>17</v>
      </c>
      <c r="F2" s="213" t="s">
        <v>80</v>
      </c>
      <c r="G2" s="207" t="s">
        <v>81</v>
      </c>
      <c r="H2" s="214"/>
      <c r="I2" s="207" t="s">
        <v>16</v>
      </c>
      <c r="J2" s="207" t="s">
        <v>17</v>
      </c>
      <c r="K2" s="207" t="s">
        <v>82</v>
      </c>
      <c r="L2" s="207" t="s">
        <v>61</v>
      </c>
      <c r="N2" s="208">
        <v>1977</v>
      </c>
      <c r="O2" s="218">
        <v>9300</v>
      </c>
      <c r="Q2" s="209">
        <v>761</v>
      </c>
      <c r="R2" s="219">
        <v>48449.49</v>
      </c>
    </row>
    <row r="3" spans="1:18" x14ac:dyDescent="0.25">
      <c r="A3" s="216" t="s">
        <v>83</v>
      </c>
      <c r="B3" s="220">
        <f>'Part D Pension Calculator'!B7</f>
        <v>79114.649999999994</v>
      </c>
      <c r="D3" s="209">
        <f ca="1">YEAR('Part D Pension Calculator'!$B$1)</f>
        <v>2019</v>
      </c>
      <c r="E3" s="6">
        <f ca="1" xml:space="preserve"> IF(D3="","", $B$5*((1+Assumptions!$B$16)^(D3-2019)))</f>
        <v>57400</v>
      </c>
      <c r="F3" s="6">
        <f>'Part D Pension Calculator'!$B$7</f>
        <v>79114.649999999994</v>
      </c>
      <c r="G3" s="19">
        <f ca="1">IF(D3="","",  IF($B$2=600, (Assumptions!$B$8)*MIN(F3,E3) + (Assumptions!$B$9)*MAX(0,F3-E3), 12*(Assumptions!$B$7)))</f>
        <v>720</v>
      </c>
      <c r="I3" s="209">
        <f>YEAR('Part D Pension Calculator'!$B$11)</f>
        <v>2003</v>
      </c>
      <c r="J3" s="6">
        <f>IF(I3="","",IF(I3&lt;2019, IF(I3="","",VLOOKUP(I3,$N$2:$O$44,2,FALSE)), $B$5*((1+Assumptions!$B$16)^(I3-2019))))</f>
        <v>39900</v>
      </c>
      <c r="K3" s="221">
        <f>IF(I3="","",IF(I3&lt;2014,($B$4)*(1+Assumptions!$B$14)^(I3-2014),IF(I3=2014,$B$4,($B$4)*(1+Assumptions!$B$15)^(I3-2014))))</f>
        <v>44330.644178725903</v>
      </c>
      <c r="L3" s="6">
        <f>IF(I3="","",  IF($B$2=600, (Assumptions!$B$8)*MIN(J3,K3) + (Assumptions!$B$9)*MAX(0,K3-J3), 12*(Assumptions!$B$7)))</f>
        <v>720</v>
      </c>
      <c r="N3" s="208">
        <v>1978</v>
      </c>
      <c r="O3" s="218">
        <v>10400</v>
      </c>
      <c r="Q3" s="209">
        <v>735</v>
      </c>
      <c r="R3" s="219">
        <v>49274.3</v>
      </c>
    </row>
    <row r="4" spans="1:18" x14ac:dyDescent="0.25">
      <c r="A4" s="216" t="s">
        <v>84</v>
      </c>
      <c r="B4" s="220">
        <f>VLOOKUP(B1,Q1:R80,2,FALSE)</f>
        <v>68244.990000000005</v>
      </c>
      <c r="D4" s="209">
        <f ca="1">IFERROR(IF(IF(DATE((D3+1),1,1)&gt;'Part D Pension Calculator'!$B$6,0,D3+1)=0,"",IF(DATE((D3+1),1,1)&gt;'Part D Pension Calculator'!$B$6,0,D3+1)),"")</f>
        <v>2020</v>
      </c>
      <c r="E4" s="6">
        <f ca="1" xml:space="preserve"> IF(D4="","", $B$5*((1+Assumptions!$B$16)^(D4-2019)))</f>
        <v>59696</v>
      </c>
      <c r="F4" s="6">
        <f ca="1">IF(D4="","",F3*(1+Assumptions!$B$15))</f>
        <v>81488.089500000002</v>
      </c>
      <c r="G4" s="19">
        <f ca="1">IF(D4="","",  IF($B$2=600, (Assumptions!$B$8)*MIN(F4,E4) + (Assumptions!$B$9)*MAX(0,F4-E4), 12*(Assumptions!$B$7)))</f>
        <v>720</v>
      </c>
      <c r="I4" s="209">
        <f ca="1">IFERROR(IF(IF(I3+1&gt;=YEAR('Part D Pension Calculator'!$B$1),0, I3+1) = 0, "", IF(I3+1&gt;=YEAR(('Part D Pension Calculator'!$B$1)),0, I3+1)),"")</f>
        <v>2004</v>
      </c>
      <c r="J4" s="6">
        <f ca="1">IF(I4="","",IF(I4&lt;2019, IF(I4="","",VLOOKUP(I4,$N$2:$O$44,2,FALSE)), $B$5*((1+Assumptions!$B$16)^(I4-2019))))</f>
        <v>40500</v>
      </c>
      <c r="K4" s="221">
        <f ca="1">IF(I4="","",IF(I4&lt;2014,($B$4)*(1+Assumptions!$B$14)^(I4-2014),IF(I4=2014,$B$4,($B$4)*(1+Assumptions!$B$15)^(I4-2014))))</f>
        <v>46103.869945874932</v>
      </c>
      <c r="L4" s="6">
        <f ca="1">IF(I4="","",  IF($B$2=600, (Assumptions!$B$8)*MIN(J4,K4) + (Assumptions!$B$9)*MAX(0,K4-J4), 12*(Assumptions!$B$7)))</f>
        <v>720</v>
      </c>
      <c r="N4" s="208">
        <v>1979</v>
      </c>
      <c r="O4" s="218">
        <v>11700</v>
      </c>
      <c r="Q4" s="209">
        <v>769</v>
      </c>
      <c r="R4" s="219">
        <v>50099.11</v>
      </c>
    </row>
    <row r="5" spans="1:18" x14ac:dyDescent="0.25">
      <c r="A5" s="216" t="s">
        <v>85</v>
      </c>
      <c r="B5" s="222">
        <v>57400</v>
      </c>
      <c r="D5" s="209">
        <f ca="1">IFERROR(IF(IF(DATE((D4+1),1,1)&gt;'Part D Pension Calculator'!$B$6,0,D4+1)=0,"",IF(DATE((D4+1),1,1)&gt;'Part D Pension Calculator'!$B$6,0,D4+1)),"")</f>
        <v>2021</v>
      </c>
      <c r="E5" s="6">
        <f ca="1" xml:space="preserve"> IF(D5="","", $B$5*((1+Assumptions!$B$16)^(D5-2019)))</f>
        <v>62083.840000000004</v>
      </c>
      <c r="F5" s="6">
        <f ca="1">IF(D5="","",F4*(1+Assumptions!$B$15))</f>
        <v>83932.732185000001</v>
      </c>
      <c r="G5" s="19">
        <f ca="1">IF(D5="","",  IF($B$2=600, (Assumptions!$B$8)*MIN(F5,E5) + (Assumptions!$B$9)*MAX(0,F5-E5), 12*(Assumptions!$B$7)))</f>
        <v>720</v>
      </c>
      <c r="I5" s="209">
        <f ca="1">IFERROR(IF(IF(I4+1&gt;=YEAR('Part D Pension Calculator'!$B$1),0, I4+1) = 0, "", IF(I4+1&gt;=YEAR(('Part D Pension Calculator'!$B$1)),0, I4+1)),"")</f>
        <v>2005</v>
      </c>
      <c r="J5" s="6">
        <f ca="1">IF(I5="","",IF(I5&lt;2019, IF(I5="","",VLOOKUP(I5,$N$2:$O$44,2,FALSE)), $B$5*((1+Assumptions!$B$16)^(I5-2019))))</f>
        <v>41100</v>
      </c>
      <c r="K5" s="221">
        <f ca="1">IF(I5="","",IF(I5&lt;2014,($B$4)*(1+Assumptions!$B$14)^(I5-2014),IF(I5=2014,$B$4,($B$4)*(1+Assumptions!$B$15)^(I5-2014))))</f>
        <v>47948.024743709931</v>
      </c>
      <c r="L5" s="6">
        <f ca="1">IF(I5="","",  IF($B$2=600, (Assumptions!$B$8)*MIN(J5,K5) + (Assumptions!$B$9)*MAX(0,K5-J5), 12*(Assumptions!$B$7)))</f>
        <v>720</v>
      </c>
      <c r="N5" s="208">
        <v>1980</v>
      </c>
      <c r="O5" s="218">
        <v>13100</v>
      </c>
      <c r="Q5" s="209">
        <v>786</v>
      </c>
      <c r="R5" s="219">
        <v>50923.92</v>
      </c>
    </row>
    <row r="6" spans="1:18" x14ac:dyDescent="0.25">
      <c r="A6" s="223"/>
      <c r="B6" s="224"/>
      <c r="D6" s="209">
        <f ca="1">IFERROR(IF(IF(DATE((D5+1),1,1)&gt;'Part D Pension Calculator'!$B$6,0,D5+1)=0,"",IF(DATE((D5+1),1,1)&gt;'Part D Pension Calculator'!$B$6,0,D5+1)),"")</f>
        <v>2022</v>
      </c>
      <c r="E6" s="6">
        <f ca="1" xml:space="preserve"> IF(D6="","", $B$5*((1+Assumptions!$B$16)^(D6-2019)))</f>
        <v>64567.193600000006</v>
      </c>
      <c r="F6" s="6">
        <f ca="1">IF(D6="","",F5*(1+Assumptions!$B$15))</f>
        <v>86450.714150550004</v>
      </c>
      <c r="G6" s="19">
        <f ca="1">IF(D6="","",  IF($B$2=600, (Assumptions!$B$8)*MIN(F6,E6) + (Assumptions!$B$9)*MAX(0,F6-E6), 12*(Assumptions!$B$7)))</f>
        <v>720</v>
      </c>
      <c r="I6" s="209">
        <f ca="1">IFERROR(IF(IF(I5+1&gt;=YEAR('Part D Pension Calculator'!$B$1),0, I5+1) = 0, "", IF(I5+1&gt;=YEAR(('Part D Pension Calculator'!$B$1)),0, I5+1)),"")</f>
        <v>2006</v>
      </c>
      <c r="J6" s="6">
        <f ca="1">IF(I6="","",IF(I6&lt;2019, IF(I6="","",VLOOKUP(I6,$N$2:$O$44,2,FALSE)), $B$5*((1+Assumptions!$B$16)^(I6-2019))))</f>
        <v>42100</v>
      </c>
      <c r="K6" s="221">
        <f ca="1">IF(I6="","",IF(I6&lt;2014,($B$4)*(1+Assumptions!$B$14)^(I6-2014),IF(I6=2014,$B$4,($B$4)*(1+Assumptions!$B$15)^(I6-2014))))</f>
        <v>49865.945733458335</v>
      </c>
      <c r="L6" s="6">
        <f ca="1">IF(I6="","",  IF($B$2=600, (Assumptions!$B$8)*MIN(J6,K6) + (Assumptions!$B$9)*MAX(0,K6-J6), 12*(Assumptions!$B$7)))</f>
        <v>720</v>
      </c>
      <c r="N6" s="208">
        <v>1981</v>
      </c>
      <c r="O6" s="218">
        <v>14700</v>
      </c>
      <c r="Q6" s="209">
        <v>785</v>
      </c>
      <c r="R6" s="219">
        <v>51748.74</v>
      </c>
    </row>
    <row r="7" spans="1:18" x14ac:dyDescent="0.25">
      <c r="A7" s="216" t="s">
        <v>86</v>
      </c>
      <c r="B7" s="224"/>
      <c r="D7" s="209">
        <f ca="1">IFERROR(IF(IF(DATE((D6+1),1,1)&gt;'Part D Pension Calculator'!$B$6,0,D6+1)=0,"",IF(DATE((D6+1),1,1)&gt;'Part D Pension Calculator'!$B$6,0,D6+1)),"")</f>
        <v>2023</v>
      </c>
      <c r="E7" s="6">
        <f ca="1" xml:space="preserve"> IF(D7="","", $B$5*((1+Assumptions!$B$16)^(D7-2019)))</f>
        <v>67149.881344000009</v>
      </c>
      <c r="F7" s="6">
        <f ca="1">IF(D7="","",F6*(1+Assumptions!$B$15))</f>
        <v>89044.235575066501</v>
      </c>
      <c r="G7" s="19">
        <f ca="1">IF(D7="","",  IF($B$2=600, (Assumptions!$B$8)*MIN(F7,E7) + (Assumptions!$B$9)*MAX(0,F7-E7), 12*(Assumptions!$B$7)))</f>
        <v>720</v>
      </c>
      <c r="I7" s="209">
        <f ca="1">IFERROR(IF(IF(I6+1&gt;=YEAR('Part D Pension Calculator'!$B$1),0, I6+1) = 0, "", IF(I6+1&gt;=YEAR(('Part D Pension Calculator'!$B$1)),0, I6+1)),"")</f>
        <v>2007</v>
      </c>
      <c r="J7" s="6">
        <f ca="1">IF(I7="","",IF(I7&lt;2019, IF(I7="","",VLOOKUP(I7,$N$2:$O$44,2,FALSE)), $B$5*((1+Assumptions!$B$16)^(I7-2019))))</f>
        <v>43700</v>
      </c>
      <c r="K7" s="221">
        <f ca="1">IF(I7="","",IF(I7&lt;2014,($B$4)*(1+Assumptions!$B$14)^(I7-2014),IF(I7=2014,$B$4,($B$4)*(1+Assumptions!$B$15)^(I7-2014))))</f>
        <v>51860.583562796681</v>
      </c>
      <c r="L7" s="6">
        <f ca="1">IF(I7="","",  IF($B$2=600, (Assumptions!$B$8)*MIN(J7,K7) + (Assumptions!$B$9)*MAX(0,K7-J7), 12*(Assumptions!$B$7)))</f>
        <v>720</v>
      </c>
      <c r="N7" s="208">
        <v>1982</v>
      </c>
      <c r="O7" s="218">
        <v>16500</v>
      </c>
      <c r="Q7" s="209">
        <v>784</v>
      </c>
      <c r="R7" s="219">
        <v>52573.55</v>
      </c>
    </row>
    <row r="8" spans="1:18" ht="13.8" thickBot="1" x14ac:dyDescent="0.3">
      <c r="A8" s="225">
        <f ca="1">ROUNDDOWN(12*(('Part D Pension Calculator'!B1)-DATE(YEAR('Part D Pension Calculator'!B1)-1,12,31))/365.25,0)/12</f>
        <v>8.3333333333333329E-2</v>
      </c>
      <c r="B8" s="226"/>
      <c r="D8" s="209">
        <f ca="1">IFERROR(IF(IF(DATE((D7+1),1,1)&gt;'Part D Pension Calculator'!$B$6,0,D7+1)=0,"",IF(DATE((D7+1),1,1)&gt;'Part D Pension Calculator'!$B$6,0,D7+1)),"")</f>
        <v>2024</v>
      </c>
      <c r="E8" s="6">
        <f ca="1" xml:space="preserve"> IF(D8="","", $B$5*((1+Assumptions!$B$16)^(D8-2019)))</f>
        <v>69835.876597760027</v>
      </c>
      <c r="F8" s="6">
        <f ca="1">IF(D8="","",F7*(1+Assumptions!$B$15))</f>
        <v>91715.562642318502</v>
      </c>
      <c r="G8" s="19">
        <f ca="1">IF(D8="","",  IF($B$2=600, (Assumptions!$B$8)*MIN(F8,E8) + (Assumptions!$B$9)*MAX(0,F8-E8), 12*(Assumptions!$B$7)))</f>
        <v>720</v>
      </c>
      <c r="I8" s="209">
        <f ca="1">IFERROR(IF(IF(I7+1&gt;=YEAR('Part D Pension Calculator'!$B$1),0, I7+1) = 0, "", IF(I7+1&gt;=YEAR(('Part D Pension Calculator'!$B$1)),0, I7+1)),"")</f>
        <v>2008</v>
      </c>
      <c r="J8" s="6">
        <f ca="1">IF(I8="","",IF(I8&lt;2019, IF(I8="","",VLOOKUP(I8,$N$2:$O$44,2,FALSE)), $B$5*((1+Assumptions!$B$16)^(I8-2019))))</f>
        <v>44900</v>
      </c>
      <c r="K8" s="221">
        <f ca="1">IF(I8="","",IF(I8&lt;2014,($B$4)*(1+Assumptions!$B$14)^(I8-2014),IF(I8=2014,$B$4,($B$4)*(1+Assumptions!$B$15)^(I8-2014))))</f>
        <v>53935.006905308539</v>
      </c>
      <c r="L8" s="6">
        <f ca="1">IF(I8="","",  IF($B$2=600, (Assumptions!$B$8)*MIN(J8,K8) + (Assumptions!$B$9)*MAX(0,K8-J8), 12*(Assumptions!$B$7)))</f>
        <v>720</v>
      </c>
      <c r="N8" s="208">
        <v>1983</v>
      </c>
      <c r="O8" s="218">
        <v>18500</v>
      </c>
      <c r="Q8" s="209">
        <v>783</v>
      </c>
      <c r="R8" s="219">
        <v>53398.36</v>
      </c>
    </row>
    <row r="9" spans="1:18" x14ac:dyDescent="0.25">
      <c r="D9" s="209">
        <f ca="1">IFERROR(IF(IF(DATE((D8+1),1,1)&gt;'Part D Pension Calculator'!$B$6,0,D8+1)=0,"",IF(DATE((D8+1),1,1)&gt;'Part D Pension Calculator'!$B$6,0,D8+1)),"")</f>
        <v>2025</v>
      </c>
      <c r="E9" s="6">
        <f ca="1" xml:space="preserve"> IF(D9="","", $B$5*((1+Assumptions!$B$16)^(D9-2019)))</f>
        <v>72629.311661670421</v>
      </c>
      <c r="F9" s="6">
        <f ca="1">IF(D9="","",F8*(1+Assumptions!$B$15))</f>
        <v>94467.029521588061</v>
      </c>
      <c r="G9" s="19">
        <f ca="1">IF(D9="","",  IF($B$2=600, (Assumptions!$B$8)*MIN(F9,E9) + (Assumptions!$B$9)*MAX(0,F9-E9), 12*(Assumptions!$B$7)))</f>
        <v>720</v>
      </c>
      <c r="I9" s="209">
        <f ca="1">IFERROR(IF(IF(I8+1&gt;=YEAR('Part D Pension Calculator'!$B$1),0, I8+1) = 0, "", IF(I8+1&gt;=YEAR(('Part D Pension Calculator'!$B$1)),0, I8+1)),"")</f>
        <v>2009</v>
      </c>
      <c r="J9" s="6">
        <f ca="1">IF(I9="","",IF(I9&lt;2019, IF(I9="","",VLOOKUP(I9,$N$2:$O$44,2,FALSE)), $B$5*((1+Assumptions!$B$16)^(I9-2019))))</f>
        <v>46300</v>
      </c>
      <c r="K9" s="221">
        <f ca="1">IF(I9="","",IF(I9&lt;2014,($B$4)*(1+Assumptions!$B$14)^(I9-2014),IF(I9=2014,$B$4,($B$4)*(1+Assumptions!$B$15)^(I9-2014))))</f>
        <v>56092.407181520881</v>
      </c>
      <c r="L9" s="6">
        <f ca="1">IF(I9="","",  IF($B$2=600, (Assumptions!$B$8)*MIN(J9,K9) + (Assumptions!$B$9)*MAX(0,K9-J9), 12*(Assumptions!$B$7)))</f>
        <v>720</v>
      </c>
      <c r="N9" s="208">
        <v>1984</v>
      </c>
      <c r="O9" s="218">
        <v>20800</v>
      </c>
      <c r="Q9" s="209">
        <v>782</v>
      </c>
      <c r="R9" s="219">
        <v>54223.17</v>
      </c>
    </row>
    <row r="10" spans="1:18" x14ac:dyDescent="0.25">
      <c r="D10" s="209">
        <f ca="1">IFERROR(IF(IF(DATE((D9+1),1,1)&gt;'Part D Pension Calculator'!$B$6,0,D9+1)=0,"",IF(DATE((D9+1),1,1)&gt;'Part D Pension Calculator'!$B$6,0,D9+1)),"")</f>
        <v>2026</v>
      </c>
      <c r="E10" s="6">
        <f ca="1" xml:space="preserve"> IF(D10="","", $B$5*((1+Assumptions!$B$16)^(D10-2019)))</f>
        <v>75534.484128137236</v>
      </c>
      <c r="F10" s="6">
        <f ca="1">IF(D10="","",F9*(1+Assumptions!$B$15))</f>
        <v>97301.040407235705</v>
      </c>
      <c r="G10" s="19">
        <f ca="1">IF(D10="","",  IF($B$2=600, (Assumptions!$B$8)*MIN(F10,E10) + (Assumptions!$B$9)*MAX(0,F10-E10), 12*(Assumptions!$B$7)))</f>
        <v>720</v>
      </c>
      <c r="I10" s="209">
        <f ca="1">IFERROR(IF(IF(I9+1&gt;=YEAR('Part D Pension Calculator'!$B$1),0, I9+1) = 0, "", IF(I9+1&gt;=YEAR(('Part D Pension Calculator'!$B$1)),0, I9+1)),"")</f>
        <v>2010</v>
      </c>
      <c r="J10" s="6">
        <f ca="1">IF(I10="","",IF(I10&lt;2019, IF(I10="","",VLOOKUP(I10,$N$2:$O$44,2,FALSE)), $B$5*((1+Assumptions!$B$16)^(I10-2019))))</f>
        <v>47200</v>
      </c>
      <c r="K10" s="221">
        <f ca="1">IF(I10="","",IF(I10&lt;2014,($B$4)*(1+Assumptions!$B$14)^(I10-2014),IF(I10=2014,$B$4,($B$4)*(1+Assumptions!$B$15)^(I10-2014))))</f>
        <v>58336.103468781723</v>
      </c>
      <c r="L10" s="6">
        <f ca="1">IF(I10="","",  IF($B$2=600, (Assumptions!$B$8)*MIN(J10,K10) + (Assumptions!$B$9)*MAX(0,K10-J10), 12*(Assumptions!$B$7)))</f>
        <v>720</v>
      </c>
      <c r="N10" s="208">
        <v>1985</v>
      </c>
      <c r="O10" s="218">
        <v>23400</v>
      </c>
      <c r="Q10" s="209">
        <v>781</v>
      </c>
      <c r="R10" s="219">
        <v>55047.99</v>
      </c>
    </row>
    <row r="11" spans="1:18" x14ac:dyDescent="0.25">
      <c r="D11" s="209">
        <f ca="1">IFERROR(IF(IF(DATE((D10+1),1,1)&gt;'Part D Pension Calculator'!$B$6,0,D10+1)=0,"",IF(DATE((D10+1),1,1)&gt;'Part D Pension Calculator'!$B$6,0,D10+1)),"")</f>
        <v>2027</v>
      </c>
      <c r="E11" s="6">
        <f ca="1" xml:space="preserve"> IF(D11="","", $B$5*((1+Assumptions!$B$16)^(D11-2019)))</f>
        <v>78555.863493262732</v>
      </c>
      <c r="F11" s="6">
        <f ca="1">IF(D11="","",F10*(1+Assumptions!$B$15))</f>
        <v>100220.07161945278</v>
      </c>
      <c r="G11" s="19">
        <f ca="1">IF(D11="","",  IF($B$2=600, (Assumptions!$B$8)*MIN(F11,E11) + (Assumptions!$B$9)*MAX(0,F11-E11), 12*(Assumptions!$B$7)))</f>
        <v>720</v>
      </c>
      <c r="I11" s="209">
        <f ca="1">IFERROR(IF(IF(I10+1&gt;=YEAR('Part D Pension Calculator'!$B$1),0, I10+1) = 0, "", IF(I10+1&gt;=YEAR(('Part D Pension Calculator'!$B$1)),0, I10+1)),"")</f>
        <v>2011</v>
      </c>
      <c r="J11" s="6">
        <f ca="1">IF(I11="","",IF(I11&lt;2019, IF(I11="","",VLOOKUP(I11,$N$2:$O$44,2,FALSE)), $B$5*((1+Assumptions!$B$16)^(I11-2019))))</f>
        <v>48300</v>
      </c>
      <c r="K11" s="221">
        <f ca="1">IF(I11="","",IF(I11&lt;2014,($B$4)*(1+Assumptions!$B$14)^(I11-2014),IF(I11=2014,$B$4,($B$4)*(1+Assumptions!$B$15)^(I11-2014))))</f>
        <v>60669.547607533001</v>
      </c>
      <c r="L11" s="6">
        <f ca="1">IF(I11="","",  IF($B$2=600, (Assumptions!$B$8)*MIN(J11,K11) + (Assumptions!$B$9)*MAX(0,K11-J11), 12*(Assumptions!$B$7)))</f>
        <v>720</v>
      </c>
      <c r="N11" s="208">
        <v>1986</v>
      </c>
      <c r="O11" s="218">
        <v>25800</v>
      </c>
      <c r="Q11" s="209">
        <v>780</v>
      </c>
      <c r="R11" s="219">
        <v>55872.800000000003</v>
      </c>
    </row>
    <row r="12" spans="1:18" x14ac:dyDescent="0.25">
      <c r="D12" s="209">
        <f ca="1">IFERROR(IF(IF(DATE((D11+1),1,1)&gt;'Part D Pension Calculator'!$B$6,0,D11+1)=0,"",IF(DATE((D11+1),1,1)&gt;'Part D Pension Calculator'!$B$6,0,D11+1)),"")</f>
        <v>2028</v>
      </c>
      <c r="E12" s="6">
        <f ca="1" xml:space="preserve"> IF(D12="","", $B$5*((1+Assumptions!$B$16)^(D12-2019)))</f>
        <v>81698.09803299325</v>
      </c>
      <c r="F12" s="6">
        <f ca="1">IF(D12="","",F11*(1+Assumptions!$B$15))</f>
        <v>103226.67376803636</v>
      </c>
      <c r="G12" s="19">
        <f ca="1">IF(D12="","",  IF($B$2=600, (Assumptions!$B$8)*MIN(F12,E12) + (Assumptions!$B$9)*MAX(0,F12-E12), 12*(Assumptions!$B$7)))</f>
        <v>720</v>
      </c>
      <c r="I12" s="209">
        <f ca="1">IFERROR(IF(IF(I11+1&gt;=YEAR('Part D Pension Calculator'!$B$1),0, I11+1) = 0, "", IF(I11+1&gt;=YEAR(('Part D Pension Calculator'!$B$1)),0, I11+1)),"")</f>
        <v>2012</v>
      </c>
      <c r="J12" s="6">
        <f ca="1">IF(I12="","",IF(I12&lt;2019, IF(I12="","",VLOOKUP(I12,$N$2:$O$44,2,FALSE)), $B$5*((1+Assumptions!$B$16)^(I12-2019))))</f>
        <v>50100</v>
      </c>
      <c r="K12" s="221">
        <f ca="1">IF(I12="","",IF(I12&lt;2014,($B$4)*(1+Assumptions!$B$14)^(I12-2014),IF(I12=2014,$B$4,($B$4)*(1+Assumptions!$B$15)^(I12-2014))))</f>
        <v>63096.329511834316</v>
      </c>
      <c r="L12" s="6">
        <f ca="1">IF(I12="","",  IF($B$2=600, (Assumptions!$B$8)*MIN(J12,K12) + (Assumptions!$B$9)*MAX(0,K12-J12), 12*(Assumptions!$B$7)))</f>
        <v>720</v>
      </c>
      <c r="N12" s="208">
        <v>1987</v>
      </c>
      <c r="O12" s="218">
        <v>25900</v>
      </c>
      <c r="Q12" s="209">
        <v>779</v>
      </c>
      <c r="R12" s="219">
        <v>56697.61</v>
      </c>
    </row>
    <row r="13" spans="1:18" x14ac:dyDescent="0.25">
      <c r="D13" s="209">
        <f ca="1">IFERROR(IF(IF(DATE((D12+1),1,1)&gt;'Part D Pension Calculator'!$B$6,0,D12+1)=0,"",IF(DATE((D12+1),1,1)&gt;'Part D Pension Calculator'!$B$6,0,D12+1)),"")</f>
        <v>2029</v>
      </c>
      <c r="E13" s="6">
        <f ca="1" xml:space="preserve"> IF(D13="","", $B$5*((1+Assumptions!$B$16)^(D13-2019)))</f>
        <v>84966.021954312979</v>
      </c>
      <c r="F13" s="6">
        <f ca="1">IF(D13="","",F12*(1+Assumptions!$B$15))</f>
        <v>106323.47398107745</v>
      </c>
      <c r="G13" s="19">
        <f ca="1">IF(D13="","",  IF($B$2=600, (Assumptions!$B$8)*MIN(F13,E13) + (Assumptions!$B$9)*MAX(0,F13-E13), 12*(Assumptions!$B$7)))</f>
        <v>720</v>
      </c>
      <c r="I13" s="209">
        <f ca="1">IFERROR(IF(IF(I12+1&gt;=YEAR('Part D Pension Calculator'!$B$1),0, I12+1) = 0, "", IF(I12+1&gt;=YEAR(('Part D Pension Calculator'!$B$1)),0, I12+1)),"")</f>
        <v>2013</v>
      </c>
      <c r="J13" s="6">
        <f ca="1">IF(I13="","",IF(I13&lt;2019, IF(I13="","",VLOOKUP(I13,$N$2:$O$44,2,FALSE)), $B$5*((1+Assumptions!$B$16)^(I13-2019))))</f>
        <v>51100</v>
      </c>
      <c r="K13" s="221">
        <f ca="1">IF(I13="","",IF(I13&lt;2014,($B$4)*(1+Assumptions!$B$14)^(I13-2014),IF(I13=2014,$B$4,($B$4)*(1+Assumptions!$B$15)^(I13-2014))))</f>
        <v>65620.182692307688</v>
      </c>
      <c r="L13" s="6">
        <f ca="1">IF(I13="","",  IF($B$2=600, (Assumptions!$B$8)*MIN(J13,K13) + (Assumptions!$B$9)*MAX(0,K13-J13), 12*(Assumptions!$B$7)))</f>
        <v>720</v>
      </c>
      <c r="N13" s="208">
        <v>1988</v>
      </c>
      <c r="O13" s="218">
        <v>26500</v>
      </c>
      <c r="Q13" s="209">
        <v>778</v>
      </c>
      <c r="R13" s="219">
        <v>57522.42</v>
      </c>
    </row>
    <row r="14" spans="1:18" x14ac:dyDescent="0.25">
      <c r="D14" s="209">
        <f ca="1">IFERROR(IF(IF(DATE((D13+1),1,1)&gt;'Part D Pension Calculator'!$B$6,0,D13+1)=0,"",IF(DATE((D13+1),1,1)&gt;'Part D Pension Calculator'!$B$6,0,D13+1)),"")</f>
        <v>2030</v>
      </c>
      <c r="E14" s="6">
        <f ca="1" xml:space="preserve"> IF(D14="","", $B$5*((1+Assumptions!$B$16)^(D14-2019)))</f>
        <v>88364.662832485497</v>
      </c>
      <c r="F14" s="6">
        <f ca="1">IF(D14="","",F13*(1+Assumptions!$B$15))</f>
        <v>109513.17820050978</v>
      </c>
      <c r="G14" s="19">
        <f ca="1">IF(D14="","",  IF($B$2=600, (Assumptions!$B$8)*MIN(F14,E14) + (Assumptions!$B$9)*MAX(0,F14-E14), 12*(Assumptions!$B$7)))</f>
        <v>720</v>
      </c>
      <c r="I14" s="209">
        <f ca="1">IFERROR(IF(IF(I13+1&gt;=YEAR('Part D Pension Calculator'!$B$1),0, I13+1) = 0, "", IF(I13+1&gt;=YEAR(('Part D Pension Calculator'!$B$1)),0, I13+1)),"")</f>
        <v>2014</v>
      </c>
      <c r="J14" s="6">
        <f ca="1">IF(I14="","",IF(I14&lt;2019, IF(I14="","",VLOOKUP(I14,$N$2:$O$44,2,FALSE)), $B$5*((1+Assumptions!$B$16)^(I14-2019))))</f>
        <v>52500</v>
      </c>
      <c r="K14" s="221">
        <f ca="1">IF(I14="","",IF(I14&lt;2014,($B$4)*(1+Assumptions!$B$14)^(I14-2014),IF(I14=2014,$B$4,($B$4)*(1+Assumptions!$B$15)^(I14-2014))))</f>
        <v>68244.990000000005</v>
      </c>
      <c r="L14" s="6">
        <f ca="1">IF(I14="","",  IF($B$2=600, (Assumptions!$B$8)*MIN(J14,K14) + (Assumptions!$B$9)*MAX(0,K14-J14), 12*(Assumptions!$B$7)))</f>
        <v>720</v>
      </c>
      <c r="N14" s="208">
        <v>1989</v>
      </c>
      <c r="O14" s="218">
        <v>27700</v>
      </c>
      <c r="Q14" s="209">
        <v>777</v>
      </c>
      <c r="R14" s="219">
        <v>58347.24</v>
      </c>
    </row>
    <row r="15" spans="1:18" x14ac:dyDescent="0.25">
      <c r="D15" s="209">
        <f ca="1">IFERROR(IF(IF(DATE((D14+1),1,1)&gt;'Part D Pension Calculator'!$B$6,0,D14+1)=0,"",IF(DATE((D14+1),1,1)&gt;'Part D Pension Calculator'!$B$6,0,D14+1)),"")</f>
        <v>2031</v>
      </c>
      <c r="E15" s="6">
        <f ca="1" xml:space="preserve"> IF(D15="","", $B$5*((1+Assumptions!$B$16)^(D15-2019)))</f>
        <v>91899.249345784934</v>
      </c>
      <c r="F15" s="6">
        <f ca="1">IF(D15="","",F14*(1+Assumptions!$B$15))</f>
        <v>112798.57354652508</v>
      </c>
      <c r="G15" s="19">
        <f ca="1">IF(D15="","",  IF($B$2=600, (Assumptions!$B$8)*MIN(F15,E15) + (Assumptions!$B$9)*MAX(0,F15-E15), 12*(Assumptions!$B$7)))</f>
        <v>720</v>
      </c>
      <c r="I15" s="209">
        <f ca="1">IFERROR(IF(IF(I14+1&gt;=YEAR('Part D Pension Calculator'!$B$1),0, I14+1) = 0, "", IF(I14+1&gt;=YEAR(('Part D Pension Calculator'!$B$1)),0, I14+1)),"")</f>
        <v>2015</v>
      </c>
      <c r="J15" s="6">
        <f ca="1">IF(I15="","",IF(I15&lt;2019, IF(I15="","",VLOOKUP(I15,$N$2:$O$44,2,FALSE)), $B$5*((1+Assumptions!$B$16)^(I15-2019))))</f>
        <v>53600</v>
      </c>
      <c r="K15" s="221">
        <f ca="1">IF(I15="","",IF(I15&lt;2014,($B$4)*(1+Assumptions!$B$14)^(I15-2014),IF(I15=2014,$B$4,($B$4)*(1+Assumptions!$B$15)^(I15-2014))))</f>
        <v>70292.339700000011</v>
      </c>
      <c r="L15" s="6">
        <f ca="1">IF(I15="","",  IF($B$2=600, (Assumptions!$B$8)*MIN(J15,K15) + (Assumptions!$B$9)*MAX(0,K15-J15), 12*(Assumptions!$B$7)))</f>
        <v>720</v>
      </c>
      <c r="N15" s="208">
        <v>1990</v>
      </c>
      <c r="O15" s="218">
        <v>28900</v>
      </c>
      <c r="Q15" s="209">
        <v>776</v>
      </c>
      <c r="R15" s="219">
        <v>59172.05</v>
      </c>
    </row>
    <row r="16" spans="1:18" x14ac:dyDescent="0.25">
      <c r="D16" s="209">
        <f ca="1">IFERROR(IF(IF(DATE((D15+1),1,1)&gt;'Part D Pension Calculator'!$B$6,0,D15+1)=0,"",IF(DATE((D15+1),1,1)&gt;'Part D Pension Calculator'!$B$6,0,D15+1)),"")</f>
        <v>2032</v>
      </c>
      <c r="E16" s="6">
        <f ca="1" xml:space="preserve"> IF(D16="","", $B$5*((1+Assumptions!$B$16)^(D16-2019)))</f>
        <v>95575.219319616328</v>
      </c>
      <c r="F16" s="6">
        <f ca="1">IF(D16="","",F15*(1+Assumptions!$B$15))</f>
        <v>116182.53075292084</v>
      </c>
      <c r="G16" s="19">
        <f ca="1">IF(D16="","",  IF($B$2=600, (Assumptions!$B$8)*MIN(F16,E16) + (Assumptions!$B$9)*MAX(0,F16-E16), 12*(Assumptions!$B$7)))</f>
        <v>720</v>
      </c>
      <c r="I16" s="209">
        <f ca="1">IFERROR(IF(IF(I15+1&gt;=YEAR('Part D Pension Calculator'!$B$1),0, I15+1) = 0, "", IF(I15+1&gt;=YEAR(('Part D Pension Calculator'!$B$1)),0, I15+1)),"")</f>
        <v>2016</v>
      </c>
      <c r="J16" s="6">
        <f ca="1">IF(I16="","",IF(I16&lt;2019, IF(I16="","",VLOOKUP(I16,$N$2:$O$44,2,FALSE)), $B$5*((1+Assumptions!$B$16)^(I16-2019))))</f>
        <v>54900</v>
      </c>
      <c r="K16" s="221">
        <f ca="1">IF(I16="","",IF(I16&lt;2014,($B$4)*(1+Assumptions!$B$14)^(I16-2014),IF(I16=2014,$B$4,($B$4)*(1+Assumptions!$B$15)^(I16-2014))))</f>
        <v>72401.109891</v>
      </c>
      <c r="L16" s="6">
        <f ca="1">IF(I16="","",  IF($B$2=600, (Assumptions!$B$8)*MIN(J16,K16) + (Assumptions!$B$9)*MAX(0,K16-J16), 12*(Assumptions!$B$7)))</f>
        <v>720</v>
      </c>
      <c r="N16" s="208">
        <v>1991</v>
      </c>
      <c r="O16" s="218">
        <v>30500</v>
      </c>
      <c r="Q16" s="209">
        <v>775</v>
      </c>
      <c r="R16" s="219">
        <v>59996.86</v>
      </c>
    </row>
    <row r="17" spans="4:18" x14ac:dyDescent="0.25">
      <c r="D17" s="209">
        <f ca="1">IFERROR(IF(IF(DATE((D16+1),1,1)&gt;'Part D Pension Calculator'!$B$6,0,D16+1)=0,"",IF(DATE((D16+1),1,1)&gt;'Part D Pension Calculator'!$B$6,0,D16+1)),"")</f>
        <v>2033</v>
      </c>
      <c r="E17" s="6">
        <f ca="1" xml:space="preserve"> IF(D17="","", $B$5*((1+Assumptions!$B$16)^(D17-2019)))</f>
        <v>99398.228092400983</v>
      </c>
      <c r="F17" s="6">
        <f ca="1">IF(D17="","",F16*(1+Assumptions!$B$15))</f>
        <v>119668.00667550847</v>
      </c>
      <c r="G17" s="19">
        <f ca="1">IF(D17="","",  IF($B$2=600, (Assumptions!$B$8)*MIN(F17,E17) + (Assumptions!$B$9)*MAX(0,F17-E17), 12*(Assumptions!$B$7)))</f>
        <v>720</v>
      </c>
      <c r="I17" s="209">
        <f ca="1">IFERROR(IF(IF(I16+1&gt;=YEAR('Part D Pension Calculator'!$B$1),0, I16+1) = 0, "", IF(I16+1&gt;=YEAR(('Part D Pension Calculator'!$B$1)),0, I16+1)),"")</f>
        <v>2017</v>
      </c>
      <c r="J17" s="6">
        <f ca="1">IF(I17="","",IF(I17&lt;2019, IF(I17="","",VLOOKUP(I17,$N$2:$O$44,2,FALSE)), $B$5*((1+Assumptions!$B$16)^(I17-2019))))</f>
        <v>55300</v>
      </c>
      <c r="K17" s="221">
        <f ca="1">IF(I17="","",IF(I17&lt;2014,($B$4)*(1+Assumptions!$B$14)^(I17-2014),IF(I17=2014,$B$4,($B$4)*(1+Assumptions!$B$15)^(I17-2014))))</f>
        <v>74573.143187730006</v>
      </c>
      <c r="L17" s="6">
        <f ca="1">IF(I17="","",  IF($B$2=600, (Assumptions!$B$8)*MIN(J17,K17) + (Assumptions!$B$9)*MAX(0,K17-J17), 12*(Assumptions!$B$7)))</f>
        <v>720</v>
      </c>
      <c r="N17" s="208">
        <v>1992</v>
      </c>
      <c r="O17" s="218">
        <v>32200</v>
      </c>
      <c r="Q17" s="209">
        <v>774</v>
      </c>
      <c r="R17" s="219">
        <v>60821.67</v>
      </c>
    </row>
    <row r="18" spans="4:18" x14ac:dyDescent="0.25">
      <c r="D18" s="209">
        <f ca="1">IFERROR(IF(IF(DATE((D17+1),1,1)&gt;'Part D Pension Calculator'!$B$6,0,D17+1)=0,"",IF(DATE((D17+1),1,1)&gt;'Part D Pension Calculator'!$B$6,0,D17+1)),"")</f>
        <v>2034</v>
      </c>
      <c r="E18" s="6">
        <f ca="1" xml:space="preserve"> IF(D18="","", $B$5*((1+Assumptions!$B$16)^(D18-2019)))</f>
        <v>103374.15721609702</v>
      </c>
      <c r="F18" s="6">
        <f ca="1">IF(D18="","",F17*(1+Assumptions!$B$15))</f>
        <v>123258.04687577373</v>
      </c>
      <c r="G18" s="19">
        <f ca="1">IF(D18="","",  IF($B$2=600, (Assumptions!$B$8)*MIN(F18,E18) + (Assumptions!$B$9)*MAX(0,F18-E18), 12*(Assumptions!$B$7)))</f>
        <v>720</v>
      </c>
      <c r="I18" s="209">
        <f ca="1">IFERROR(IF(IF(I17+1&gt;=YEAR('Part D Pension Calculator'!$B$1),0, I17+1) = 0, "", IF(I17+1&gt;=YEAR(('Part D Pension Calculator'!$B$1)),0, I17+1)),"")</f>
        <v>2018</v>
      </c>
      <c r="J18" s="6">
        <f ca="1">IF(I18="","",IF(I18&lt;2019, IF(I18="","",VLOOKUP(I18,$N$2:$O$44,2,FALSE)), $B$5*((1+Assumptions!$B$16)^(I18-2019))))</f>
        <v>55900</v>
      </c>
      <c r="K18" s="221">
        <f ca="1">IF(I18="","",IF(I18&lt;2014,($B$4)*(1+Assumptions!$B$14)^(I18-2014),IF(I18=2014,$B$4,($B$4)*(1+Assumptions!$B$15)^(I18-2014))))</f>
        <v>76810.337483361902</v>
      </c>
      <c r="L18" s="6">
        <f ca="1">IF(I18="","",  IF($B$2=600, (Assumptions!$B$8)*MIN(J18,K18) + (Assumptions!$B$9)*MAX(0,K18-J18), 12*(Assumptions!$B$7)))</f>
        <v>720</v>
      </c>
      <c r="N18" s="208">
        <v>1993</v>
      </c>
      <c r="O18" s="218">
        <v>33400</v>
      </c>
      <c r="Q18" s="209">
        <v>772</v>
      </c>
      <c r="R18" s="219">
        <v>61646.49</v>
      </c>
    </row>
    <row r="19" spans="4:18" x14ac:dyDescent="0.25">
      <c r="D19" s="209">
        <f ca="1">IFERROR(IF(IF(DATE((D18+1),1,1)&gt;'Part D Pension Calculator'!$B$6,0,D18+1)=0,"",IF(DATE((D18+1),1,1)&gt;'Part D Pension Calculator'!$B$6,0,D18+1)),"")</f>
        <v>2035</v>
      </c>
      <c r="E19" s="6">
        <f ca="1" xml:space="preserve"> IF(D19="","", $B$5*((1+Assumptions!$B$16)^(D19-2019)))</f>
        <v>107509.12350474091</v>
      </c>
      <c r="F19" s="6">
        <f ca="1">IF(D19="","",F18*(1+Assumptions!$B$15))</f>
        <v>126955.78828204694</v>
      </c>
      <c r="G19" s="19">
        <f ca="1">IF(D19="","",  IF($B$2=600, (Assumptions!$B$8)*MIN(F19,E19) + (Assumptions!$B$9)*MAX(0,F19-E19), 12*(Assumptions!$B$7)))</f>
        <v>720</v>
      </c>
      <c r="I19" s="209" t="str">
        <f ca="1">IFERROR(IF(IF(I18+1&gt;=YEAR('Part D Pension Calculator'!$B$1),0, I18+1) = 0, "", IF(I18+1&gt;=YEAR(('Part D Pension Calculator'!$B$1)),0, I18+1)),"")</f>
        <v/>
      </c>
      <c r="J19" s="6" t="str">
        <f ca="1">IF(I19="","",IF(I19&lt;2019, IF(I19="","",VLOOKUP(I19,$N$2:$O$44,2,FALSE)), $B$5*((1+Assumptions!$B$16)^(I19-2019))))</f>
        <v/>
      </c>
      <c r="K19" s="221" t="str">
        <f ca="1">IF(I19="","",IF(I19&lt;2014,($B$4)*(1+Assumptions!$B$14)^(I19-2014),IF(I19=2014,$B$4,($B$4)*(1+Assumptions!$B$15)^(I19-2014))))</f>
        <v/>
      </c>
      <c r="L19" s="6" t="str">
        <f ca="1">IF(I19="","",  IF($B$2=600, (Assumptions!$B$8)*MIN(J19,K19) + (Assumptions!$B$9)*MAX(0,K19-J19), 12*(Assumptions!$B$7)))</f>
        <v/>
      </c>
      <c r="N19" s="208">
        <v>1994</v>
      </c>
      <c r="O19" s="218">
        <v>34400</v>
      </c>
      <c r="Q19" s="209">
        <v>771</v>
      </c>
      <c r="R19" s="219">
        <v>62471.3</v>
      </c>
    </row>
    <row r="20" spans="4:18" x14ac:dyDescent="0.25">
      <c r="D20" s="209">
        <f ca="1">IFERROR(IF(IF(DATE((D19+1),1,1)&gt;'Part D Pension Calculator'!$B$6,0,D19+1)=0,"",IF(DATE((D19+1),1,1)&gt;'Part D Pension Calculator'!$B$6,0,D19+1)),"")</f>
        <v>2036</v>
      </c>
      <c r="E20" s="6">
        <f ca="1" xml:space="preserve"> IF(D20="","", $B$5*((1+Assumptions!$B$16)^(D20-2019)))</f>
        <v>111809.48844493055</v>
      </c>
      <c r="F20" s="6">
        <f ca="1">IF(D20="","",F19*(1+Assumptions!$B$15))</f>
        <v>130764.46193050835</v>
      </c>
      <c r="G20" s="19">
        <f ca="1">IF(D20="","",  IF($B$2=600, (Assumptions!$B$8)*MIN(F20,E20) + (Assumptions!$B$9)*MAX(0,F20-E20), 12*(Assumptions!$B$7)))</f>
        <v>720</v>
      </c>
      <c r="I20" s="209" t="str">
        <f ca="1">IFERROR(IF(IF(I19+1&gt;=YEAR('Part D Pension Calculator'!$B$1),0, I19+1) = 0, "", IF(I19+1&gt;=YEAR(('Part D Pension Calculator'!$B$1)),0, I19+1)),"")</f>
        <v/>
      </c>
      <c r="J20" s="6" t="str">
        <f ca="1">IF(I20="","",IF(I20&lt;2019, IF(I20="","",VLOOKUP(I20,$N$2:$O$44,2,FALSE)), $B$5*((1+Assumptions!$B$16)^(I20-2019))))</f>
        <v/>
      </c>
      <c r="K20" s="221" t="str">
        <f ca="1">IF(I20="","",IF(I20&lt;2014,($B$4)*(1+Assumptions!$B$14)^(I20-2014),IF(I20=2014,$B$4,($B$4)*(1+Assumptions!$B$15)^(I20-2014))))</f>
        <v/>
      </c>
      <c r="L20" s="6" t="str">
        <f ca="1">IF(I20="","",  IF($B$2=600, (Assumptions!$B$8)*MIN(J20,K20) + (Assumptions!$B$9)*MAX(0,K20-J20), 12*(Assumptions!$B$7)))</f>
        <v/>
      </c>
      <c r="N20" s="208">
        <v>1995</v>
      </c>
      <c r="O20" s="218">
        <v>34900</v>
      </c>
      <c r="Q20" s="209">
        <v>768</v>
      </c>
      <c r="R20" s="219">
        <v>63296.11</v>
      </c>
    </row>
    <row r="21" spans="4:18" x14ac:dyDescent="0.25">
      <c r="D21" s="209" t="str">
        <f ca="1">IFERROR(IF(IF(DATE((D20+1),1,1)&gt;'Part D Pension Calculator'!$B$6,0,D20+1)=0,"",IF(DATE((D20+1),1,1)&gt;'Part D Pension Calculator'!$B$6,0,D20+1)),"")</f>
        <v/>
      </c>
      <c r="E21" s="6" t="str">
        <f ca="1" xml:space="preserve"> IF(D21="","", $B$5*((1+Assumptions!$B$16)^(D21-2019)))</f>
        <v/>
      </c>
      <c r="F21" s="6" t="str">
        <f ca="1">IF(D21="","",F20*(1+Assumptions!$B$15))</f>
        <v/>
      </c>
      <c r="G21" s="19" t="str">
        <f ca="1">IF(D21="","",  IF($B$2=600, (Assumptions!$B$8)*MIN(F21,E21) + (Assumptions!$B$9)*MAX(0,F21-E21), 12*(Assumptions!$B$7)))</f>
        <v/>
      </c>
      <c r="I21" s="209" t="str">
        <f ca="1">IFERROR(IF(IF(I20+1&gt;=YEAR('Part D Pension Calculator'!$B$1),0, I20+1) = 0, "", IF(I20+1&gt;=YEAR(('Part D Pension Calculator'!$B$1)),0, I20+1)),"")</f>
        <v/>
      </c>
      <c r="J21" s="6" t="str">
        <f ca="1">IF(I21="","",IF(I21&lt;2019, IF(I21="","",VLOOKUP(I21,$N$2:$O$44,2,FALSE)), $B$5*((1+Assumptions!$B$16)^(I21-2019))))</f>
        <v/>
      </c>
      <c r="K21" s="221" t="str">
        <f ca="1">IF(I21="","",IF(I21&lt;2014,($B$4)*(1+Assumptions!$B$14)^(I21-2014),IF(I21=2014,$B$4,($B$4)*(1+Assumptions!$B$15)^(I21-2014))))</f>
        <v/>
      </c>
      <c r="L21" s="6" t="str">
        <f ca="1">IF(I21="","",  IF($B$2=600, (Assumptions!$B$8)*MIN(J21,K21) + (Assumptions!$B$9)*MAX(0,K21-J21), 12*(Assumptions!$B$7)))</f>
        <v/>
      </c>
      <c r="N21" s="208">
        <v>1996</v>
      </c>
      <c r="O21" s="218">
        <v>35400</v>
      </c>
      <c r="Q21" s="209">
        <v>767</v>
      </c>
      <c r="R21" s="219">
        <v>64120.92</v>
      </c>
    </row>
    <row r="22" spans="4:18" x14ac:dyDescent="0.25">
      <c r="D22" s="209" t="str">
        <f ca="1">IFERROR(IF(IF(DATE((D21+1),1,1)&gt;'Part D Pension Calculator'!$B$6,0,D21+1)=0,"",IF(DATE((D21+1),1,1)&gt;'Part D Pension Calculator'!$B$6,0,D21+1)),"")</f>
        <v/>
      </c>
      <c r="E22" s="6" t="str">
        <f ca="1" xml:space="preserve"> IF(D22="","", $B$5*((1+Assumptions!$B$16)^(D22-2019)))</f>
        <v/>
      </c>
      <c r="F22" s="6" t="str">
        <f ca="1">IF(D22="","",F21*(1+Assumptions!$B$15))</f>
        <v/>
      </c>
      <c r="G22" s="19" t="str">
        <f ca="1">IF(D22="","",  IF($B$2=600, (Assumptions!$B$8)*MIN(F22,E22) + (Assumptions!$B$9)*MAX(0,F22-E22), 12*(Assumptions!$B$7)))</f>
        <v/>
      </c>
      <c r="I22" s="209" t="str">
        <f ca="1">IFERROR(IF(IF(I21+1&gt;=YEAR('Part D Pension Calculator'!$B$1),0, I21+1) = 0, "", IF(I21+1&gt;=YEAR(('Part D Pension Calculator'!$B$1)),0, I21+1)),"")</f>
        <v/>
      </c>
      <c r="J22" s="6" t="str">
        <f ca="1">IF(I22="","",IF(I22&lt;2019, IF(I22="","",VLOOKUP(I22,$N$2:$O$44,2,FALSE)), $B$5*((1+Assumptions!$B$16)^(I22-2019))))</f>
        <v/>
      </c>
      <c r="K22" s="221" t="str">
        <f ca="1">IF(I22="","",IF(I22&lt;2014,($B$4)*(1+Assumptions!$B$14)^(I22-2014),IF(I22=2014,$B$4,($B$4)*(1+Assumptions!$B$15)^(I22-2014))))</f>
        <v/>
      </c>
      <c r="L22" s="6" t="str">
        <f ca="1">IF(I22="","",  IF($B$2=600, (Assumptions!$B$8)*MIN(J22,K22) + (Assumptions!$B$9)*MAX(0,K22-J22), 12*(Assumptions!$B$7)))</f>
        <v/>
      </c>
      <c r="N22" s="208">
        <v>1997</v>
      </c>
      <c r="O22" s="218">
        <v>35800</v>
      </c>
      <c r="Q22" s="209">
        <v>766</v>
      </c>
      <c r="R22" s="219">
        <v>64945.74</v>
      </c>
    </row>
    <row r="23" spans="4:18" x14ac:dyDescent="0.25">
      <c r="D23" s="209" t="str">
        <f ca="1">IFERROR(IF(IF(DATE((D22+1),1,1)&gt;'Part D Pension Calculator'!$B$6,0,D22+1)=0,"",IF(DATE((D22+1),1,1)&gt;'Part D Pension Calculator'!$B$6,0,D22+1)),"")</f>
        <v/>
      </c>
      <c r="E23" s="6" t="str">
        <f ca="1" xml:space="preserve"> IF(D23="","", $B$5*((1+Assumptions!$B$16)^(D23-2019)))</f>
        <v/>
      </c>
      <c r="F23" s="6" t="str">
        <f ca="1">IF(D23="","",F22*(1+Assumptions!$B$15))</f>
        <v/>
      </c>
      <c r="G23" s="19" t="str">
        <f ca="1">IF(D23="","",  IF($B$2=600, (Assumptions!$B$8)*MIN(F23,E23) + (Assumptions!$B$9)*MAX(0,F23-E23), 12*(Assumptions!$B$7)))</f>
        <v/>
      </c>
      <c r="I23" s="209" t="str">
        <f ca="1">IFERROR(IF(IF(I22+1&gt;=YEAR('Part D Pension Calculator'!$B$1),0, I22+1) = 0, "", IF(I22+1&gt;=YEAR(('Part D Pension Calculator'!$B$1)),0, I22+1)),"")</f>
        <v/>
      </c>
      <c r="J23" s="6" t="str">
        <f ca="1">IF(I23="","",IF(I23&lt;2019, IF(I23="","",VLOOKUP(I23,$N$2:$O$44,2,FALSE)), $B$5*((1+Assumptions!$B$16)^(I23-2019))))</f>
        <v/>
      </c>
      <c r="K23" s="221" t="str">
        <f ca="1">IF(I23="","",IF(I23&lt;2014,($B$4)*(1+Assumptions!$B$14)^(I23-2014),IF(I23=2014,$B$4,($B$4)*(1+Assumptions!$B$15)^(I23-2014))))</f>
        <v/>
      </c>
      <c r="L23" s="6" t="str">
        <f ca="1">IF(I23="","",  IF($B$2=600, (Assumptions!$B$8)*MIN(J23,K23) + (Assumptions!$B$9)*MAX(0,K23-J23), 12*(Assumptions!$B$7)))</f>
        <v/>
      </c>
      <c r="N23" s="208">
        <v>1998</v>
      </c>
      <c r="O23" s="218">
        <v>36900</v>
      </c>
      <c r="Q23" s="209">
        <v>765</v>
      </c>
      <c r="R23" s="219">
        <v>65770.55</v>
      </c>
    </row>
    <row r="24" spans="4:18" x14ac:dyDescent="0.25">
      <c r="D24" s="209" t="str">
        <f ca="1">IFERROR(IF(IF(DATE((D23+1),1,1)&gt;'Part D Pension Calculator'!$B$6,0,D23+1)=0,"",IF(DATE((D23+1),1,1)&gt;'Part D Pension Calculator'!$B$6,0,D23+1)),"")</f>
        <v/>
      </c>
      <c r="E24" s="6" t="str">
        <f ca="1" xml:space="preserve"> IF(D24="","", $B$5*((1+Assumptions!$B$16)^(D24-2019)))</f>
        <v/>
      </c>
      <c r="F24" s="6" t="str">
        <f ca="1">IF(D24="","",F23*(1+Assumptions!$B$15))</f>
        <v/>
      </c>
      <c r="G24" s="19" t="str">
        <f ca="1">IF(D24="","",  IF($B$2=600, (Assumptions!$B$8)*MIN(F24,E24) + (Assumptions!$B$9)*MAX(0,F24-E24), 12*(Assumptions!$B$7)))</f>
        <v/>
      </c>
      <c r="I24" s="209" t="str">
        <f ca="1">IFERROR(IF(IF(I23+1&gt;=YEAR('Part D Pension Calculator'!$B$1),0, I23+1) = 0, "", IF(I23+1&gt;=YEAR(('Part D Pension Calculator'!$B$1)),0, I23+1)),"")</f>
        <v/>
      </c>
      <c r="J24" s="6" t="str">
        <f ca="1">IF(I24="","",IF(I24&lt;2019, IF(I24="","",VLOOKUP(I24,$N$2:$O$44,2,FALSE)), $B$5*((1+Assumptions!$B$16)^(I24-2019))))</f>
        <v/>
      </c>
      <c r="K24" s="221" t="str">
        <f ca="1">IF(I24="","",IF(I24&lt;2014,($B$4)*(1+Assumptions!$B$14)^(I24-2014),IF(I24=2014,$B$4,($B$4)*(1+Assumptions!$B$15)^(I24-2014))))</f>
        <v/>
      </c>
      <c r="L24" s="6" t="str">
        <f ca="1">IF(I24="","",  IF($B$2=600, (Assumptions!$B$8)*MIN(J24,K24) + (Assumptions!$B$9)*MAX(0,K24-J24), 12*(Assumptions!$B$7)))</f>
        <v/>
      </c>
      <c r="N24" s="208">
        <v>1999</v>
      </c>
      <c r="O24" s="218">
        <v>37400</v>
      </c>
      <c r="Q24" s="209">
        <v>762</v>
      </c>
      <c r="R24" s="219">
        <v>66595.360000000001</v>
      </c>
    </row>
    <row r="25" spans="4:18" x14ac:dyDescent="0.25">
      <c r="D25" s="209" t="str">
        <f ca="1">IFERROR(IF(IF(DATE((D24+1),1,1)&gt;'Part D Pension Calculator'!$B$6,0,D24+1)=0,"",IF(DATE((D24+1),1,1)&gt;'Part D Pension Calculator'!$B$6,0,D24+1)),"")</f>
        <v/>
      </c>
      <c r="E25" s="6" t="str">
        <f ca="1" xml:space="preserve"> IF(D25="","", $B$5*((1+Assumptions!$B$16)^(D25-2019)))</f>
        <v/>
      </c>
      <c r="F25" s="6" t="str">
        <f ca="1">IF(D25="","",F24*(1+Assumptions!$B$15))</f>
        <v/>
      </c>
      <c r="G25" s="19" t="str">
        <f ca="1">IF(D25="","",  IF($B$2=600, (Assumptions!$B$8)*MIN(F25,E25) + (Assumptions!$B$9)*MAX(0,F25-E25), 12*(Assumptions!$B$7)))</f>
        <v/>
      </c>
      <c r="I25" s="209" t="str">
        <f ca="1">IFERROR(IF(IF(I24+1&gt;=YEAR('Part D Pension Calculator'!$B$1),0, I24+1) = 0, "", IF(I24+1&gt;=YEAR(('Part D Pension Calculator'!$B$1)),0, I24+1)),"")</f>
        <v/>
      </c>
      <c r="J25" s="6" t="str">
        <f ca="1">IF(I25="","",IF(I25&lt;2019, IF(I25="","",VLOOKUP(I25,$N$2:$O$44,2,FALSE)), $B$5*((1+Assumptions!$B$16)^(I25-2019))))</f>
        <v/>
      </c>
      <c r="K25" s="221" t="str">
        <f ca="1">IF(I25="","",IF(I25&lt;2014,($B$4)*(1+Assumptions!$B$14)^(I25-2014),IF(I25=2014,$B$4,($B$4)*(1+Assumptions!$B$15)^(I25-2014))))</f>
        <v/>
      </c>
      <c r="L25" s="6" t="str">
        <f ca="1">IF(I25="","",  IF($B$2=600, (Assumptions!$B$8)*MIN(J25,K25) + (Assumptions!$B$9)*MAX(0,K25-J25), 12*(Assumptions!$B$7)))</f>
        <v/>
      </c>
      <c r="N25" s="208">
        <v>2000</v>
      </c>
      <c r="O25" s="218">
        <v>37600</v>
      </c>
      <c r="Q25" s="209">
        <v>758</v>
      </c>
      <c r="R25" s="219">
        <v>67420.17</v>
      </c>
    </row>
    <row r="26" spans="4:18" x14ac:dyDescent="0.25">
      <c r="D26" s="209" t="str">
        <f ca="1">IFERROR(IF(IF(DATE((D25+1),1,1)&gt;'Part D Pension Calculator'!$B$6,0,D25+1)=0,"",IF(DATE((D25+1),1,1)&gt;'Part D Pension Calculator'!$B$6,0,D25+1)),"")</f>
        <v/>
      </c>
      <c r="E26" s="6" t="str">
        <f ca="1" xml:space="preserve"> IF(D26="","", $B$5*((1+Assumptions!$B$16)^(D26-2019)))</f>
        <v/>
      </c>
      <c r="F26" s="6" t="str">
        <f ca="1">IF(D26="","",F25*(1+Assumptions!$B$15))</f>
        <v/>
      </c>
      <c r="G26" s="19" t="str">
        <f ca="1">IF(D26="","",  IF($B$2=600, (Assumptions!$B$8)*MIN(F26,E26) + (Assumptions!$B$9)*MAX(0,F26-E26), 12*(Assumptions!$B$7)))</f>
        <v/>
      </c>
      <c r="I26" s="209" t="str">
        <f ca="1">IFERROR(IF(IF(I25+1&gt;=YEAR('Part D Pension Calculator'!$B$1),0, I25+1) = 0, "", IF(I25+1&gt;=YEAR(('Part D Pension Calculator'!$B$1)),0, I25+1)),"")</f>
        <v/>
      </c>
      <c r="J26" s="6" t="str">
        <f ca="1">IF(I26="","",IF(I26&lt;2019, IF(I26="","",VLOOKUP(I26,$N$2:$O$44,2,FALSE)), $B$5*((1+Assumptions!$B$16)^(I26-2019))))</f>
        <v/>
      </c>
      <c r="K26" s="221" t="str">
        <f ca="1">IF(I26="","",IF(I26&lt;2014,($B$4)*(1+Assumptions!$B$14)^(I26-2014),IF(I26=2014,$B$4,($B$4)*(1+Assumptions!$B$15)^(I26-2014))))</f>
        <v/>
      </c>
      <c r="L26" s="6" t="str">
        <f ca="1">IF(I26="","",  IF($B$2=600, (Assumptions!$B$8)*MIN(J26,K26) + (Assumptions!$B$9)*MAX(0,K26-J26), 12*(Assumptions!$B$7)))</f>
        <v/>
      </c>
      <c r="N26" s="208">
        <v>2001</v>
      </c>
      <c r="O26" s="218">
        <v>38300</v>
      </c>
      <c r="Q26" s="209">
        <v>757</v>
      </c>
      <c r="R26" s="219">
        <v>68244.990000000005</v>
      </c>
    </row>
    <row r="27" spans="4:18" x14ac:dyDescent="0.25">
      <c r="D27" s="209" t="str">
        <f ca="1">IFERROR(IF(IF(DATE((D26+1),1,1)&gt;'Part D Pension Calculator'!$B$6,0,D26+1)=0,"",IF(DATE((D26+1),1,1)&gt;'Part D Pension Calculator'!$B$6,0,D26+1)),"")</f>
        <v/>
      </c>
      <c r="E27" s="6" t="str">
        <f ca="1" xml:space="preserve"> IF(D27="","", $B$5*((1+Assumptions!$B$16)^(D27-2019)))</f>
        <v/>
      </c>
      <c r="F27" s="6" t="str">
        <f ca="1">IF(D27="","",F26*(1+Assumptions!$B$15))</f>
        <v/>
      </c>
      <c r="G27" s="19" t="str">
        <f ca="1">IF(D27="","",  IF($B$2=600, (Assumptions!$B$8)*MIN(F27,E27) + (Assumptions!$B$9)*MAX(0,F27-E27), 12*(Assumptions!$B$7)))</f>
        <v/>
      </c>
      <c r="I27" s="209" t="str">
        <f ca="1">IFERROR(IF(IF(I26+1&gt;=YEAR('Part D Pension Calculator'!$B$1),0, I26+1) = 0, "", IF(I26+1&gt;=YEAR(('Part D Pension Calculator'!$B$1)),0, I26+1)),"")</f>
        <v/>
      </c>
      <c r="J27" s="6" t="str">
        <f ca="1">IF(I27="","",IF(I27&lt;2019, IF(I27="","",VLOOKUP(I27,$N$2:$O$44,2,FALSE)), $B$5*((1+Assumptions!$B$16)^(I27-2019))))</f>
        <v/>
      </c>
      <c r="K27" s="221" t="str">
        <f ca="1">IF(I27="","",IF(I27&lt;2014,($B$4)*(1+Assumptions!$B$14)^(I27-2014),IF(I27=2014,$B$4,($B$4)*(1+Assumptions!$B$15)^(I27-2014))))</f>
        <v/>
      </c>
      <c r="L27" s="6" t="str">
        <f ca="1">IF(I27="","",  IF($B$2=600, (Assumptions!$B$8)*MIN(J27,K27) + (Assumptions!$B$9)*MAX(0,K27-J27), 12*(Assumptions!$B$7)))</f>
        <v/>
      </c>
      <c r="N27" s="208">
        <v>2002</v>
      </c>
      <c r="O27" s="218">
        <v>39100</v>
      </c>
      <c r="Q27" s="209">
        <v>756</v>
      </c>
      <c r="R27" s="219">
        <v>69069.8</v>
      </c>
    </row>
    <row r="28" spans="4:18" x14ac:dyDescent="0.25">
      <c r="D28" s="209" t="str">
        <f ca="1">IFERROR(IF(IF(DATE((D27+1),1,1)&gt;'Part D Pension Calculator'!$B$6,0,D27+1)=0,"",IF(DATE((D27+1),1,1)&gt;'Part D Pension Calculator'!$B$6,0,D27+1)),"")</f>
        <v/>
      </c>
      <c r="E28" s="6" t="str">
        <f ca="1" xml:space="preserve"> IF(D28="","", $B$5*((1+Assumptions!$B$16)^(D28-2019)))</f>
        <v/>
      </c>
      <c r="F28" s="6" t="str">
        <f ca="1">IF(D28="","",F27*(1+Assumptions!$B$15))</f>
        <v/>
      </c>
      <c r="G28" s="19" t="str">
        <f ca="1">IF(D28="","",  IF($B$2=600, (Assumptions!$B$8)*MIN(F28,E28) + (Assumptions!$B$9)*MAX(0,F28-E28), 12*(Assumptions!$B$7)))</f>
        <v/>
      </c>
      <c r="I28" s="209" t="str">
        <f ca="1">IFERROR(IF(IF(I27+1&gt;=YEAR('Part D Pension Calculator'!$B$1),0, I27+1) = 0, "", IF(I27+1&gt;=YEAR(('Part D Pension Calculator'!$B$1)),0, I27+1)),"")</f>
        <v/>
      </c>
      <c r="J28" s="6" t="str">
        <f ca="1">IF(I28="","",IF(I28&lt;2019, IF(I28="","",VLOOKUP(I28,$N$2:$O$44,2,FALSE)), $B$5*((1+Assumptions!$B$16)^(I28-2019))))</f>
        <v/>
      </c>
      <c r="K28" s="221" t="str">
        <f ca="1">IF(I28="","",IF(I28&lt;2014,($B$4)*(1+Assumptions!$B$14)^(I28-2014),IF(I28=2014,$B$4,($B$4)*(1+Assumptions!$B$15)^(I28-2014))))</f>
        <v/>
      </c>
      <c r="L28" s="6" t="str">
        <f ca="1">IF(I28="","",  IF($B$2=600, (Assumptions!$B$8)*MIN(J28,K28) + (Assumptions!$B$9)*MAX(0,K28-J28), 12*(Assumptions!$B$7)))</f>
        <v/>
      </c>
      <c r="N28" s="208">
        <v>2003</v>
      </c>
      <c r="O28" s="218">
        <v>39900</v>
      </c>
      <c r="Q28" s="209">
        <v>755</v>
      </c>
      <c r="R28" s="219">
        <v>69894.61</v>
      </c>
    </row>
    <row r="29" spans="4:18" x14ac:dyDescent="0.25">
      <c r="D29" s="209" t="str">
        <f ca="1">IFERROR(IF(IF(DATE((D28+1),1,1)&gt;'Part D Pension Calculator'!$B$6,0,D28+1)=0,"",IF(DATE((D28+1),1,1)&gt;'Part D Pension Calculator'!$B$6,0,D28+1)),"")</f>
        <v/>
      </c>
      <c r="E29" s="6" t="str">
        <f ca="1" xml:space="preserve"> IF(D29="","", $B$5*((1+Assumptions!$B$16)^(D29-2019)))</f>
        <v/>
      </c>
      <c r="F29" s="6" t="str">
        <f ca="1">IF(D29="","",F28*(1+Assumptions!$B$15))</f>
        <v/>
      </c>
      <c r="G29" s="19" t="str">
        <f ca="1">IF(D29="","",  IF($B$2=600, (Assumptions!$B$8)*MIN(F29,E29) + (Assumptions!$B$9)*MAX(0,F29-E29), 12*(Assumptions!$B$7)))</f>
        <v/>
      </c>
      <c r="I29" s="209" t="str">
        <f ca="1">IFERROR(IF(IF(I28+1&gt;=YEAR('Part D Pension Calculator'!$B$1),0, I28+1) = 0, "", IF(I28+1&gt;=YEAR(('Part D Pension Calculator'!$B$1)),0, I28+1)),"")</f>
        <v/>
      </c>
      <c r="J29" s="6" t="str">
        <f ca="1">IF(I29="","",IF(I29&lt;2019, IF(I29="","",VLOOKUP(I29,$N$2:$O$44,2,FALSE)), $B$5*((1+Assumptions!$B$16)^(I29-2019))))</f>
        <v/>
      </c>
      <c r="K29" s="221" t="str">
        <f ca="1">IF(I29="","",IF(I29&lt;2014,($B$4)*(1+Assumptions!$B$14)^(I29-2014),IF(I29=2014,$B$4,($B$4)*(1+Assumptions!$B$15)^(I29-2014))))</f>
        <v/>
      </c>
      <c r="L29" s="6" t="str">
        <f ca="1">IF(I29="","",  IF($B$2=600, (Assumptions!$B$8)*MIN(J29,K29) + (Assumptions!$B$9)*MAX(0,K29-J29), 12*(Assumptions!$B$7)))</f>
        <v/>
      </c>
      <c r="N29" s="208">
        <v>2004</v>
      </c>
      <c r="O29" s="218">
        <v>40500</v>
      </c>
      <c r="Q29" s="209">
        <v>754</v>
      </c>
      <c r="R29" s="219">
        <v>70719.42</v>
      </c>
    </row>
    <row r="30" spans="4:18" x14ac:dyDescent="0.25">
      <c r="D30" s="209" t="str">
        <f ca="1">IFERROR(IF(IF(DATE((D29+1),1,1)&gt;'Part D Pension Calculator'!$B$6,0,D29+1)=0,"",IF(DATE((D29+1),1,1)&gt;'Part D Pension Calculator'!$B$6,0,D29+1)),"")</f>
        <v/>
      </c>
      <c r="E30" s="6" t="str">
        <f ca="1" xml:space="preserve"> IF(D30="","", $B$5*((1+Assumptions!$B$16)^(D30-2019)))</f>
        <v/>
      </c>
      <c r="F30" s="6" t="str">
        <f ca="1">IF(D30="","",F29*(1+Assumptions!$B$15))</f>
        <v/>
      </c>
      <c r="G30" s="19" t="str">
        <f ca="1">IF(D30="","",  IF($B$2=600, (Assumptions!$B$8)*MIN(F30,E30) + (Assumptions!$B$9)*MAX(0,F30-E30), 12*(Assumptions!$B$7)))</f>
        <v/>
      </c>
      <c r="I30" s="209" t="str">
        <f ca="1">IFERROR(IF(IF(I29+1&gt;=YEAR('Part D Pension Calculator'!$B$1),0, I29+1) = 0, "", IF(I29+1&gt;=YEAR(('Part D Pension Calculator'!$B$1)),0, I29+1)),"")</f>
        <v/>
      </c>
      <c r="J30" s="6" t="str">
        <f ca="1">IF(I30="","",IF(I30&lt;2019, IF(I30="","",VLOOKUP(I30,$N$2:$O$44,2,FALSE)), $B$5*((1+Assumptions!$B$16)^(I30-2019))))</f>
        <v/>
      </c>
      <c r="K30" s="221" t="str">
        <f ca="1">IF(I30="","",IF(I30&lt;2014,($B$4)*(1+Assumptions!$B$14)^(I30-2014),IF(I30=2014,$B$4,($B$4)*(1+Assumptions!$B$15)^(I30-2014))))</f>
        <v/>
      </c>
      <c r="L30" s="6" t="str">
        <f ca="1">IF(I30="","",  IF($B$2=600, (Assumptions!$B$8)*MIN(J30,K30) + (Assumptions!$B$9)*MAX(0,K30-J30), 12*(Assumptions!$B$7)))</f>
        <v/>
      </c>
      <c r="N30" s="208">
        <v>2005</v>
      </c>
      <c r="O30" s="218">
        <v>41100</v>
      </c>
      <c r="Q30" s="209">
        <v>753</v>
      </c>
      <c r="R30" s="219">
        <v>71544.240000000005</v>
      </c>
    </row>
    <row r="31" spans="4:18" x14ac:dyDescent="0.25">
      <c r="D31" s="209" t="str">
        <f ca="1">IFERROR(IF(IF(DATE((D30+1),1,1)&gt;'Part D Pension Calculator'!$B$6,0,D30+1)=0,"",IF(DATE((D30+1),1,1)&gt;'Part D Pension Calculator'!$B$6,0,D30+1)),"")</f>
        <v/>
      </c>
      <c r="E31" s="6" t="str">
        <f ca="1" xml:space="preserve"> IF(D31="","", $B$5*((1+Assumptions!$B$16)^(D31-2019)))</f>
        <v/>
      </c>
      <c r="F31" s="6" t="str">
        <f ca="1">IF(D31="","",F30*(1+Assumptions!$B$15))</f>
        <v/>
      </c>
      <c r="G31" s="19" t="str">
        <f ca="1">IF(D31="","",  IF($B$2=600, (Assumptions!$B$8)*MIN(F31,E31) + (Assumptions!$B$9)*MAX(0,F31-E31), 12*(Assumptions!$B$7)))</f>
        <v/>
      </c>
      <c r="I31" s="209" t="str">
        <f ca="1">IFERROR(IF(IF(I30+1&gt;=YEAR('Part D Pension Calculator'!$B$1),0, I30+1) = 0, "", IF(I30+1&gt;=YEAR(('Part D Pension Calculator'!$B$1)),0, I30+1)),"")</f>
        <v/>
      </c>
      <c r="J31" s="6" t="str">
        <f ca="1">IF(I31="","",IF(I31&lt;2019, IF(I31="","",VLOOKUP(I31,$N$2:$O$44,2,FALSE)), $B$5*((1+Assumptions!$B$16)^(I31-2019))))</f>
        <v/>
      </c>
      <c r="K31" s="221" t="str">
        <f ca="1">IF(I31="","",IF(I31&lt;2014,($B$4)*(1+Assumptions!$B$14)^(I31-2014),IF(I31=2014,$B$4,($B$4)*(1+Assumptions!$B$15)^(I31-2014))))</f>
        <v/>
      </c>
      <c r="L31" s="6" t="str">
        <f ca="1">IF(I31="","",  IF($B$2=600, (Assumptions!$B$8)*MIN(J31,K31) + (Assumptions!$B$9)*MAX(0,K31-J31), 12*(Assumptions!$B$7)))</f>
        <v/>
      </c>
      <c r="N31" s="208">
        <v>2006</v>
      </c>
      <c r="O31" s="218">
        <v>42100</v>
      </c>
      <c r="Q31" s="209">
        <v>752</v>
      </c>
      <c r="R31" s="219">
        <v>72369.05</v>
      </c>
    </row>
    <row r="32" spans="4:18" x14ac:dyDescent="0.25">
      <c r="D32" s="209" t="str">
        <f ca="1">IFERROR(IF(IF(DATE((D31+1),1,1)&gt;'Part D Pension Calculator'!$B$6,0,D31+1)=0,"",IF(DATE((D31+1),1,1)&gt;'Part D Pension Calculator'!$B$6,0,D31+1)),"")</f>
        <v/>
      </c>
      <c r="E32" s="6" t="str">
        <f ca="1" xml:space="preserve"> IF(D32="","", $B$5*((1+Assumptions!$B$16)^(D32-2019)))</f>
        <v/>
      </c>
      <c r="F32" s="6" t="str">
        <f ca="1">IF(D32="","",F31*(1+Assumptions!$B$15))</f>
        <v/>
      </c>
      <c r="G32" s="19" t="str">
        <f ca="1">IF(D32="","",  IF($B$2=600, (Assumptions!$B$8)*MIN(F32,E32) + (Assumptions!$B$9)*MAX(0,F32-E32), 12*(Assumptions!$B$7)))</f>
        <v/>
      </c>
      <c r="I32" s="209" t="str">
        <f ca="1">IFERROR(IF(IF(I31+1&gt;=YEAR('Part D Pension Calculator'!$B$1),0, I31+1) = 0, "", IF(I31+1&gt;=YEAR(('Part D Pension Calculator'!$B$1)),0, I31+1)),"")</f>
        <v/>
      </c>
      <c r="J32" s="6" t="str">
        <f ca="1">IF(I32="","",IF(I32&lt;2019, IF(I32="","",VLOOKUP(I32,$N$2:$O$44,2,FALSE)), $B$5*((1+Assumptions!$B$16)^(I32-2019))))</f>
        <v/>
      </c>
      <c r="K32" s="221" t="str">
        <f ca="1">IF(I32="","",IF(I32&lt;2014,($B$4)*(1+Assumptions!$B$14)^(I32-2014),IF(I32=2014,$B$4,($B$4)*(1+Assumptions!$B$15)^(I32-2014))))</f>
        <v/>
      </c>
      <c r="L32" s="6" t="str">
        <f ca="1">IF(I32="","",  IF($B$2=600, (Assumptions!$B$8)*MIN(J32,K32) + (Assumptions!$B$9)*MAX(0,K32-J32), 12*(Assumptions!$B$7)))</f>
        <v/>
      </c>
      <c r="N32" s="208">
        <v>2007</v>
      </c>
      <c r="O32" s="218">
        <v>43700</v>
      </c>
      <c r="Q32" s="209">
        <v>747</v>
      </c>
      <c r="R32" s="219">
        <v>73193.86</v>
      </c>
    </row>
    <row r="33" spans="4:18" x14ac:dyDescent="0.25">
      <c r="D33" s="209" t="str">
        <f ca="1">IFERROR(IF(IF(DATE((D32+1),1,1)&gt;'Part D Pension Calculator'!$B$6,0,D32+1)=0,"",IF(DATE((D32+1),1,1)&gt;'Part D Pension Calculator'!$B$6,0,D32+1)),"")</f>
        <v/>
      </c>
      <c r="E33" s="6" t="str">
        <f ca="1" xml:space="preserve"> IF(D33="","", $B$5*((1+Assumptions!$B$16)^(D33-2019)))</f>
        <v/>
      </c>
      <c r="F33" s="6" t="str">
        <f ca="1">IF(D33="","",F32*(1+Assumptions!$B$15))</f>
        <v/>
      </c>
      <c r="G33" s="19" t="str">
        <f ca="1">IF(D33="","",  IF($B$2=600, (Assumptions!$B$8)*MIN(F33,E33) + (Assumptions!$B$9)*MAX(0,F33-E33), 12*(Assumptions!$B$7)))</f>
        <v/>
      </c>
      <c r="I33" s="209" t="str">
        <f ca="1">IFERROR(IF(IF(I32+1&gt;=YEAR('Part D Pension Calculator'!$B$1),0, I32+1) = 0, "", IF(I32+1&gt;=YEAR(('Part D Pension Calculator'!$B$1)),0, I32+1)),"")</f>
        <v/>
      </c>
      <c r="J33" s="6" t="str">
        <f ca="1">IF(I33="","",IF(I33&lt;2019, IF(I33="","",VLOOKUP(I33,$N$2:$O$44,2,FALSE)), $B$5*((1+Assumptions!$B$16)^(I33-2019))))</f>
        <v/>
      </c>
      <c r="K33" s="221" t="str">
        <f ca="1">IF(I33="","",IF(I33&lt;2014,($B$4)*(1+Assumptions!$B$14)^(I33-2014),IF(I33=2014,$B$4,($B$4)*(1+Assumptions!$B$15)^(I33-2014))))</f>
        <v/>
      </c>
      <c r="L33" s="6" t="str">
        <f ca="1">IF(I33="","",  IF($B$2=600, (Assumptions!$B$8)*MIN(J33,K33) + (Assumptions!$B$9)*MAX(0,K33-J33), 12*(Assumptions!$B$7)))</f>
        <v/>
      </c>
      <c r="N33" s="208">
        <v>2008</v>
      </c>
      <c r="O33" s="218">
        <v>44900</v>
      </c>
      <c r="Q33" s="209">
        <v>746</v>
      </c>
      <c r="R33" s="219">
        <v>74018.67</v>
      </c>
    </row>
    <row r="34" spans="4:18" x14ac:dyDescent="0.25">
      <c r="D34" s="209" t="str">
        <f ca="1">IFERROR(IF(IF(DATE((D33+1),1,1)&gt;'Part D Pension Calculator'!$B$6,0,D33+1)=0,"",IF(DATE((D33+1),1,1)&gt;'Part D Pension Calculator'!$B$6,0,D33+1)),"")</f>
        <v/>
      </c>
      <c r="E34" s="6" t="str">
        <f ca="1" xml:space="preserve"> IF(D34="","", $B$5*((1+Assumptions!$B$16)^(D34-2019)))</f>
        <v/>
      </c>
      <c r="F34" s="6" t="str">
        <f ca="1">IF(D34="","",F33*(1+Assumptions!$B$15))</f>
        <v/>
      </c>
      <c r="G34" s="19" t="str">
        <f ca="1">IF(D34="","",  IF($B$2=600, (Assumptions!$B$8)*MIN(F34,E34) + (Assumptions!$B$9)*MAX(0,F34-E34), 12*(Assumptions!$B$7)))</f>
        <v/>
      </c>
      <c r="I34" s="209" t="str">
        <f ca="1">IFERROR(IF(IF(I33+1&gt;=YEAR('Part D Pension Calculator'!$B$1),0, I33+1) = 0, "", IF(I33+1&gt;=YEAR(('Part D Pension Calculator'!$B$1)),0, I33+1)),"")</f>
        <v/>
      </c>
      <c r="J34" s="6" t="str">
        <f ca="1">IF(I34="","",IF(I34&lt;2019, IF(I34="","",VLOOKUP(I34,$N$2:$O$44,2,FALSE)), $B$5*((1+Assumptions!$B$16)^(I34-2019))))</f>
        <v/>
      </c>
      <c r="K34" s="221" t="str">
        <f ca="1">IF(I34="","",IF(I34&lt;2014,($B$4)*(1+Assumptions!$B$14)^(I34-2014),IF(I34=2014,$B$4,($B$4)*(1+Assumptions!$B$15)^(I34-2014))))</f>
        <v/>
      </c>
      <c r="L34" s="6" t="str">
        <f ca="1">IF(I34="","",  IF($B$2=600, (Assumptions!$B$8)*MIN(J34,K34) + (Assumptions!$B$9)*MAX(0,K34-J34), 12*(Assumptions!$B$7)))</f>
        <v/>
      </c>
      <c r="N34" s="208">
        <v>2009</v>
      </c>
      <c r="O34" s="218">
        <v>46300</v>
      </c>
      <c r="Q34" s="209">
        <v>743</v>
      </c>
      <c r="R34" s="219">
        <v>74843.490000000005</v>
      </c>
    </row>
    <row r="35" spans="4:18" x14ac:dyDescent="0.25">
      <c r="D35" s="209" t="str">
        <f ca="1">IFERROR(IF(IF(DATE((D34+1),1,1)&gt;'Part D Pension Calculator'!$B$6,0,D34+1)=0,"",IF(DATE((D34+1),1,1)&gt;'Part D Pension Calculator'!$B$6,0,D34+1)),"")</f>
        <v/>
      </c>
      <c r="E35" s="6" t="str">
        <f ca="1" xml:space="preserve"> IF(D35="","", $B$5*((1+Assumptions!$B$16)^(D35-2019)))</f>
        <v/>
      </c>
      <c r="F35" s="6" t="str">
        <f ca="1">IF(D35="","",F34*(1+Assumptions!$B$15))</f>
        <v/>
      </c>
      <c r="G35" s="19" t="str">
        <f ca="1">IF(D35="","",  IF($B$2=600, (Assumptions!$B$8)*MIN(F35,E35) + (Assumptions!$B$9)*MAX(0,F35-E35), 12*(Assumptions!$B$7)))</f>
        <v/>
      </c>
      <c r="I35" s="209" t="str">
        <f ca="1">IFERROR(IF(IF(I34+1&gt;=YEAR('Part D Pension Calculator'!$B$1),0, I34+1) = 0, "", IF(I34+1&gt;=YEAR(('Part D Pension Calculator'!$B$1)),0, I34+1)),"")</f>
        <v/>
      </c>
      <c r="J35" s="6" t="str">
        <f ca="1">IF(I35="","",IF(I35&lt;2019, IF(I35="","",VLOOKUP(I35,$N$2:$O$44,2,FALSE)), $B$5*((1+Assumptions!$B$16)^(I35-2019))))</f>
        <v/>
      </c>
      <c r="K35" s="221" t="str">
        <f ca="1">IF(I35="","",IF(I35&lt;2014,($B$4)*(1+Assumptions!$B$14)^(I35-2014),IF(I35=2014,$B$4,($B$4)*(1+Assumptions!$B$15)^(I35-2014))))</f>
        <v/>
      </c>
      <c r="L35" s="6" t="str">
        <f ca="1">IF(I35="","",  IF($B$2=600, (Assumptions!$B$8)*MIN(J35,K35) + (Assumptions!$B$9)*MAX(0,K35-J35), 12*(Assumptions!$B$7)))</f>
        <v/>
      </c>
      <c r="N35" s="208">
        <v>2010</v>
      </c>
      <c r="O35" s="218">
        <v>47200</v>
      </c>
      <c r="Q35" s="209">
        <v>742</v>
      </c>
      <c r="R35" s="219">
        <v>75668.3</v>
      </c>
    </row>
    <row r="36" spans="4:18" x14ac:dyDescent="0.25">
      <c r="D36" s="209" t="str">
        <f ca="1">IFERROR(IF(IF(DATE((D35+1),1,1)&gt;'Part D Pension Calculator'!$B$6,0,D35+1)=0,"",IF(DATE((D35+1),1,1)&gt;'Part D Pension Calculator'!$B$6,0,D35+1)),"")</f>
        <v/>
      </c>
      <c r="E36" s="6" t="str">
        <f ca="1" xml:space="preserve"> IF(D36="","", $B$5*((1+Assumptions!$B$16)^(D36-2019)))</f>
        <v/>
      </c>
      <c r="F36" s="6" t="str">
        <f ca="1">IF(D36="","",F35*(1+Assumptions!$B$15))</f>
        <v/>
      </c>
      <c r="G36" s="19" t="str">
        <f ca="1">IF(D36="","",  IF($B$2=600, (Assumptions!$B$8)*MIN(F36,E36) + (Assumptions!$B$9)*MAX(0,F36-E36), 12*(Assumptions!$B$7)))</f>
        <v/>
      </c>
      <c r="I36" s="209" t="str">
        <f ca="1">IFERROR(IF(IF(I35+1&gt;=YEAR('Part D Pension Calculator'!$B$1),0, I35+1) = 0, "", IF(I35+1&gt;=YEAR(('Part D Pension Calculator'!$B$1)),0, I35+1)),"")</f>
        <v/>
      </c>
      <c r="J36" s="6" t="str">
        <f ca="1">IF(I36="","",IF(I36&lt;2019, IF(I36="","",VLOOKUP(I36,$N$2:$O$44,2,FALSE)), $B$5*((1+Assumptions!$B$16)^(I36-2019))))</f>
        <v/>
      </c>
      <c r="K36" s="221" t="str">
        <f ca="1">IF(I36="","",IF(I36&lt;2014,($B$4)*(1+Assumptions!$B$14)^(I36-2014),IF(I36=2014,$B$4,($B$4)*(1+Assumptions!$B$15)^(I36-2014))))</f>
        <v/>
      </c>
      <c r="L36" s="6" t="str">
        <f ca="1">IF(I36="","",  IF($B$2=600, (Assumptions!$B$8)*MIN(J36,K36) + (Assumptions!$B$9)*MAX(0,K36-J36), 12*(Assumptions!$B$7)))</f>
        <v/>
      </c>
      <c r="N36" s="208">
        <v>2011</v>
      </c>
      <c r="O36" s="218">
        <v>48300</v>
      </c>
      <c r="Q36" s="209">
        <v>740</v>
      </c>
      <c r="R36" s="219">
        <v>77317.919999999998</v>
      </c>
    </row>
    <row r="37" spans="4:18" x14ac:dyDescent="0.25">
      <c r="D37" s="209" t="str">
        <f ca="1">IFERROR(IF(IF(DATE((D36+1),1,1)&gt;'Part D Pension Calculator'!$B$6,0,D36+1)=0,"",IF(DATE((D36+1),1,1)&gt;'Part D Pension Calculator'!$B$6,0,D36+1)),"")</f>
        <v/>
      </c>
      <c r="E37" s="6" t="str">
        <f ca="1" xml:space="preserve"> IF(D37="","", $B$5*((1+Assumptions!$B$16)^(D37-2019)))</f>
        <v/>
      </c>
      <c r="F37" s="6" t="str">
        <f ca="1">IF(D37="","",F36*(1+Assumptions!$B$15))</f>
        <v/>
      </c>
      <c r="G37" s="19" t="str">
        <f ca="1">IF(D37="","",  IF($B$2=600, (Assumptions!$B$8)*MIN(F37,E37) + (Assumptions!$B$9)*MAX(0,F37-E37), 12*(Assumptions!$B$7)))</f>
        <v/>
      </c>
      <c r="I37" s="209" t="str">
        <f ca="1">IFERROR(IF(IF(I36+1&gt;=YEAR('Part D Pension Calculator'!$B$1),0, I36+1) = 0, "", IF(I36+1&gt;=YEAR(('Part D Pension Calculator'!$B$1)),0, I36+1)),"")</f>
        <v/>
      </c>
      <c r="J37" s="6" t="str">
        <f ca="1">IF(I37="","",IF(I37&lt;2019, IF(I37="","",VLOOKUP(I37,$N$2:$O$44,2,FALSE)), $B$5*((1+Assumptions!$B$16)^(I37-2019))))</f>
        <v/>
      </c>
      <c r="K37" s="221" t="str">
        <f ca="1">IF(I37="","",IF(I37&lt;2014,($B$4)*(1+Assumptions!$B$14)^(I37-2014),IF(I37=2014,$B$4,($B$4)*(1+Assumptions!$B$15)^(I37-2014))))</f>
        <v/>
      </c>
      <c r="L37" s="6" t="str">
        <f ca="1">IF(I37="","",  IF($B$2=600, (Assumptions!$B$8)*MIN(J37,K37) + (Assumptions!$B$9)*MAX(0,K37-J37), 12*(Assumptions!$B$7)))</f>
        <v/>
      </c>
      <c r="N37" s="208">
        <v>2012</v>
      </c>
      <c r="O37" s="218">
        <v>50100</v>
      </c>
      <c r="Q37" s="209">
        <v>734</v>
      </c>
      <c r="R37" s="219">
        <v>78967.55</v>
      </c>
    </row>
    <row r="38" spans="4:18" x14ac:dyDescent="0.25">
      <c r="D38" s="209" t="str">
        <f ca="1">IFERROR(IF(IF(DATE((D37+1),1,1)&gt;'Part D Pension Calculator'!$B$6,0,D37+1)=0,"",IF(DATE((D37+1),1,1)&gt;'Part D Pension Calculator'!$B$6,0,D37+1)),"")</f>
        <v/>
      </c>
      <c r="E38" s="6" t="str">
        <f ca="1" xml:space="preserve"> IF(D38="","", $B$5*((1+Assumptions!$B$16)^(D38-2019)))</f>
        <v/>
      </c>
      <c r="F38" s="6" t="str">
        <f ca="1">IF(D38="","",F37*(1+Assumptions!$B$15))</f>
        <v/>
      </c>
      <c r="G38" s="19" t="str">
        <f ca="1">IF(D38="","",  IF($B$2=600, (Assumptions!$B$8)*MIN(F38,E38) + (Assumptions!$B$9)*MAX(0,F38-E38), 12*(Assumptions!$B$7)))</f>
        <v/>
      </c>
      <c r="I38" s="209" t="str">
        <f ca="1">IFERROR(IF(IF(I37+1&gt;=YEAR('Part D Pension Calculator'!$B$1),0, I37+1) = 0, "", IF(I37+1&gt;=YEAR(('Part D Pension Calculator'!$B$1)),0, I37+1)),"")</f>
        <v/>
      </c>
      <c r="J38" s="6" t="str">
        <f ca="1">IF(I38="","",IF(I38&lt;2019, IF(I38="","",VLOOKUP(I38,$N$2:$O$44,2,FALSE)), $B$5*((1+Assumptions!$B$16)^(I38-2019))))</f>
        <v/>
      </c>
      <c r="K38" s="221" t="str">
        <f ca="1">IF(I38="","",IF(I38&lt;2014,($B$4)*(1+Assumptions!$B$14)^(I38-2014),IF(I38=2014,$B$4,($B$4)*(1+Assumptions!$B$15)^(I38-2014))))</f>
        <v/>
      </c>
      <c r="L38" s="6" t="str">
        <f ca="1">IF(I38="","",  IF($B$2=600, (Assumptions!$B$8)*MIN(J38,K38) + (Assumptions!$B$9)*MAX(0,K38-J38), 12*(Assumptions!$B$7)))</f>
        <v/>
      </c>
      <c r="N38" s="208">
        <v>2013</v>
      </c>
      <c r="O38" s="218">
        <v>51100</v>
      </c>
      <c r="Q38" s="209">
        <v>732</v>
      </c>
      <c r="R38" s="219">
        <v>79792.36</v>
      </c>
    </row>
    <row r="39" spans="4:18" x14ac:dyDescent="0.25">
      <c r="D39" s="209" t="str">
        <f ca="1">IFERROR(IF(IF(DATE((D38+1),1,1)&gt;'Part D Pension Calculator'!$B$6,0,D38+1)=0,"",IF(DATE((D38+1),1,1)&gt;'Part D Pension Calculator'!$B$6,0,D38+1)),"")</f>
        <v/>
      </c>
      <c r="E39" s="6" t="str">
        <f ca="1" xml:space="preserve"> IF(D39="","", $B$5*((1+Assumptions!$B$16)^(D39-2019)))</f>
        <v/>
      </c>
      <c r="F39" s="6" t="str">
        <f ca="1">IF(D39="","",F38*(1+Assumptions!$B$15))</f>
        <v/>
      </c>
      <c r="G39" s="19" t="str">
        <f ca="1">IF(D39="","",  IF($B$2=600, (Assumptions!$B$8)*MIN(F39,E39) + (Assumptions!$B$9)*MAX(0,F39-E39), 12*(Assumptions!$B$7)))</f>
        <v/>
      </c>
      <c r="I39" s="209" t="str">
        <f ca="1">IFERROR(IF(IF(I38+1&gt;=YEAR('Part D Pension Calculator'!$B$1),0, I38+1) = 0, "", IF(I38+1&gt;=YEAR(('Part D Pension Calculator'!$B$1)),0, I38+1)),"")</f>
        <v/>
      </c>
      <c r="J39" s="6" t="str">
        <f ca="1">IF(I39="","",IF(I39&lt;2019, IF(I39="","",VLOOKUP(I39,$N$2:$O$44,2,FALSE)), $B$5*((1+Assumptions!$B$16)^(I39-2019))))</f>
        <v/>
      </c>
      <c r="K39" s="221" t="str">
        <f ca="1">IF(I39="","",IF(I39&lt;2014,($B$4)*(1+Assumptions!$B$14)^(I39-2014),IF(I39=2014,$B$4,($B$4)*(1+Assumptions!$B$15)^(I39-2014))))</f>
        <v/>
      </c>
      <c r="L39" s="6" t="str">
        <f ca="1">IF(I39="","",  IF($B$2=600, (Assumptions!$B$8)*MIN(J39,K39) + (Assumptions!$B$9)*MAX(0,K39-J39), 12*(Assumptions!$B$7)))</f>
        <v/>
      </c>
      <c r="N39" s="208">
        <v>2014</v>
      </c>
      <c r="O39" s="218">
        <v>52500</v>
      </c>
      <c r="Q39" s="209">
        <v>730</v>
      </c>
      <c r="R39" s="219">
        <v>80617.17</v>
      </c>
    </row>
    <row r="40" spans="4:18" x14ac:dyDescent="0.25">
      <c r="D40" s="209" t="str">
        <f ca="1">IFERROR(IF(IF(DATE((D39+1),1,1)&gt;'Part D Pension Calculator'!$B$6,0,D39+1)=0,"",IF(DATE((D39+1),1,1)&gt;'Part D Pension Calculator'!$B$6,0,D39+1)),"")</f>
        <v/>
      </c>
      <c r="E40" s="6" t="str">
        <f ca="1" xml:space="preserve"> IF(D40="","", $B$5*((1+Assumptions!$B$16)^(D40-2019)))</f>
        <v/>
      </c>
      <c r="F40" s="6" t="str">
        <f ca="1">IF(D40="","",F39*(1+Assumptions!$B$15))</f>
        <v/>
      </c>
      <c r="G40" s="19" t="str">
        <f ca="1">IF(D40="","",  IF($B$2=600, (Assumptions!$B$8)*MIN(F40,E40) + (Assumptions!$B$9)*MAX(0,F40-E40), 12*(Assumptions!$B$7)))</f>
        <v/>
      </c>
      <c r="I40" s="209" t="str">
        <f ca="1">IFERROR(IF(IF(I39+1&gt;=YEAR('Part D Pension Calculator'!$B$1),0, I39+1) = 0, "", IF(I39+1&gt;=YEAR(('Part D Pension Calculator'!$B$1)),0, I39+1)),"")</f>
        <v/>
      </c>
      <c r="J40" s="6" t="str">
        <f ca="1">IF(I40="","",IF(I40&lt;2019, IF(I40="","",VLOOKUP(I40,$N$2:$O$44,2,FALSE)), $B$5*((1+Assumptions!$B$16)^(I40-2019))))</f>
        <v/>
      </c>
      <c r="K40" s="221" t="str">
        <f ca="1">IF(I40="","",IF(I40&lt;2014,($B$4)*(1+Assumptions!$B$14)^(I40-2014),IF(I40=2014,$B$4,($B$4)*(1+Assumptions!$B$15)^(I40-2014))))</f>
        <v/>
      </c>
      <c r="L40" s="6" t="str">
        <f ca="1">IF(I40="","",  IF($B$2=600, (Assumptions!$B$8)*MIN(J40,K40) + (Assumptions!$B$9)*MAX(0,K40-J40), 12*(Assumptions!$B$7)))</f>
        <v/>
      </c>
      <c r="N40" s="208">
        <v>2015</v>
      </c>
      <c r="O40" s="218">
        <v>53600</v>
      </c>
      <c r="Q40" s="209">
        <v>729</v>
      </c>
      <c r="R40" s="219">
        <v>81441.990000000005</v>
      </c>
    </row>
    <row r="41" spans="4:18" x14ac:dyDescent="0.25">
      <c r="D41" s="209" t="str">
        <f ca="1">IFERROR(IF(IF(DATE((D40+1),1,1)&gt;'Part D Pension Calculator'!$B$6,0,D40+1)=0,"",IF(DATE((D40+1),1,1)&gt;'Part D Pension Calculator'!$B$6,0,D40+1)),"")</f>
        <v/>
      </c>
      <c r="E41" s="6" t="str">
        <f ca="1" xml:space="preserve"> IF(D41="","", $B$5*((1+Assumptions!$B$16)^(D41-2019)))</f>
        <v/>
      </c>
      <c r="F41" s="6" t="str">
        <f ca="1">IF(D41="","",F40*(1+Assumptions!$B$15))</f>
        <v/>
      </c>
      <c r="G41" s="19" t="str">
        <f ca="1">IF(D41="","",  IF($B$2=600, (Assumptions!$B$8)*MIN(F41,E41) + (Assumptions!$B$9)*MAX(0,F41-E41), 12*(Assumptions!$B$7)))</f>
        <v/>
      </c>
      <c r="I41" s="209" t="str">
        <f ca="1">IFERROR(IF(IF(I40+1&gt;=YEAR('Part D Pension Calculator'!$B$1),0, I40+1) = 0, "", IF(I40+1&gt;=YEAR(('Part D Pension Calculator'!$B$1)),0, I40+1)),"")</f>
        <v/>
      </c>
      <c r="J41" s="6" t="str">
        <f ca="1">IF(I41="","",IF(I41&lt;2019, IF(I41="","",VLOOKUP(I41,$N$2:$O$44,2,FALSE)), $B$5*((1+Assumptions!$B$16)^(I41-2019))))</f>
        <v/>
      </c>
      <c r="K41" s="221" t="str">
        <f ca="1">IF(I41="","",IF(I41&lt;2014,($B$4)*(1+Assumptions!$B$14)^(I41-2014),IF(I41=2014,$B$4,($B$4)*(1+Assumptions!$B$15)^(I41-2014))))</f>
        <v/>
      </c>
      <c r="L41" s="6" t="str">
        <f ca="1">IF(I41="","",  IF($B$2=600, (Assumptions!$B$8)*MIN(J41,K41) + (Assumptions!$B$9)*MAX(0,K41-J41), 12*(Assumptions!$B$7)))</f>
        <v/>
      </c>
      <c r="N41" s="208">
        <v>2016</v>
      </c>
      <c r="O41" s="218">
        <v>54900</v>
      </c>
      <c r="Q41" s="209">
        <v>726</v>
      </c>
      <c r="R41" s="219">
        <v>82266.8</v>
      </c>
    </row>
    <row r="42" spans="4:18" x14ac:dyDescent="0.25">
      <c r="D42" s="209" t="str">
        <f ca="1">IFERROR(IF(IF(DATE((D41+1),1,1)&gt;'Part D Pension Calculator'!$B$6,0,D41+1)=0,"",IF(DATE((D41+1),1,1)&gt;'Part D Pension Calculator'!$B$6,0,D41+1)),"")</f>
        <v/>
      </c>
      <c r="E42" s="6" t="str">
        <f ca="1" xml:space="preserve"> IF(D42="","", $B$5*((1+Assumptions!$B$16)^(D42-2019)))</f>
        <v/>
      </c>
      <c r="F42" s="6" t="str">
        <f ca="1">IF(D42="","",F41*(1+Assumptions!$B$15))</f>
        <v/>
      </c>
      <c r="G42" s="19" t="str">
        <f ca="1">IF(D42="","",  IF($B$2=600, (Assumptions!$B$8)*MIN(F42,E42) + (Assumptions!$B$9)*MAX(0,F42-E42), 12*(Assumptions!$B$7)))</f>
        <v/>
      </c>
      <c r="I42" s="209" t="str">
        <f ca="1">IFERROR(IF(IF(I41+1&gt;=YEAR('Part D Pension Calculator'!$B$1),0, I41+1) = 0, "", IF(I41+1&gt;=YEAR(('Part D Pension Calculator'!$B$1)),0, I41+1)),"")</f>
        <v/>
      </c>
      <c r="J42" s="6" t="str">
        <f ca="1">IF(I42="","",IF(I42&lt;2019, IF(I42="","",VLOOKUP(I42,$N$2:$O$44,2,FALSE)), $B$5*((1+Assumptions!$B$16)^(I42-2019))))</f>
        <v/>
      </c>
      <c r="K42" s="221" t="str">
        <f ca="1">IF(I42="","",IF(I42&lt;2014,($B$4)*(1+Assumptions!$B$14)^(I42-2014),IF(I42=2014,$B$4,($B$4)*(1+Assumptions!$B$15)^(I42-2014))))</f>
        <v/>
      </c>
      <c r="L42" s="6" t="str">
        <f ca="1">IF(I42="","",  IF($B$2=600, (Assumptions!$B$8)*MIN(J42,K42) + (Assumptions!$B$9)*MAX(0,K42-J42), 12*(Assumptions!$B$7)))</f>
        <v/>
      </c>
      <c r="N42" s="208">
        <v>2017</v>
      </c>
      <c r="O42" s="218">
        <v>55300</v>
      </c>
      <c r="Q42" s="209">
        <v>721</v>
      </c>
      <c r="R42" s="219">
        <v>83091.61</v>
      </c>
    </row>
    <row r="43" spans="4:18" x14ac:dyDescent="0.25">
      <c r="D43" s="209" t="str">
        <f ca="1">IFERROR(IF(IF(DATE((D42+1),1,1)&gt;'Part D Pension Calculator'!$B$6,0,D42+1)=0,"",IF(DATE((D42+1),1,1)&gt;'Part D Pension Calculator'!$B$6,0,D42+1)),"")</f>
        <v/>
      </c>
      <c r="E43" s="6" t="str">
        <f ca="1" xml:space="preserve"> IF(D43="","", $B$5*((1+Assumptions!$B$16)^(D43-2019)))</f>
        <v/>
      </c>
      <c r="F43" s="6" t="str">
        <f ca="1">IF(D43="","",F42*(1+Assumptions!$B$15))</f>
        <v/>
      </c>
      <c r="G43" s="19" t="str">
        <f ca="1">IF(D43="","",  IF($B$2=600, (Assumptions!$B$8)*MIN(F43,E43) + (Assumptions!$B$9)*MAX(0,F43-E43), 12*(Assumptions!$B$7)))</f>
        <v/>
      </c>
      <c r="I43" s="209" t="str">
        <f ca="1">IFERROR(IF(IF(I42+1&gt;=YEAR('Part D Pension Calculator'!$B$1),0, I42+1) = 0, "", IF(I42+1&gt;=YEAR(('Part D Pension Calculator'!$B$1)),0, I42+1)),"")</f>
        <v/>
      </c>
      <c r="J43" s="6" t="str">
        <f ca="1">IF(I43="","",IF(I43&lt;2019, IF(I43="","",VLOOKUP(I43,$N$2:$O$44,2,FALSE)), $B$5*((1+Assumptions!$B$16)^(I43-2019))))</f>
        <v/>
      </c>
      <c r="K43" s="221" t="str">
        <f ca="1">IF(I43="","",IF(I43&lt;2014,($B$4)*(1+Assumptions!$B$14)^(I43-2014),IF(I43=2014,$B$4,($B$4)*(1+Assumptions!$B$15)^(I43-2014))))</f>
        <v/>
      </c>
      <c r="L43" s="6" t="str">
        <f ca="1">IF(I43="","",  IF($B$2=600, (Assumptions!$B$8)*MIN(J43,K43) + (Assumptions!$B$9)*MAX(0,K43-J43), 12*(Assumptions!$B$7)))</f>
        <v/>
      </c>
      <c r="N43" s="208">
        <v>2018</v>
      </c>
      <c r="O43" s="218">
        <v>55900</v>
      </c>
      <c r="Q43" s="209">
        <v>718</v>
      </c>
      <c r="R43" s="219">
        <v>83916.42</v>
      </c>
    </row>
    <row r="44" spans="4:18" x14ac:dyDescent="0.25">
      <c r="D44" s="209" t="str">
        <f ca="1">IFERROR(IF(IF(DATE((D43+1),1,1)&gt;'Part D Pension Calculator'!$B$6,0,D43+1)=0,"",IF(DATE((D43+1),1,1)&gt;'Part D Pension Calculator'!$B$6,0,D43+1)),"")</f>
        <v/>
      </c>
      <c r="E44" s="6" t="str">
        <f ca="1" xml:space="preserve"> IF(D44="","", $B$5*((1+Assumptions!$B$16)^(D44-2019)))</f>
        <v/>
      </c>
      <c r="F44" s="6" t="str">
        <f ca="1">IF(D44="","",F43*(1+Assumptions!$B$15))</f>
        <v/>
      </c>
      <c r="G44" s="19" t="str">
        <f ca="1">IF(D44="","",  IF($B$2=600, (Assumptions!$B$8)*MIN(F44,E44) + (Assumptions!$B$9)*MAX(0,F44-E44), 12*(Assumptions!$B$7)))</f>
        <v/>
      </c>
      <c r="I44" s="209" t="str">
        <f ca="1">IFERROR(IF(IF(I43+1&gt;=YEAR('Part D Pension Calculator'!$B$1),0, I43+1) = 0, "", IF(I43+1&gt;=YEAR(('Part D Pension Calculator'!$B$1)),0, I43+1)),"")</f>
        <v/>
      </c>
      <c r="J44" s="6" t="str">
        <f ca="1">IF(I44="","",IF(I44&lt;2019, IF(I44="","",VLOOKUP(I44,$N$2:$O$44,2,FALSE)), $B$5*((1+Assumptions!$B$16)^(I44-2019))))</f>
        <v/>
      </c>
      <c r="K44" s="221" t="str">
        <f ca="1">IF(I44="","",IF(I44&lt;2014,($B$4)*(1+Assumptions!$B$14)^(I44-2014),IF(I44=2014,$B$4,($B$4)*(1+Assumptions!$B$15)^(I44-2014))))</f>
        <v/>
      </c>
      <c r="L44" s="6" t="str">
        <f ca="1">IF(I44="","",  IF($B$2=600, (Assumptions!$B$8)*MIN(J44,K44) + (Assumptions!$B$9)*MAX(0,K44-J44), 12*(Assumptions!$B$7)))</f>
        <v/>
      </c>
      <c r="N44" s="208">
        <v>2019</v>
      </c>
      <c r="O44" s="218">
        <v>57400</v>
      </c>
      <c r="Q44" s="209">
        <v>714</v>
      </c>
      <c r="R44" s="219">
        <v>84741.24</v>
      </c>
    </row>
    <row r="45" spans="4:18" x14ac:dyDescent="0.25">
      <c r="D45" s="209" t="str">
        <f ca="1">IFERROR(IF(IF(DATE((D44+1),1,1)&gt;'Part D Pension Calculator'!$B$6,0,D44+1)=0,"",IF(DATE((D44+1),1,1)&gt;'Part D Pension Calculator'!$B$6,0,D44+1)),"")</f>
        <v/>
      </c>
      <c r="E45" s="6" t="str">
        <f ca="1" xml:space="preserve"> IF(D45="","", $B$5*((1+Assumptions!$B$16)^(D45-2019)))</f>
        <v/>
      </c>
      <c r="F45" s="6" t="str">
        <f ca="1">IF(D45="","",F44*(1+Assumptions!$B$15))</f>
        <v/>
      </c>
      <c r="G45" s="19" t="str">
        <f ca="1">IF(D45="","",  IF($B$2=600, (Assumptions!$B$8)*MIN(F45,E45) + (Assumptions!$B$9)*MAX(0,F45-E45), 12*(Assumptions!$B$7)))</f>
        <v/>
      </c>
      <c r="I45" s="209" t="str">
        <f ca="1">IFERROR(IF(IF(I44+1&gt;=YEAR('Part D Pension Calculator'!$B$1),0, I44+1) = 0, "", IF(I44+1&gt;=YEAR(('Part D Pension Calculator'!$B$1)),0, I44+1)),"")</f>
        <v/>
      </c>
      <c r="J45" s="6" t="str">
        <f ca="1">IF(I45="","",IF(I45&lt;2019, IF(I45="","",VLOOKUP(I45,$N$2:$O$44,2,FALSE)), $B$5*((1+Assumptions!$B$16)^(I45-2019))))</f>
        <v/>
      </c>
      <c r="K45" s="221" t="str">
        <f ca="1">IF(I45="","",IF(I45&lt;2014,($B$4)*(1+Assumptions!$B$14)^(I45-2014),IF(I45=2014,$B$4,($B$4)*(1+Assumptions!$B$15)^(I45-2014))))</f>
        <v/>
      </c>
      <c r="L45" s="6" t="str">
        <f ca="1">IF(I45="","",  IF($B$2=600, (Assumptions!$B$8)*MIN(J45,K45) + (Assumptions!$B$9)*MAX(0,K45-J45), 12*(Assumptions!$B$7)))</f>
        <v/>
      </c>
      <c r="Q45" s="209">
        <v>709</v>
      </c>
      <c r="R45" s="219">
        <v>85566.05</v>
      </c>
    </row>
    <row r="46" spans="4:18" x14ac:dyDescent="0.25">
      <c r="D46" s="209" t="str">
        <f ca="1">IFERROR(IF(IF(DATE((D45+1),1,1)&gt;'Part D Pension Calculator'!$B$6,0,D45+1)=0,"",IF(DATE((D45+1),1,1)&gt;'Part D Pension Calculator'!$B$6,0,D45+1)),"")</f>
        <v/>
      </c>
      <c r="E46" s="6" t="str">
        <f ca="1" xml:space="preserve"> IF(D46="","", $B$5*((1+Assumptions!$B$16)^(D46-2019)))</f>
        <v/>
      </c>
      <c r="F46" s="6" t="str">
        <f ca="1">IF(D46="","",F45*(1+Assumptions!$B$15))</f>
        <v/>
      </c>
      <c r="G46" s="19" t="str">
        <f ca="1">IF(D46="","",  IF($B$2=600, (Assumptions!$B$8)*MIN(F46,E46) + (Assumptions!$B$9)*MAX(0,F46-E46), 12*(Assumptions!$B$7)))</f>
        <v/>
      </c>
      <c r="I46" s="209" t="str">
        <f ca="1">IFERROR(IF(IF(I45+1&gt;=YEAR('Part D Pension Calculator'!$B$1),0, I45+1) = 0, "", IF(I45+1&gt;=YEAR(('Part D Pension Calculator'!$B$1)),0, I45+1)),"")</f>
        <v/>
      </c>
      <c r="J46" s="6" t="str">
        <f ca="1">IF(I46="","",IF(I46&lt;2019, IF(I46="","",VLOOKUP(I46,$N$2:$O$44,2,FALSE)), $B$5*((1+Assumptions!$B$16)^(I46-2019))))</f>
        <v/>
      </c>
      <c r="K46" s="221" t="str">
        <f ca="1">IF(I46="","",IF(I46&lt;2014,($B$4)*(1+Assumptions!$B$14)^(I46-2014),IF(I46=2014,$B$4,($B$4)*(1+Assumptions!$B$15)^(I46-2014))))</f>
        <v/>
      </c>
      <c r="L46" s="6" t="str">
        <f ca="1">IF(I46="","",  IF($B$2=600, (Assumptions!$B$8)*MIN(J46,K46) + (Assumptions!$B$9)*MAX(0,K46-J46), 12*(Assumptions!$B$7)))</f>
        <v/>
      </c>
      <c r="Q46" s="209">
        <v>703</v>
      </c>
      <c r="R46" s="219">
        <v>86390.86</v>
      </c>
    </row>
    <row r="47" spans="4:18" x14ac:dyDescent="0.25">
      <c r="D47" s="209" t="str">
        <f ca="1">IFERROR(IF(IF(DATE((D46+1),1,1)&gt;'Part D Pension Calculator'!$B$6,0,D46+1)=0,"",IF(DATE((D46+1),1,1)&gt;'Part D Pension Calculator'!$B$6,0,D46+1)),"")</f>
        <v/>
      </c>
      <c r="E47" s="6" t="str">
        <f ca="1" xml:space="preserve"> IF(D47="","", $B$5*((1+Assumptions!$B$16)^(D47-2019)))</f>
        <v/>
      </c>
      <c r="F47" s="6" t="str">
        <f ca="1">IF(D47="","",F46*(1+Assumptions!$B$15))</f>
        <v/>
      </c>
      <c r="G47" s="19" t="str">
        <f ca="1">IF(D47="","",  IF($B$2=600, (Assumptions!$B$8)*MIN(F47,E47) + (Assumptions!$B$9)*MAX(0,F47-E47), 12*(Assumptions!$B$7)))</f>
        <v/>
      </c>
      <c r="I47" s="209" t="str">
        <f ca="1">IFERROR(IF(IF(I46+1&gt;=YEAR('Part D Pension Calculator'!$B$1),0, I46+1) = 0, "", IF(I46+1&gt;=YEAR(('Part D Pension Calculator'!$B$1)),0, I46+1)),"")</f>
        <v/>
      </c>
      <c r="J47" s="6" t="str">
        <f ca="1">IF(I47="","",IF(I47&lt;2019, IF(I47="","",VLOOKUP(I47,$N$2:$O$44,2,FALSE)), $B$5*((1+Assumptions!$B$16)^(I47-2019))))</f>
        <v/>
      </c>
      <c r="K47" s="221" t="str">
        <f ca="1">IF(I47="","",IF(I47&lt;2014,($B$4)*(1+Assumptions!$B$14)^(I47-2014),IF(I47=2014,$B$4,($B$4)*(1+Assumptions!$B$15)^(I47-2014))))</f>
        <v/>
      </c>
      <c r="L47" s="6" t="str">
        <f ca="1">IF(I47="","",  IF($B$2=600, (Assumptions!$B$8)*MIN(J47,K47) + (Assumptions!$B$9)*MAX(0,K47-J47), 12*(Assumptions!$B$7)))</f>
        <v/>
      </c>
      <c r="Q47" s="209">
        <v>698</v>
      </c>
      <c r="R47" s="219">
        <v>87215.67</v>
      </c>
    </row>
    <row r="48" spans="4:18" x14ac:dyDescent="0.25">
      <c r="D48" s="209" t="str">
        <f ca="1">IFERROR(IF(IF(DATE((D47+1),1,1)&gt;'Part D Pension Calculator'!$B$6,0,D47+1)=0,"",IF(DATE((D47+1),1,1)&gt;'Part D Pension Calculator'!$B$6,0,D47+1)),"")</f>
        <v/>
      </c>
      <c r="E48" s="6" t="str">
        <f ca="1" xml:space="preserve"> IF(D48="","", $B$5*((1+Assumptions!$B$16)^(D48-2019)))</f>
        <v/>
      </c>
      <c r="F48" s="6" t="str">
        <f ca="1">IF(D48="","",F47*(1+Assumptions!$B$15))</f>
        <v/>
      </c>
      <c r="G48" s="19" t="str">
        <f ca="1">IF(D48="","",  IF($B$2=600, (Assumptions!$B$8)*MIN(F48,E48) + (Assumptions!$B$9)*MAX(0,F48-E48), 12*(Assumptions!$B$7)))</f>
        <v/>
      </c>
      <c r="I48" s="209" t="str">
        <f ca="1">IFERROR(IF(IF(I47+1&gt;=YEAR('Part D Pension Calculator'!$B$1),0, I47+1) = 0, "", IF(I47+1&gt;=YEAR(('Part D Pension Calculator'!$B$1)),0, I47+1)),"")</f>
        <v/>
      </c>
      <c r="J48" s="6" t="str">
        <f ca="1">IF(I48="","",IF(I48&lt;2019, IF(I48="","",VLOOKUP(I48,$N$2:$O$44,2,FALSE)), $B$5*((1+Assumptions!$B$16)^(I48-2019))))</f>
        <v/>
      </c>
      <c r="K48" s="221" t="str">
        <f ca="1">IF(I48="","",IF(I48&lt;2014,($B$4)*(1+Assumptions!$B$14)^(I48-2014),IF(I48=2014,$B$4,($B$4)*(1+Assumptions!$B$15)^(I48-2014))))</f>
        <v/>
      </c>
      <c r="L48" s="6" t="str">
        <f ca="1">IF(I48="","",  IF($B$2=600, (Assumptions!$B$8)*MIN(J48,K48) + (Assumptions!$B$9)*MAX(0,K48-J48), 12*(Assumptions!$B$7)))</f>
        <v/>
      </c>
      <c r="Q48" s="209">
        <v>697</v>
      </c>
      <c r="R48" s="219">
        <v>88040.49</v>
      </c>
    </row>
    <row r="49" spans="4:18" x14ac:dyDescent="0.25">
      <c r="D49" s="209" t="str">
        <f ca="1">IFERROR(IF(IF(DATE((D48+1),1,1)&gt;'Part D Pension Calculator'!$B$6,0,D48+1)=0,"",IF(DATE((D48+1),1,1)&gt;'Part D Pension Calculator'!$B$6,0,D48+1)),"")</f>
        <v/>
      </c>
      <c r="E49" s="6" t="str">
        <f ca="1" xml:space="preserve"> IF(D49="","", $B$5*((1+Assumptions!$B$16)^(D49-2019)))</f>
        <v/>
      </c>
      <c r="F49" s="6" t="str">
        <f ca="1">IF(D49="","",F48*(1+Assumptions!$B$15))</f>
        <v/>
      </c>
      <c r="G49" s="19" t="str">
        <f ca="1">IF(D49="","",  IF($B$2=600, (Assumptions!$B$8)*MIN(F49,E49) + (Assumptions!$B$9)*MAX(0,F49-E49), 12*(Assumptions!$B$7)))</f>
        <v/>
      </c>
      <c r="I49" s="209" t="str">
        <f ca="1">IFERROR(IF(IF(I48+1&gt;=YEAR('Part D Pension Calculator'!$B$1),0, I48+1) = 0, "", IF(I48+1&gt;=YEAR(('Part D Pension Calculator'!$B$1)),0, I48+1)),"")</f>
        <v/>
      </c>
      <c r="J49" s="6" t="str">
        <f ca="1">IF(I49="","",IF(I49&lt;2019, IF(I49="","",VLOOKUP(I49,$N$2:$O$44,2,FALSE)), $B$5*((1+Assumptions!$B$16)^(I49-2019))))</f>
        <v/>
      </c>
      <c r="K49" s="221" t="str">
        <f ca="1">IF(I49="","",IF(I49&lt;2014,($B$4)*(1+Assumptions!$B$14)^(I49-2014),IF(I49=2014,$B$4,($B$4)*(1+Assumptions!$B$15)^(I49-2014))))</f>
        <v/>
      </c>
      <c r="L49" s="6" t="str">
        <f ca="1">IF(I49="","",  IF($B$2=600, (Assumptions!$B$8)*MIN(J49,K49) + (Assumptions!$B$9)*MAX(0,K49-J49), 12*(Assumptions!$B$7)))</f>
        <v/>
      </c>
      <c r="Q49" s="209">
        <v>696</v>
      </c>
      <c r="R49" s="219">
        <v>88865.3</v>
      </c>
    </row>
    <row r="50" spans="4:18" x14ac:dyDescent="0.25">
      <c r="D50" s="209" t="str">
        <f ca="1">IFERROR(IF(IF(DATE((D49+1),1,1)&gt;'Part D Pension Calculator'!$B$6,0,D49+1)=0,"",IF(DATE((D49+1),1,1)&gt;'Part D Pension Calculator'!$B$6,0,D49+1)),"")</f>
        <v/>
      </c>
      <c r="E50" s="6" t="str">
        <f ca="1" xml:space="preserve"> IF(D50="","", $B$5*((1+Assumptions!$B$16)^(D50-2019)))</f>
        <v/>
      </c>
      <c r="F50" s="6" t="str">
        <f ca="1">IF(D50="","",F49*(1+Assumptions!$B$15))</f>
        <v/>
      </c>
      <c r="G50" s="19" t="str">
        <f ca="1">IF(D50="","",  IF($B$2=600, (Assumptions!$B$8)*MIN(F50,E50) + (Assumptions!$B$9)*MAX(0,F50-E50), 12*(Assumptions!$B$7)))</f>
        <v/>
      </c>
      <c r="I50" s="209" t="str">
        <f ca="1">IFERROR(IF(IF(I49+1&gt;=YEAR('Part D Pension Calculator'!$B$1),0, I49+1) = 0, "", IF(I49+1&gt;=YEAR(('Part D Pension Calculator'!$B$1)),0, I49+1)),"")</f>
        <v/>
      </c>
      <c r="J50" s="6" t="str">
        <f ca="1">IF(I50="","",IF(I50&lt;2019, IF(I50="","",VLOOKUP(I50,$N$2:$O$44,2,FALSE)), $B$5*((1+Assumptions!$B$16)^(I50-2019))))</f>
        <v/>
      </c>
      <c r="K50" s="221" t="str">
        <f ca="1">IF(I50="","",IF(I50&lt;2014,($B$4)*(1+Assumptions!$B$14)^(I50-2014),IF(I50=2014,$B$4,($B$4)*(1+Assumptions!$B$15)^(I50-2014))))</f>
        <v/>
      </c>
      <c r="L50" s="6" t="str">
        <f ca="1">IF(I50="","",  IF($B$2=600, (Assumptions!$B$8)*MIN(J50,K50) + (Assumptions!$B$9)*MAX(0,K50-J50), 12*(Assumptions!$B$7)))</f>
        <v/>
      </c>
      <c r="Q50" s="209">
        <v>694</v>
      </c>
      <c r="R50" s="219">
        <v>89690.11</v>
      </c>
    </row>
    <row r="51" spans="4:18" x14ac:dyDescent="0.25">
      <c r="D51" s="209" t="str">
        <f ca="1">IFERROR(IF(IF(DATE((D50+1),1,1)&gt;'Part D Pension Calculator'!$B$6,0,D50+1)=0,"",IF(DATE((D50+1),1,1)&gt;'Part D Pension Calculator'!$B$6,0,D50+1)),"")</f>
        <v/>
      </c>
      <c r="E51" s="6" t="str">
        <f ca="1" xml:space="preserve"> IF(D51="","", $B$5*((1+Assumptions!$B$16)^(D51-2019)))</f>
        <v/>
      </c>
      <c r="F51" s="6" t="str">
        <f ca="1">IF(D51="","",F50*(1+Assumptions!$B$15))</f>
        <v/>
      </c>
      <c r="G51" s="19" t="str">
        <f ca="1">IF(D51="","",  IF($B$2=600, (Assumptions!$B$8)*MIN(F51,E51) + (Assumptions!$B$9)*MAX(0,F51-E51), 12*(Assumptions!$B$7)))</f>
        <v/>
      </c>
      <c r="I51" s="209" t="str">
        <f ca="1">IFERROR(IF(IF(I50+1&gt;=YEAR('Part D Pension Calculator'!$B$1),0, I50+1) = 0, "", IF(I50+1&gt;=YEAR(('Part D Pension Calculator'!$B$1)),0, I50+1)),"")</f>
        <v/>
      </c>
      <c r="J51" s="6" t="str">
        <f ca="1">IF(I51="","",IF(I51&lt;2019, IF(I51="","",VLOOKUP(I51,$N$2:$O$44,2,FALSE)), $B$5*((1+Assumptions!$B$16)^(I51-2019))))</f>
        <v/>
      </c>
      <c r="K51" s="221" t="str">
        <f ca="1">IF(I51="","",IF(I51&lt;2014,($B$4)*(1+Assumptions!$B$14)^(I51-2014),IF(I51=2014,$B$4,($B$4)*(1+Assumptions!$B$15)^(I51-2014))))</f>
        <v/>
      </c>
      <c r="L51" s="6" t="str">
        <f ca="1">IF(I51="","",  IF($B$2=600, (Assumptions!$B$8)*MIN(J51,K51) + (Assumptions!$B$9)*MAX(0,K51-J51), 12*(Assumptions!$B$7)))</f>
        <v/>
      </c>
      <c r="Q51" s="209">
        <v>687</v>
      </c>
      <c r="R51" s="219">
        <v>90514.92</v>
      </c>
    </row>
    <row r="52" spans="4:18" x14ac:dyDescent="0.25">
      <c r="D52" s="209" t="str">
        <f ca="1">IFERROR(IF(IF(DATE((D51+1),1,1)&gt;'Part D Pension Calculator'!$B$6,0,D51+1)=0,"",IF(DATE((D51+1),1,1)&gt;'Part D Pension Calculator'!$B$6,0,D51+1)),"")</f>
        <v/>
      </c>
      <c r="E52" s="6" t="str">
        <f ca="1" xml:space="preserve"> IF(D52="","", $B$5*((1+Assumptions!$B$16)^(D52-2019)))</f>
        <v/>
      </c>
      <c r="F52" s="6" t="str">
        <f ca="1">IF(D52="","",F51*(1+Assumptions!$B$15))</f>
        <v/>
      </c>
      <c r="G52" s="19" t="str">
        <f ca="1">IF(D52="","",  IF($B$2=600, (Assumptions!$B$8)*MIN(F52,E52) + (Assumptions!$B$9)*MAX(0,F52-E52), 12*(Assumptions!$B$7)))</f>
        <v/>
      </c>
      <c r="I52" s="209" t="str">
        <f ca="1">IFERROR(IF(IF(I51+1&gt;=YEAR('Part D Pension Calculator'!$B$1),0, I51+1) = 0, "", IF(I51+1&gt;=YEAR(('Part D Pension Calculator'!$B$1)),0, I51+1)),"")</f>
        <v/>
      </c>
      <c r="J52" s="6" t="str">
        <f ca="1">IF(I52="","",IF(I52&lt;2019, IF(I52="","",VLOOKUP(I52,$N$2:$O$44,2,FALSE)), $B$5*((1+Assumptions!$B$16)^(I52-2019))))</f>
        <v/>
      </c>
      <c r="K52" s="221" t="str">
        <f ca="1">IF(I52="","",IF(I52&lt;2014,($B$4)*(1+Assumptions!$B$14)^(I52-2014),IF(I52=2014,$B$4,($B$4)*(1+Assumptions!$B$15)^(I52-2014))))</f>
        <v/>
      </c>
      <c r="L52" s="6" t="str">
        <f ca="1">IF(I52="","",  IF($B$2=600, (Assumptions!$B$8)*MIN(J52,K52) + (Assumptions!$B$9)*MAX(0,K52-J52), 12*(Assumptions!$B$7)))</f>
        <v/>
      </c>
      <c r="Q52" s="209">
        <v>685</v>
      </c>
      <c r="R52" s="219">
        <v>91339.74</v>
      </c>
    </row>
    <row r="53" spans="4:18" x14ac:dyDescent="0.25">
      <c r="D53" s="209" t="str">
        <f ca="1">IFERROR(IF(IF(DATE((D52+1),1,1)&gt;'Part D Pension Calculator'!$B$6,0,D52+1)=0,"",IF(DATE((D52+1),1,1)&gt;'Part D Pension Calculator'!$B$6,0,D52+1)),"")</f>
        <v/>
      </c>
      <c r="E53" s="6" t="str">
        <f ca="1" xml:space="preserve"> IF(D53="","", $B$5*((1+Assumptions!$B$16)^(D53-2019)))</f>
        <v/>
      </c>
      <c r="F53" s="6" t="str">
        <f ca="1">IF(D53="","",F52*(1+Assumptions!$B$15))</f>
        <v/>
      </c>
      <c r="G53" s="19" t="str">
        <f ca="1">IF(D53="","",  IF($B$2=600, (Assumptions!$B$8)*MIN(F53,E53) + (Assumptions!$B$9)*MAX(0,F53-E53), 12*(Assumptions!$B$7)))</f>
        <v/>
      </c>
      <c r="I53" s="209" t="str">
        <f ca="1">IFERROR(IF(IF(I52+1&gt;=YEAR('Part D Pension Calculator'!$B$1),0, I52+1) = 0, "", IF(I52+1&gt;=YEAR(('Part D Pension Calculator'!$B$1)),0, I52+1)),"")</f>
        <v/>
      </c>
      <c r="J53" s="6" t="str">
        <f ca="1">IF(I53="","",IF(I53&lt;2019, IF(I53="","",VLOOKUP(I53,$N$2:$O$44,2,FALSE)), $B$5*((1+Assumptions!$B$16)^(I53-2019))))</f>
        <v/>
      </c>
      <c r="K53" s="221" t="str">
        <f ca="1">IF(I53="","",IF(I53&lt;2014,($B$4)*(1+Assumptions!$B$14)^(I53-2014),IF(I53=2014,$B$4,($B$4)*(1+Assumptions!$B$15)^(I53-2014))))</f>
        <v/>
      </c>
      <c r="L53" s="6" t="str">
        <f ca="1">IF(I53="","",  IF($B$2=600, (Assumptions!$B$8)*MIN(J53,K53) + (Assumptions!$B$9)*MAX(0,K53-J53), 12*(Assumptions!$B$7)))</f>
        <v/>
      </c>
      <c r="Q53" s="209">
        <v>684</v>
      </c>
      <c r="R53" s="219">
        <v>92164.55</v>
      </c>
    </row>
    <row r="54" spans="4:18" x14ac:dyDescent="0.25">
      <c r="D54" s="209" t="str">
        <f ca="1">IFERROR(IF(IF(DATE((D53+1),1,1)&gt;'Part D Pension Calculator'!$B$6,0,D53+1)=0,"",IF(DATE((D53+1),1,1)&gt;'Part D Pension Calculator'!$B$6,0,D53+1)),"")</f>
        <v/>
      </c>
      <c r="E54" s="6" t="str">
        <f ca="1" xml:space="preserve"> IF(D54="","", $B$5*((1+Assumptions!$B$16)^(D54-2019)))</f>
        <v/>
      </c>
      <c r="F54" s="6" t="str">
        <f ca="1">IF(D54="","",F53*(1+Assumptions!$B$15))</f>
        <v/>
      </c>
      <c r="G54" s="19" t="str">
        <f ca="1">IF(D54="","",  IF($B$2=600, (Assumptions!$B$8)*MIN(F54,E54) + (Assumptions!$B$9)*MAX(0,F54-E54), 12*(Assumptions!$B$7)))</f>
        <v/>
      </c>
      <c r="I54" s="209" t="str">
        <f ca="1">IFERROR(IF(IF(I53+1&gt;=YEAR('Part D Pension Calculator'!$B$1),0, I53+1) = 0, "", IF(I53+1&gt;=YEAR(('Part D Pension Calculator'!$B$1)),0, I53+1)),"")</f>
        <v/>
      </c>
      <c r="J54" s="6" t="str">
        <f ca="1">IF(I54="","",IF(I54&lt;2019, IF(I54="","",VLOOKUP(I54,$N$2:$O$44,2,FALSE)), $B$5*((1+Assumptions!$B$16)^(I54-2019))))</f>
        <v/>
      </c>
      <c r="K54" s="221" t="str">
        <f ca="1">IF(I54="","",IF(I54&lt;2014,($B$4)*(1+Assumptions!$B$14)^(I54-2014),IF(I54=2014,$B$4,($B$4)*(1+Assumptions!$B$15)^(I54-2014))))</f>
        <v/>
      </c>
      <c r="L54" s="6" t="str">
        <f ca="1">IF(I54="","",  IF($B$2=600, (Assumptions!$B$8)*MIN(J54,K54) + (Assumptions!$B$9)*MAX(0,K54-J54), 12*(Assumptions!$B$7)))</f>
        <v/>
      </c>
      <c r="Q54" s="209">
        <v>681</v>
      </c>
      <c r="R54" s="219">
        <v>92989.36</v>
      </c>
    </row>
    <row r="55" spans="4:18" x14ac:dyDescent="0.25">
      <c r="D55" s="209" t="str">
        <f ca="1">IFERROR(IF(IF(DATE((D54+1),1,1)&gt;'Part D Pension Calculator'!$B$6,0,D54+1)=0,"",IF(DATE((D54+1),1,1)&gt;'Part D Pension Calculator'!$B$6,0,D54+1)),"")</f>
        <v/>
      </c>
      <c r="E55" s="6" t="str">
        <f ca="1" xml:space="preserve"> IF(D55="","", $B$5*((1+Assumptions!$B$16)^(D55-2019)))</f>
        <v/>
      </c>
      <c r="F55" s="6" t="str">
        <f ca="1">IF(D55="","",F54*(1+Assumptions!$B$15))</f>
        <v/>
      </c>
      <c r="G55" s="19" t="str">
        <f ca="1">IF(D55="","",  IF($B$2=600, (Assumptions!$B$8)*MIN(F55,E55) + (Assumptions!$B$9)*MAX(0,F55-E55), 12*(Assumptions!$B$7)))</f>
        <v/>
      </c>
      <c r="I55" s="209" t="str">
        <f ca="1">IFERROR(IF(IF(I54+1&gt;=YEAR('Part D Pension Calculator'!$B$1),0, I54+1) = 0, "", IF(I54+1&gt;=YEAR(('Part D Pension Calculator'!$B$1)),0, I54+1)),"")</f>
        <v/>
      </c>
      <c r="J55" s="6" t="str">
        <f ca="1">IF(I55="","",IF(I55&lt;2019, IF(I55="","",VLOOKUP(I55,$N$2:$O$44,2,FALSE)), $B$5*((1+Assumptions!$B$16)^(I55-2019))))</f>
        <v/>
      </c>
      <c r="K55" s="221" t="str">
        <f ca="1">IF(I55="","",IF(I55&lt;2014,($B$4)*(1+Assumptions!$B$14)^(I55-2014),IF(I55=2014,$B$4,($B$4)*(1+Assumptions!$B$15)^(I55-2014))))</f>
        <v/>
      </c>
      <c r="L55" s="6" t="str">
        <f ca="1">IF(I55="","",  IF($B$2=600, (Assumptions!$B$8)*MIN(J55,K55) + (Assumptions!$B$9)*MAX(0,K55-J55), 12*(Assumptions!$B$7)))</f>
        <v/>
      </c>
      <c r="Q55" s="209">
        <v>655</v>
      </c>
      <c r="R55" s="219">
        <v>93814.17</v>
      </c>
    </row>
    <row r="56" spans="4:18" x14ac:dyDescent="0.25">
      <c r="D56" s="209" t="str">
        <f ca="1">IFERROR(IF(IF(DATE((D55+1),1,1)&gt;'Part D Pension Calculator'!$B$6,0,D55+1)=0,"",IF(DATE((D55+1),1,1)&gt;'Part D Pension Calculator'!$B$6,0,D55+1)),"")</f>
        <v/>
      </c>
      <c r="E56" s="6" t="str">
        <f ca="1" xml:space="preserve"> IF(D56="","", $B$5*((1+Assumptions!$B$16)^(D56-2019)))</f>
        <v/>
      </c>
      <c r="F56" s="6" t="str">
        <f ca="1">IF(D56="","",F55*(1+Assumptions!$B$15))</f>
        <v/>
      </c>
      <c r="G56" s="19" t="str">
        <f ca="1">IF(D56="","",  IF($B$2=600, (Assumptions!$B$8)*MIN(F56,E56) + (Assumptions!$B$9)*MAX(0,F56-E56), 12*(Assumptions!$B$7)))</f>
        <v/>
      </c>
      <c r="I56" s="209" t="str">
        <f ca="1">IFERROR(IF(IF(I55+1&gt;=YEAR('Part D Pension Calculator'!$B$1),0, I55+1) = 0, "", IF(I55+1&gt;=YEAR(('Part D Pension Calculator'!$B$1)),0, I55+1)),"")</f>
        <v/>
      </c>
      <c r="J56" s="6" t="str">
        <f ca="1">IF(I56="","",IF(I56&lt;2019, IF(I56="","",VLOOKUP(I56,$N$2:$O$44,2,FALSE)), $B$5*((1+Assumptions!$B$16)^(I56-2019))))</f>
        <v/>
      </c>
      <c r="K56" s="221" t="str">
        <f ca="1">IF(I56="","",IF(I56&lt;2014,($B$4)*(1+Assumptions!$B$14)^(I56-2014),IF(I56=2014,$B$4,($B$4)*(1+Assumptions!$B$15)^(I56-2014))))</f>
        <v/>
      </c>
      <c r="L56" s="6" t="str">
        <f ca="1">IF(I56="","",  IF($B$2=600, (Assumptions!$B$8)*MIN(J56,K56) + (Assumptions!$B$9)*MAX(0,K56-J56), 12*(Assumptions!$B$7)))</f>
        <v/>
      </c>
      <c r="Q56" s="209">
        <v>644</v>
      </c>
      <c r="R56" s="219">
        <v>94638.99</v>
      </c>
    </row>
    <row r="57" spans="4:18" x14ac:dyDescent="0.25">
      <c r="D57" s="209" t="str">
        <f ca="1">IFERROR(IF(IF(DATE((D56+1),1,1)&gt;'Part D Pension Calculator'!$B$6,0,D56+1)=0,"",IF(DATE((D56+1),1,1)&gt;'Part D Pension Calculator'!$B$6,0,D56+1)),"")</f>
        <v/>
      </c>
      <c r="E57" s="6" t="str">
        <f ca="1" xml:space="preserve"> IF(D57="","", $B$5*((1+Assumptions!$B$16)^(D57-2019)))</f>
        <v/>
      </c>
      <c r="F57" s="6" t="str">
        <f ca="1">IF(D57="","",F56*(1+Assumptions!$B$15))</f>
        <v/>
      </c>
      <c r="G57" s="19" t="str">
        <f ca="1">IF(D57="","",  IF($B$2=600, (Assumptions!$B$8)*MIN(F57,E57) + (Assumptions!$B$9)*MAX(0,F57-E57), 12*(Assumptions!$B$7)))</f>
        <v/>
      </c>
      <c r="I57" s="209" t="str">
        <f ca="1">IFERROR(IF(IF(I56+1&gt;=YEAR('Part D Pension Calculator'!$B$1),0, I56+1) = 0, "", IF(I56+1&gt;=YEAR(('Part D Pension Calculator'!$B$1)),0, I56+1)),"")</f>
        <v/>
      </c>
      <c r="J57" s="6" t="str">
        <f ca="1">IF(I57="","",IF(I57&lt;2019, IF(I57="","",VLOOKUP(I57,$N$2:$O$44,2,FALSE)), $B$5*((1+Assumptions!$B$16)^(I57-2019))))</f>
        <v/>
      </c>
      <c r="K57" s="221" t="str">
        <f ca="1">IF(I57="","",IF(I57&lt;2014,($B$4)*(1+Assumptions!$B$14)^(I57-2014),IF(I57=2014,$B$4,($B$4)*(1+Assumptions!$B$15)^(I57-2014))))</f>
        <v/>
      </c>
      <c r="L57" s="6" t="str">
        <f ca="1">IF(I57="","",  IF($B$2=600, (Assumptions!$B$8)*MIN(J57,K57) + (Assumptions!$B$9)*MAX(0,K57-J57), 12*(Assumptions!$B$7)))</f>
        <v/>
      </c>
      <c r="Q57" s="209">
        <v>634</v>
      </c>
      <c r="R57" s="219">
        <v>97113.42</v>
      </c>
    </row>
    <row r="58" spans="4:18" x14ac:dyDescent="0.25">
      <c r="D58" s="209" t="str">
        <f ca="1">IFERROR(IF(IF(DATE((D57+1),1,1)&gt;'Part D Pension Calculator'!$B$6,0,D57+1)=0,"",IF(DATE((D57+1),1,1)&gt;'Part D Pension Calculator'!$B$6,0,D57+1)),"")</f>
        <v/>
      </c>
      <c r="E58" s="6" t="str">
        <f ca="1" xml:space="preserve"> IF(D58="","", $B$5*((1+Assumptions!$B$16)^(D58-2019)))</f>
        <v/>
      </c>
      <c r="F58" s="6" t="str">
        <f ca="1">IF(D58="","",F57*(1+Assumptions!$B$15))</f>
        <v/>
      </c>
      <c r="G58" s="19" t="str">
        <f ca="1">IF(D58="","",  IF($B$2=600, (Assumptions!$B$8)*MIN(F58,E58) + (Assumptions!$B$9)*MAX(0,F58-E58), 12*(Assumptions!$B$7)))</f>
        <v/>
      </c>
      <c r="I58" s="209" t="str">
        <f ca="1">IFERROR(IF(IF(I57+1&gt;=YEAR('Part D Pension Calculator'!$B$1),0, I57+1) = 0, "", IF(I57+1&gt;=YEAR(('Part D Pension Calculator'!$B$1)),0, I57+1)),"")</f>
        <v/>
      </c>
      <c r="J58" s="6" t="str">
        <f ca="1">IF(I58="","",IF(I58&lt;2019, IF(I58="","",VLOOKUP(I58,$N$2:$O$44,2,FALSE)), $B$5*((1+Assumptions!$B$16)^(I58-2019))))</f>
        <v/>
      </c>
      <c r="K58" s="221" t="str">
        <f ca="1">IF(I58="","",IF(I58&lt;2014,($B$4)*(1+Assumptions!$B$14)^(I58-2014),IF(I58=2014,$B$4,($B$4)*(1+Assumptions!$B$15)^(I58-2014))))</f>
        <v/>
      </c>
      <c r="L58" s="6" t="str">
        <f ca="1">IF(I58="","",  IF($B$2=600, (Assumptions!$B$8)*MIN(J58,K58) + (Assumptions!$B$9)*MAX(0,K58-J58), 12*(Assumptions!$B$7)))</f>
        <v/>
      </c>
      <c r="Q58" s="209">
        <v>625</v>
      </c>
      <c r="R58" s="219">
        <v>97938.240000000005</v>
      </c>
    </row>
    <row r="59" spans="4:18" x14ac:dyDescent="0.25">
      <c r="D59" s="209" t="str">
        <f ca="1">IFERROR(IF(IF(DATE((D58+1),1,1)&gt;'Part D Pension Calculator'!$B$6,0,D58+1)=0,"",IF(DATE((D58+1),1,1)&gt;'Part D Pension Calculator'!$B$6,0,D58+1)),"")</f>
        <v/>
      </c>
      <c r="E59" s="6" t="str">
        <f ca="1" xml:space="preserve"> IF(D59="","", $B$5*((1+Assumptions!$B$16)^(D59-2019)))</f>
        <v/>
      </c>
      <c r="F59" s="6" t="str">
        <f ca="1">IF(D59="","",F58*(1+Assumptions!$B$15))</f>
        <v/>
      </c>
      <c r="G59" s="19" t="str">
        <f ca="1">IF(D59="","",  IF($B$2=600, (Assumptions!$B$8)*MIN(F59,E59) + (Assumptions!$B$9)*MAX(0,F59-E59), 12*(Assumptions!$B$7)))</f>
        <v/>
      </c>
      <c r="I59" s="209" t="str">
        <f ca="1">IFERROR(IF(IF(I58+1&gt;=YEAR('Part D Pension Calculator'!$B$1),0, I58+1) = 0, "", IF(I58+1&gt;=YEAR(('Part D Pension Calculator'!$B$1)),0, I58+1)),"")</f>
        <v/>
      </c>
      <c r="J59" s="6" t="str">
        <f ca="1">IF(I59="","",IF(I59&lt;2019, IF(I59="","",VLOOKUP(I59,$N$2:$O$44,2,FALSE)), $B$5*((1+Assumptions!$B$16)^(I59-2019))))</f>
        <v/>
      </c>
      <c r="K59" s="221" t="str">
        <f ca="1">IF(I59="","",IF(I59&lt;2014,($B$4)*(1+Assumptions!$B$14)^(I59-2014),IF(I59=2014,$B$4,($B$4)*(1+Assumptions!$B$15)^(I59-2014))))</f>
        <v/>
      </c>
      <c r="L59" s="6" t="str">
        <f ca="1">IF(I59="","",  IF($B$2=600, (Assumptions!$B$8)*MIN(J59,K59) + (Assumptions!$B$9)*MAX(0,K59-J59), 12*(Assumptions!$B$7)))</f>
        <v/>
      </c>
      <c r="Q59" s="209">
        <v>624</v>
      </c>
      <c r="R59" s="219">
        <v>98763.05</v>
      </c>
    </row>
    <row r="60" spans="4:18" x14ac:dyDescent="0.25">
      <c r="D60" s="209" t="str">
        <f ca="1">IFERROR(IF(IF(DATE((D59+1),1,1)&gt;'Part D Pension Calculator'!$B$6,0,D59+1)=0,"",IF(DATE((D59+1),1,1)&gt;'Part D Pension Calculator'!$B$6,0,D59+1)),"")</f>
        <v/>
      </c>
      <c r="E60" s="6" t="str">
        <f ca="1" xml:space="preserve"> IF(D60="","", $B$5*((1+Assumptions!$B$16)^(D60-2019)))</f>
        <v/>
      </c>
      <c r="F60" s="6" t="str">
        <f ca="1">IF(D60="","",F59*(1+Assumptions!$B$15))</f>
        <v/>
      </c>
      <c r="G60" s="19" t="str">
        <f ca="1">IF(D60="","",  IF($B$2=600, (Assumptions!$B$8)*MIN(F60,E60) + (Assumptions!$B$9)*MAX(0,F60-E60), 12*(Assumptions!$B$7)))</f>
        <v/>
      </c>
      <c r="I60" s="209" t="str">
        <f ca="1">IFERROR(IF(IF(I59+1&gt;=YEAR('Part D Pension Calculator'!$B$1),0, I59+1) = 0, "", IF(I59+1&gt;=YEAR(('Part D Pension Calculator'!$B$1)),0, I59+1)),"")</f>
        <v/>
      </c>
      <c r="J60" s="6" t="str">
        <f ca="1">IF(I60="","",IF(I60&lt;2019, IF(I60="","",VLOOKUP(I60,$N$2:$O$44,2,FALSE)), $B$5*((1+Assumptions!$B$16)^(I60-2019))))</f>
        <v/>
      </c>
      <c r="K60" s="221" t="str">
        <f ca="1">IF(I60="","",IF(I60&lt;2014,($B$4)*(1+Assumptions!$B$14)^(I60-2014),IF(I60=2014,$B$4,($B$4)*(1+Assumptions!$B$15)^(I60-2014))))</f>
        <v/>
      </c>
      <c r="L60" s="6" t="str">
        <f ca="1">IF(I60="","",  IF($B$2=600, (Assumptions!$B$8)*MIN(J60,K60) + (Assumptions!$B$9)*MAX(0,K60-J60), 12*(Assumptions!$B$7)))</f>
        <v/>
      </c>
      <c r="Q60" s="209">
        <v>620</v>
      </c>
      <c r="R60" s="219">
        <v>99587.86</v>
      </c>
    </row>
    <row r="61" spans="4:18" x14ac:dyDescent="0.25">
      <c r="D61" s="209" t="str">
        <f ca="1">IFERROR(IF(IF(DATE((D60+1),1,1)&gt;'Part D Pension Calculator'!$B$6,0,D60+1)=0,"",IF(DATE((D60+1),1,1)&gt;'Part D Pension Calculator'!$B$6,0,D60+1)),"")</f>
        <v/>
      </c>
      <c r="E61" s="6" t="str">
        <f ca="1" xml:space="preserve"> IF(D61="","", $B$5*((1+Assumptions!$B$16)^(D61-2019)))</f>
        <v/>
      </c>
      <c r="F61" s="6" t="str">
        <f ca="1">IF(D61="","",F60*(1+Assumptions!$B$15))</f>
        <v/>
      </c>
      <c r="G61" s="19" t="str">
        <f ca="1">IF(D61="","",  IF($B$2=600, (Assumptions!$B$8)*MIN(F61,E61) + (Assumptions!$B$9)*MAX(0,F61-E61), 12*(Assumptions!$B$7)))</f>
        <v/>
      </c>
      <c r="I61" s="209" t="str">
        <f ca="1">IFERROR(IF(IF(I60+1&gt;=YEAR('Part D Pension Calculator'!$B$1),0, I60+1) = 0, "", IF(I60+1&gt;=YEAR(('Part D Pension Calculator'!$B$1)),0, I60+1)),"")</f>
        <v/>
      </c>
      <c r="J61" s="6" t="str">
        <f ca="1">IF(I61="","",IF(I61&lt;2019, IF(I61="","",VLOOKUP(I61,$N$2:$O$44,2,FALSE)), $B$5*((1+Assumptions!$B$16)^(I61-2019))))</f>
        <v/>
      </c>
      <c r="K61" s="221" t="str">
        <f ca="1">IF(I61="","",IF(I61&lt;2014,($B$4)*(1+Assumptions!$B$14)^(I61-2014),IF(I61=2014,$B$4,($B$4)*(1+Assumptions!$B$15)^(I61-2014))))</f>
        <v/>
      </c>
      <c r="L61" s="6" t="str">
        <f ca="1">IF(I61="","",  IF($B$2=600, (Assumptions!$B$8)*MIN(J61,K61) + (Assumptions!$B$9)*MAX(0,K61-J61), 12*(Assumptions!$B$7)))</f>
        <v/>
      </c>
      <c r="Q61" s="209">
        <v>588</v>
      </c>
      <c r="R61" s="219">
        <v>101237.49</v>
      </c>
    </row>
    <row r="62" spans="4:18" x14ac:dyDescent="0.25">
      <c r="D62" s="209" t="str">
        <f ca="1">IFERROR(IF(IF(DATE((D61+1),1,1)&gt;'Part D Pension Calculator'!$B$6,0,D61+1)=0,"",IF(DATE((D61+1),1,1)&gt;'Part D Pension Calculator'!$B$6,0,D61+1)),"")</f>
        <v/>
      </c>
      <c r="E62" s="6" t="str">
        <f ca="1" xml:space="preserve"> IF(D62="","", $B$5*((1+Assumptions!$B$16)^(D62-2019)))</f>
        <v/>
      </c>
      <c r="F62" s="6" t="str">
        <f ca="1">IF(D62="","",F61*(1+Assumptions!$B$15))</f>
        <v/>
      </c>
      <c r="G62" s="19" t="str">
        <f ca="1">IF(D62="","",  IF($B$2=600, (Assumptions!$B$8)*MIN(F62,E62) + (Assumptions!$B$9)*MAX(0,F62-E62), 12*(Assumptions!$B$7)))</f>
        <v/>
      </c>
      <c r="I62" s="209" t="str">
        <f ca="1">IFERROR(IF(IF(I61+1&gt;=YEAR('Part D Pension Calculator'!$B$1),0, I61+1) = 0, "", IF(I61+1&gt;=YEAR(('Part D Pension Calculator'!$B$1)),0, I61+1)),"")</f>
        <v/>
      </c>
      <c r="J62" s="6" t="str">
        <f ca="1">IF(I62="","",IF(I62&lt;2019, IF(I62="","",VLOOKUP(I62,$N$2:$O$44,2,FALSE)), $B$5*((1+Assumptions!$B$16)^(I62-2019))))</f>
        <v/>
      </c>
      <c r="K62" s="221" t="str">
        <f ca="1">IF(I62="","",IF(I62&lt;2014,($B$4)*(1+Assumptions!$B$14)^(I62-2014),IF(I62=2014,$B$4,($B$4)*(1+Assumptions!$B$15)^(I62-2014))))</f>
        <v/>
      </c>
      <c r="L62" s="6" t="str">
        <f ca="1">IF(I62="","",  IF($B$2=600, (Assumptions!$B$8)*MIN(J62,K62) + (Assumptions!$B$9)*MAX(0,K62-J62), 12*(Assumptions!$B$7)))</f>
        <v/>
      </c>
      <c r="Q62" s="209">
        <v>584</v>
      </c>
      <c r="R62" s="219">
        <v>102062.3</v>
      </c>
    </row>
    <row r="63" spans="4:18" x14ac:dyDescent="0.25">
      <c r="D63" s="209" t="str">
        <f ca="1">IFERROR(IF(IF(DATE((D62+1),1,1)&gt;'Part D Pension Calculator'!$B$6,0,D62+1)=0,"",IF(DATE((D62+1),1,1)&gt;'Part D Pension Calculator'!$B$6,0,D62+1)),"")</f>
        <v/>
      </c>
      <c r="E63" s="6" t="str">
        <f ca="1" xml:space="preserve"> IF(D63="","", $B$5*((1+Assumptions!$B$16)^(D63-2019)))</f>
        <v/>
      </c>
      <c r="F63" s="6" t="str">
        <f ca="1">IF(D63="","",F62*(1+Assumptions!$B$15))</f>
        <v/>
      </c>
      <c r="G63" s="19" t="str">
        <f ca="1">IF(D63="","",  IF($B$2=600, (Assumptions!$B$8)*MIN(F63,E63) + (Assumptions!$B$9)*MAX(0,F63-E63), 12*(Assumptions!$B$7)))</f>
        <v/>
      </c>
      <c r="I63" s="209" t="str">
        <f ca="1">IFERROR(IF(IF(I62+1&gt;=YEAR('Part D Pension Calculator'!$B$1),0, I62+1) = 0, "", IF(I62+1&gt;=YEAR(('Part D Pension Calculator'!$B$1)),0, I62+1)),"")</f>
        <v/>
      </c>
      <c r="J63" s="6" t="str">
        <f ca="1">IF(I63="","",IF(I63&lt;2019, IF(I63="","",VLOOKUP(I63,$N$2:$O$44,2,FALSE)), $B$5*((1+Assumptions!$B$16)^(I63-2019))))</f>
        <v/>
      </c>
      <c r="K63" s="221" t="str">
        <f ca="1">IF(I63="","",IF(I63&lt;2014,($B$4)*(1+Assumptions!$B$14)^(I63-2014),IF(I63=2014,$B$4,($B$4)*(1+Assumptions!$B$15)^(I63-2014))))</f>
        <v/>
      </c>
      <c r="L63" s="6" t="str">
        <f ca="1">IF(I63="","",  IF($B$2=600, (Assumptions!$B$8)*MIN(J63,K63) + (Assumptions!$B$9)*MAX(0,K63-J63), 12*(Assumptions!$B$7)))</f>
        <v/>
      </c>
      <c r="Q63" s="209">
        <v>580</v>
      </c>
      <c r="R63" s="219">
        <v>102887.11</v>
      </c>
    </row>
    <row r="64" spans="4:18" x14ac:dyDescent="0.25">
      <c r="D64" s="209" t="str">
        <f ca="1">IFERROR(IF(IF(DATE((D63+1),1,1)&gt;'Part D Pension Calculator'!$B$6,0,D63+1)=0,"",IF(DATE((D63+1),1,1)&gt;'Part D Pension Calculator'!$B$6,0,D63+1)),"")</f>
        <v/>
      </c>
      <c r="E64" s="6" t="str">
        <f ca="1" xml:space="preserve"> IF(D64="","", $B$5*((1+Assumptions!$B$16)^(D64-2019)))</f>
        <v/>
      </c>
      <c r="F64" s="6" t="str">
        <f ca="1">IF(D64="","",F63*(1+Assumptions!$B$15))</f>
        <v/>
      </c>
      <c r="G64" s="19" t="str">
        <f ca="1">IF(D64="","",  IF($B$2=600, (Assumptions!$B$8)*MIN(F64,E64) + (Assumptions!$B$9)*MAX(0,F64-E64), 12*(Assumptions!$B$7)))</f>
        <v/>
      </c>
      <c r="I64" s="209" t="str">
        <f ca="1">IFERROR(IF(IF(I63+1&gt;=YEAR('Part D Pension Calculator'!$B$1),0, I63+1) = 0, "", IF(I63+1&gt;=YEAR(('Part D Pension Calculator'!$B$1)),0, I63+1)),"")</f>
        <v/>
      </c>
      <c r="J64" s="6" t="str">
        <f ca="1">IF(I64="","",IF(I64&lt;2019, IF(I64="","",VLOOKUP(I64,$N$2:$O$44,2,FALSE)), $B$5*((1+Assumptions!$B$16)^(I64-2019))))</f>
        <v/>
      </c>
      <c r="K64" s="221" t="str">
        <f ca="1">IF(I64="","",IF(I64&lt;2014,($B$4)*(1+Assumptions!$B$14)^(I64-2014),IF(I64=2014,$B$4,($B$4)*(1+Assumptions!$B$15)^(I64-2014))))</f>
        <v/>
      </c>
      <c r="L64" s="6" t="str">
        <f ca="1">IF(I64="","",  IF($B$2=600, (Assumptions!$B$8)*MIN(J64,K64) + (Assumptions!$B$9)*MAX(0,K64-J64), 12*(Assumptions!$B$7)))</f>
        <v/>
      </c>
      <c r="Q64" s="209">
        <v>579</v>
      </c>
      <c r="R64" s="219">
        <v>103711.92</v>
      </c>
    </row>
    <row r="65" spans="4:18" x14ac:dyDescent="0.25">
      <c r="D65" s="209" t="str">
        <f ca="1">IFERROR(IF(IF(DATE((D64+1),1,1)&gt;'Part D Pension Calculator'!$B$6,0,D64+1)=0,"",IF(DATE((D64+1),1,1)&gt;'Part D Pension Calculator'!$B$6,0,D64+1)),"")</f>
        <v/>
      </c>
      <c r="E65" s="6" t="str">
        <f ca="1" xml:space="preserve"> IF(D65="","", $B$5*((1+Assumptions!$B$16)^(D65-2019)))</f>
        <v/>
      </c>
      <c r="F65" s="6" t="str">
        <f ca="1">IF(D65="","",F64*(1+Assumptions!$B$15))</f>
        <v/>
      </c>
      <c r="G65" s="19" t="str">
        <f ca="1">IF(D65="","",  IF($B$2=600, (Assumptions!$B$8)*MIN(F65,E65) + (Assumptions!$B$9)*MAX(0,F65-E65), 12*(Assumptions!$B$7)))</f>
        <v/>
      </c>
      <c r="I65" s="209" t="str">
        <f ca="1">IFERROR(IF(IF(I64+1&gt;=YEAR('Part D Pension Calculator'!$B$1),0, I64+1) = 0, "", IF(I64+1&gt;=YEAR(('Part D Pension Calculator'!$B$1)),0, I64+1)),"")</f>
        <v/>
      </c>
      <c r="J65" s="6" t="str">
        <f ca="1">IF(I65="","",IF(I65&lt;2019, IF(I65="","",VLOOKUP(I65,$N$2:$O$44,2,FALSE)), $B$5*((1+Assumptions!$B$16)^(I65-2019))))</f>
        <v/>
      </c>
      <c r="K65" s="221" t="str">
        <f ca="1">IF(I65="","",IF(I65&lt;2014,($B$4)*(1+Assumptions!$B$14)^(I65-2014),IF(I65=2014,$B$4,($B$4)*(1+Assumptions!$B$15)^(I65-2014))))</f>
        <v/>
      </c>
      <c r="L65" s="6" t="str">
        <f ca="1">IF(I65="","",  IF($B$2=600, (Assumptions!$B$8)*MIN(J65,K65) + (Assumptions!$B$9)*MAX(0,K65-J65), 12*(Assumptions!$B$7)))</f>
        <v/>
      </c>
      <c r="Q65" s="209">
        <v>576</v>
      </c>
      <c r="R65" s="219">
        <v>104536.74</v>
      </c>
    </row>
    <row r="66" spans="4:18" x14ac:dyDescent="0.25">
      <c r="D66" s="209" t="str">
        <f ca="1">IFERROR(IF(IF(DATE((D65+1),1,1)&gt;'Part D Pension Calculator'!$B$6,0,D65+1)=0,"",IF(DATE((D65+1),1,1)&gt;'Part D Pension Calculator'!$B$6,0,D65+1)),"")</f>
        <v/>
      </c>
      <c r="E66" s="6" t="str">
        <f ca="1" xml:space="preserve"> IF(D66="","", $B$5*((1+Assumptions!$B$16)^(D66-2019)))</f>
        <v/>
      </c>
      <c r="F66" s="6" t="str">
        <f ca="1">IF(D66="","",F65*(1+Assumptions!$B$15))</f>
        <v/>
      </c>
      <c r="G66" s="19" t="str">
        <f ca="1">IF(D66="","",  IF($B$2=600, (Assumptions!$B$8)*MIN(F66,E66) + (Assumptions!$B$9)*MAX(0,F66-E66), 12*(Assumptions!$B$7)))</f>
        <v/>
      </c>
      <c r="I66" s="209" t="str">
        <f ca="1">IFERROR(IF(IF(I65+1&gt;=YEAR('Part D Pension Calculator'!$B$1),0, I65+1) = 0, "", IF(I65+1&gt;=YEAR(('Part D Pension Calculator'!$B$1)),0, I65+1)),"")</f>
        <v/>
      </c>
      <c r="J66" s="6" t="str">
        <f ca="1">IF(I66="","",IF(I66&lt;2019, IF(I66="","",VLOOKUP(I66,$N$2:$O$44,2,FALSE)), $B$5*((1+Assumptions!$B$16)^(I66-2019))))</f>
        <v/>
      </c>
      <c r="K66" s="221" t="str">
        <f ca="1">IF(I66="","",IF(I66&lt;2014,($B$4)*(1+Assumptions!$B$14)^(I66-2014),IF(I66=2014,$B$4,($B$4)*(1+Assumptions!$B$15)^(I66-2014))))</f>
        <v/>
      </c>
      <c r="L66" s="6" t="str">
        <f ca="1">IF(I66="","",  IF($B$2=600, (Assumptions!$B$8)*MIN(J66,K66) + (Assumptions!$B$9)*MAX(0,K66-J66), 12*(Assumptions!$B$7)))</f>
        <v/>
      </c>
      <c r="Q66" s="209">
        <v>564</v>
      </c>
      <c r="R66" s="219">
        <v>105361.55</v>
      </c>
    </row>
    <row r="67" spans="4:18" x14ac:dyDescent="0.25">
      <c r="D67" s="209" t="str">
        <f ca="1">IFERROR(IF(IF(DATE((D66+1),1,1)&gt;'Part D Pension Calculator'!$B$6,0,D66+1)=0,"",IF(DATE((D66+1),1,1)&gt;'Part D Pension Calculator'!$B$6,0,D66+1)),"")</f>
        <v/>
      </c>
      <c r="E67" s="6" t="str">
        <f ca="1" xml:space="preserve"> IF(D67="","", $B$5*((1+Assumptions!$B$16)^(D67-2019)))</f>
        <v/>
      </c>
      <c r="F67" s="6" t="str">
        <f ca="1">IF(D67="","",F66*(1+Assumptions!$B$15))</f>
        <v/>
      </c>
      <c r="G67" s="19" t="str">
        <f ca="1">IF(D67="","",  IF($B$2=600, (Assumptions!$B$8)*MIN(F67,E67) + (Assumptions!$B$9)*MAX(0,F67-E67), 12*(Assumptions!$B$7)))</f>
        <v/>
      </c>
      <c r="I67" s="209" t="str">
        <f ca="1">IFERROR(IF(IF(I66+1&gt;=YEAR('Part D Pension Calculator'!$B$1),0, I66+1) = 0, "", IF(I66+1&gt;=YEAR(('Part D Pension Calculator'!$B$1)),0, I66+1)),"")</f>
        <v/>
      </c>
      <c r="J67" s="6" t="str">
        <f ca="1">IF(I67="","",IF(I67&lt;2019, IF(I67="","",VLOOKUP(I67,$N$2:$O$44,2,FALSE)), $B$5*((1+Assumptions!$B$16)^(I67-2019))))</f>
        <v/>
      </c>
      <c r="K67" s="221" t="str">
        <f ca="1">IF(I67="","",IF(I67&lt;2014,($B$4)*(1+Assumptions!$B$14)^(I67-2014),IF(I67=2014,$B$4,($B$4)*(1+Assumptions!$B$15)^(I67-2014))))</f>
        <v/>
      </c>
      <c r="L67" s="6" t="str">
        <f ca="1">IF(I67="","",  IF($B$2=600, (Assumptions!$B$8)*MIN(J67,K67) + (Assumptions!$B$9)*MAX(0,K67-J67), 12*(Assumptions!$B$7)))</f>
        <v/>
      </c>
      <c r="Q67" s="209">
        <v>561</v>
      </c>
      <c r="R67" s="219">
        <v>106186.36</v>
      </c>
    </row>
    <row r="68" spans="4:18" x14ac:dyDescent="0.25">
      <c r="D68" s="209" t="str">
        <f ca="1">IFERROR(IF(IF(DATE((D67+1),1,1)&gt;'Part D Pension Calculator'!$B$6,0,D67+1)=0,"",IF(DATE((D67+1),1,1)&gt;'Part D Pension Calculator'!$B$6,0,D67+1)),"")</f>
        <v/>
      </c>
      <c r="E68" s="6" t="str">
        <f ca="1" xml:space="preserve"> IF(D68="","", $B$5*((1+Assumptions!$B$16)^(D68-2019)))</f>
        <v/>
      </c>
      <c r="F68" s="6" t="str">
        <f ca="1">IF(D68="","",F67*(1+Assumptions!$B$15))</f>
        <v/>
      </c>
      <c r="G68" s="19" t="str">
        <f ca="1">IF(D68="","",  IF($B$2=600, (Assumptions!$B$8)*MIN(F68,E68) + (Assumptions!$B$9)*MAX(0,F68-E68), 12*(Assumptions!$B$7)))</f>
        <v/>
      </c>
      <c r="I68" s="209" t="str">
        <f ca="1">IFERROR(IF(IF(I67+1&gt;=YEAR('Part D Pension Calculator'!$B$1),0, I67+1) = 0, "", IF(I67+1&gt;=YEAR(('Part D Pension Calculator'!$B$1)),0, I67+1)),"")</f>
        <v/>
      </c>
      <c r="J68" s="6" t="str">
        <f ca="1">IF(I68="","",IF(I68&lt;2019, IF(I68="","",VLOOKUP(I68,$N$2:$O$44,2,FALSE)), $B$5*((1+Assumptions!$B$16)^(I68-2019))))</f>
        <v/>
      </c>
      <c r="K68" s="221" t="str">
        <f ca="1">IF(I68="","",IF(I68&lt;2014,($B$4)*(1+Assumptions!$B$14)^(I68-2014),IF(I68=2014,$B$4,($B$4)*(1+Assumptions!$B$15)^(I68-2014))))</f>
        <v/>
      </c>
      <c r="L68" s="6" t="str">
        <f ca="1">IF(I68="","",  IF($B$2=600, (Assumptions!$B$8)*MIN(J68,K68) + (Assumptions!$B$9)*MAX(0,K68-J68), 12*(Assumptions!$B$7)))</f>
        <v/>
      </c>
      <c r="Q68" s="209">
        <v>553</v>
      </c>
      <c r="R68" s="219">
        <v>107011.17</v>
      </c>
    </row>
    <row r="69" spans="4:18" x14ac:dyDescent="0.25">
      <c r="D69" s="209" t="str">
        <f ca="1">IFERROR(IF(IF(DATE((D68+1),1,1)&gt;'Part D Pension Calculator'!$B$6,0,D68+1)=0,"",IF(DATE((D68+1),1,1)&gt;'Part D Pension Calculator'!$B$6,0,D68+1)),"")</f>
        <v/>
      </c>
      <c r="E69" s="6" t="str">
        <f ca="1" xml:space="preserve"> IF(D69="","", $B$5*((1+Assumptions!$B$16)^(D69-2019)))</f>
        <v/>
      </c>
      <c r="F69" s="6" t="str">
        <f ca="1">IF(D69="","",F68*(1+Assumptions!$B$15))</f>
        <v/>
      </c>
      <c r="G69" s="19" t="str">
        <f ca="1">IF(D69="","",  IF($B$2=600, (Assumptions!$B$8)*MIN(F69,E69) + (Assumptions!$B$9)*MAX(0,F69-E69), 12*(Assumptions!$B$7)))</f>
        <v/>
      </c>
      <c r="I69" s="209" t="str">
        <f ca="1">IFERROR(IF(IF(I68+1&gt;=YEAR('Part D Pension Calculator'!$B$1),0, I68+1) = 0, "", IF(I68+1&gt;=YEAR(('Part D Pension Calculator'!$B$1)),0, I68+1)),"")</f>
        <v/>
      </c>
      <c r="J69" s="6" t="str">
        <f ca="1">IF(I69="","",IF(I69&lt;2019, IF(I69="","",VLOOKUP(I69,$N$2:$O$44,2,FALSE)), $B$5*((1+Assumptions!$B$16)^(I69-2019))))</f>
        <v/>
      </c>
      <c r="K69" s="221" t="str">
        <f ca="1">IF(I69="","",IF(I69&lt;2014,($B$4)*(1+Assumptions!$B$14)^(I69-2014),IF(I69=2014,$B$4,($B$4)*(1+Assumptions!$B$15)^(I69-2014))))</f>
        <v/>
      </c>
      <c r="L69" s="6" t="str">
        <f ca="1">IF(I69="","",  IF($B$2=600, (Assumptions!$B$8)*MIN(J69,K69) + (Assumptions!$B$9)*MAX(0,K69-J69), 12*(Assumptions!$B$7)))</f>
        <v/>
      </c>
      <c r="Q69" s="209">
        <v>547</v>
      </c>
      <c r="R69" s="219">
        <v>107835.99</v>
      </c>
    </row>
    <row r="70" spans="4:18" x14ac:dyDescent="0.25">
      <c r="D70" s="209" t="str">
        <f ca="1">IFERROR(IF(IF(DATE((D69+1),1,1)&gt;'Part D Pension Calculator'!$B$6,0,D69+1)=0,"",IF(DATE((D69+1),1,1)&gt;'Part D Pension Calculator'!$B$6,0,D69+1)),"")</f>
        <v/>
      </c>
      <c r="E70" s="6" t="str">
        <f ca="1" xml:space="preserve"> IF(D70="","", $B$5*((1+Assumptions!$B$16)^(D70-2019)))</f>
        <v/>
      </c>
      <c r="F70" s="6" t="str">
        <f ca="1">IF(D70="","",F69*(1+Assumptions!$B$15))</f>
        <v/>
      </c>
      <c r="G70" s="19" t="str">
        <f ca="1">IF(D70="","",  IF($B$2=600, (Assumptions!$B$8)*MIN(F70,E70) + (Assumptions!$B$9)*MAX(0,F70-E70), 12*(Assumptions!$B$7)))</f>
        <v/>
      </c>
      <c r="I70" s="209" t="str">
        <f ca="1">IFERROR(IF(IF(I69+1&gt;=YEAR('Part D Pension Calculator'!$B$1),0, I69+1) = 0, "", IF(I69+1&gt;=YEAR(('Part D Pension Calculator'!$B$1)),0, I69+1)),"")</f>
        <v/>
      </c>
      <c r="J70" s="6" t="str">
        <f ca="1">IF(I70="","",IF(I70&lt;2019, IF(I70="","",VLOOKUP(I70,$N$2:$O$44,2,FALSE)), $B$5*((1+Assumptions!$B$16)^(I70-2019))))</f>
        <v/>
      </c>
      <c r="K70" s="221" t="str">
        <f ca="1">IF(I70="","",IF(I70&lt;2014,($B$4)*(1+Assumptions!$B$14)^(I70-2014),IF(I70=2014,$B$4,($B$4)*(1+Assumptions!$B$15)^(I70-2014))))</f>
        <v/>
      </c>
      <c r="L70" s="6" t="str">
        <f ca="1">IF(I70="","",  IF($B$2=600, (Assumptions!$B$8)*MIN(J70,K70) + (Assumptions!$B$9)*MAX(0,K70-J70), 12*(Assumptions!$B$7)))</f>
        <v/>
      </c>
      <c r="Q70" s="209">
        <v>524</v>
      </c>
      <c r="R70" s="219">
        <v>108660.8</v>
      </c>
    </row>
    <row r="71" spans="4:18" x14ac:dyDescent="0.25">
      <c r="D71" s="209" t="str">
        <f ca="1">IFERROR(IF(IF(DATE((D70+1),1,1)&gt;'Part D Pension Calculator'!$B$6,0,D70+1)=0,"",IF(DATE((D70+1),1,1)&gt;'Part D Pension Calculator'!$B$6,0,D70+1)),"")</f>
        <v/>
      </c>
      <c r="E71" s="6" t="str">
        <f ca="1" xml:space="preserve"> IF(D71="","", $B$5*((1+Assumptions!$B$16)^(D71-2019)))</f>
        <v/>
      </c>
      <c r="F71" s="6" t="str">
        <f ca="1">IF(D71="","",F70*(1+Assumptions!$B$15))</f>
        <v/>
      </c>
      <c r="G71" s="19" t="str">
        <f ca="1">IF(D71="","",  IF($B$2=600, (Assumptions!$B$8)*MIN(F71,E71) + (Assumptions!$B$9)*MAX(0,F71-E71), 12*(Assumptions!$B$7)))</f>
        <v/>
      </c>
      <c r="I71" s="209" t="str">
        <f ca="1">IFERROR(IF(IF(I70+1&gt;=YEAR('Part D Pension Calculator'!$B$1),0, I70+1) = 0, "", IF(I70+1&gt;=YEAR(('Part D Pension Calculator'!$B$1)),0, I70+1)),"")</f>
        <v/>
      </c>
      <c r="J71" s="6" t="str">
        <f ca="1">IF(I71="","",IF(I71&lt;2019, IF(I71="","",VLOOKUP(I71,$N$2:$O$44,2,FALSE)), $B$5*((1+Assumptions!$B$16)^(I71-2019))))</f>
        <v/>
      </c>
      <c r="K71" s="221" t="str">
        <f ca="1">IF(I71="","",IF(I71&lt;2014,($B$4)*(1+Assumptions!$B$14)^(I71-2014),IF(I71=2014,$B$4,($B$4)*(1+Assumptions!$B$15)^(I71-2014))))</f>
        <v/>
      </c>
      <c r="L71" s="6" t="str">
        <f ca="1">IF(I71="","",  IF($B$2=600, (Assumptions!$B$8)*MIN(J71,K71) + (Assumptions!$B$9)*MAX(0,K71-J71), 12*(Assumptions!$B$7)))</f>
        <v/>
      </c>
      <c r="Q71" s="209">
        <v>514</v>
      </c>
      <c r="R71" s="219">
        <v>109485.61</v>
      </c>
    </row>
    <row r="72" spans="4:18" x14ac:dyDescent="0.25">
      <c r="D72" s="209" t="str">
        <f ca="1">IFERROR(IF(IF(DATE((D71+1),1,1)&gt;'Part D Pension Calculator'!$B$6,0,D71+1)=0,"",IF(DATE((D71+1),1,1)&gt;'Part D Pension Calculator'!$B$6,0,D71+1)),"")</f>
        <v/>
      </c>
      <c r="E72" s="6" t="str">
        <f ca="1" xml:space="preserve"> IF(D72="","", $B$5*((1+Assumptions!$B$16)^(D72-2019)))</f>
        <v/>
      </c>
      <c r="F72" s="6" t="str">
        <f ca="1">IF(D72="","",F71*(1+Assumptions!$B$15))</f>
        <v/>
      </c>
      <c r="G72" s="19" t="str">
        <f ca="1">IF(D72="","",  IF($B$2=600, (Assumptions!$B$8)*MIN(F72,E72) + (Assumptions!$B$9)*MAX(0,F72-E72), 12*(Assumptions!$B$7)))</f>
        <v/>
      </c>
      <c r="I72" s="209" t="str">
        <f ca="1">IFERROR(IF(IF(I71+1&gt;=YEAR('Part D Pension Calculator'!$B$1),0, I71+1) = 0, "", IF(I71+1&gt;=YEAR(('Part D Pension Calculator'!$B$1)),0, I71+1)),"")</f>
        <v/>
      </c>
      <c r="J72" s="6" t="str">
        <f ca="1">IF(I72="","",IF(I72&lt;2019, IF(I72="","",VLOOKUP(I72,$N$2:$O$44,2,FALSE)), $B$5*((1+Assumptions!$B$16)^(I72-2019))))</f>
        <v/>
      </c>
      <c r="K72" s="221" t="str">
        <f ca="1">IF(I72="","",IF(I72&lt;2014,($B$4)*(1+Assumptions!$B$14)^(I72-2014),IF(I72=2014,$B$4,($B$4)*(1+Assumptions!$B$15)^(I72-2014))))</f>
        <v/>
      </c>
      <c r="L72" s="6" t="str">
        <f ca="1">IF(I72="","",  IF($B$2=600, (Assumptions!$B$8)*MIN(J72,K72) + (Assumptions!$B$9)*MAX(0,K72-J72), 12*(Assumptions!$B$7)))</f>
        <v/>
      </c>
      <c r="Q72" s="209">
        <v>498</v>
      </c>
      <c r="R72" s="219">
        <v>110310.42</v>
      </c>
    </row>
    <row r="73" spans="4:18" x14ac:dyDescent="0.25">
      <c r="D73" s="209" t="str">
        <f ca="1">IFERROR(IF(IF(DATE((D72+1),1,1)&gt;'Part D Pension Calculator'!$B$6,0,D72+1)=0,"",IF(DATE((D72+1),1,1)&gt;'Part D Pension Calculator'!$B$6,0,D72+1)),"")</f>
        <v/>
      </c>
      <c r="E73" s="6" t="str">
        <f ca="1" xml:space="preserve"> IF(D73="","", $B$5*((1+Assumptions!$B$16)^(D73-2019)))</f>
        <v/>
      </c>
      <c r="F73" s="6" t="str">
        <f ca="1">IF(D73="","",F72*(1+Assumptions!$B$15))</f>
        <v/>
      </c>
      <c r="G73" s="19" t="str">
        <f ca="1">IF(D73="","",  IF($B$2=600, (Assumptions!$B$8)*MIN(F73,E73) + (Assumptions!$B$9)*MAX(0,F73-E73), 12*(Assumptions!$B$7)))</f>
        <v/>
      </c>
      <c r="I73" s="209" t="str">
        <f ca="1">IFERROR(IF(IF(I72+1&gt;=YEAR('Part D Pension Calculator'!$B$1),0, I72+1) = 0, "", IF(I72+1&gt;=YEAR(('Part D Pension Calculator'!$B$1)),0, I72+1)),"")</f>
        <v/>
      </c>
      <c r="J73" s="6" t="str">
        <f ca="1">IF(I73="","",IF(I73&lt;2019, IF(I73="","",VLOOKUP(I73,$N$2:$O$44,2,FALSE)), $B$5*((1+Assumptions!$B$16)^(I73-2019))))</f>
        <v/>
      </c>
      <c r="K73" s="221" t="str">
        <f ca="1">IF(I73="","",IF(I73&lt;2014,($B$4)*(1+Assumptions!$B$14)^(I73-2014),IF(I73=2014,$B$4,($B$4)*(1+Assumptions!$B$15)^(I73-2014))))</f>
        <v/>
      </c>
      <c r="L73" s="6" t="str">
        <f ca="1">IF(I73="","",  IF($B$2=600, (Assumptions!$B$8)*MIN(J73,K73) + (Assumptions!$B$9)*MAX(0,K73-J73), 12*(Assumptions!$B$7)))</f>
        <v/>
      </c>
      <c r="Q73" s="209">
        <v>482</v>
      </c>
      <c r="R73" s="219">
        <v>111135.24</v>
      </c>
    </row>
    <row r="74" spans="4:18" x14ac:dyDescent="0.25">
      <c r="D74" s="209" t="str">
        <f ca="1">IFERROR(IF(IF(DATE((D73+1),1,1)&gt;'Part D Pension Calculator'!$B$6,0,D73+1)=0,"",IF(DATE((D73+1),1,1)&gt;'Part D Pension Calculator'!$B$6,0,D73+1)),"")</f>
        <v/>
      </c>
      <c r="E74" s="6" t="str">
        <f ca="1" xml:space="preserve"> IF(D74="","", $B$5*((1+Assumptions!$B$16)^(D74-2019)))</f>
        <v/>
      </c>
      <c r="F74" s="6" t="str">
        <f ca="1">IF(D74="","",F73*(1+Assumptions!$B$15))</f>
        <v/>
      </c>
      <c r="G74" s="19" t="str">
        <f ca="1">IF(D74="","",  IF($B$2=600, (Assumptions!$B$8)*MIN(F74,E74) + (Assumptions!$B$9)*MAX(0,F74-E74), 12*(Assumptions!$B$7)))</f>
        <v/>
      </c>
      <c r="I74" s="209" t="str">
        <f ca="1">IFERROR(IF(IF(I73+1&gt;=YEAR('Part D Pension Calculator'!$B$1),0, I73+1) = 0, "", IF(I73+1&gt;=YEAR(('Part D Pension Calculator'!$B$1)),0, I73+1)),"")</f>
        <v/>
      </c>
      <c r="J74" s="6" t="str">
        <f ca="1">IF(I74="","",IF(I74&lt;2019, IF(I74="","",VLOOKUP(I74,$N$2:$O$44,2,FALSE)), $B$5*((1+Assumptions!$B$16)^(I74-2019))))</f>
        <v/>
      </c>
      <c r="K74" s="221" t="str">
        <f ca="1">IF(I74="","",IF(I74&lt;2014,($B$4)*(1+Assumptions!$B$14)^(I74-2014),IF(I74=2014,$B$4,($B$4)*(1+Assumptions!$B$15)^(I74-2014))))</f>
        <v/>
      </c>
      <c r="L74" s="6" t="str">
        <f ca="1">IF(I74="","",  IF($B$2=600, (Assumptions!$B$8)*MIN(J74,K74) + (Assumptions!$B$9)*MAX(0,K74-J74), 12*(Assumptions!$B$7)))</f>
        <v/>
      </c>
      <c r="Q74" s="209">
        <v>481</v>
      </c>
      <c r="R74" s="219">
        <v>111960.05</v>
      </c>
    </row>
    <row r="75" spans="4:18" x14ac:dyDescent="0.25">
      <c r="D75" s="209" t="str">
        <f ca="1">IFERROR(IF(IF(DATE((D74+1),1,1)&gt;'Part D Pension Calculator'!$B$6,0,D74+1)=0,"",IF(DATE((D74+1),1,1)&gt;'Part D Pension Calculator'!$B$6,0,D74+1)),"")</f>
        <v/>
      </c>
      <c r="E75" s="6" t="str">
        <f ca="1" xml:space="preserve"> IF(D75="","", $B$5*((1+Assumptions!$B$16)^(D75-2019)))</f>
        <v/>
      </c>
      <c r="F75" s="6" t="str">
        <f ca="1">IF(D75="","",F74*(1+Assumptions!$B$15))</f>
        <v/>
      </c>
      <c r="G75" s="19" t="str">
        <f ca="1">IF(D75="","",  IF($B$2=600, (Assumptions!$B$8)*MIN(F75,E75) + (Assumptions!$B$9)*MAX(0,F75-E75), 12*(Assumptions!$B$7)))</f>
        <v/>
      </c>
      <c r="I75" s="209" t="str">
        <f ca="1">IFERROR(IF(IF(I74+1&gt;=YEAR('Part D Pension Calculator'!$B$1),0, I74+1) = 0, "", IF(I74+1&gt;=YEAR(('Part D Pension Calculator'!$B$1)),0, I74+1)),"")</f>
        <v/>
      </c>
      <c r="J75" s="6" t="str">
        <f ca="1">IF(I75="","",IF(I75&lt;2019, IF(I75="","",VLOOKUP(I75,$N$2:$O$44,2,FALSE)), $B$5*((1+Assumptions!$B$16)^(I75-2019))))</f>
        <v/>
      </c>
      <c r="K75" s="221" t="str">
        <f ca="1">IF(I75="","",IF(I75&lt;2014,($B$4)*(1+Assumptions!$B$14)^(I75-2014),IF(I75=2014,$B$4,($B$4)*(1+Assumptions!$B$15)^(I75-2014))))</f>
        <v/>
      </c>
      <c r="L75" s="6" t="str">
        <f ca="1">IF(I75="","",  IF($B$2=600, (Assumptions!$B$8)*MIN(J75,K75) + (Assumptions!$B$9)*MAX(0,K75-J75), 12*(Assumptions!$B$7)))</f>
        <v/>
      </c>
      <c r="Q75" s="209">
        <v>474</v>
      </c>
      <c r="R75" s="219">
        <v>112784.86</v>
      </c>
    </row>
    <row r="76" spans="4:18" x14ac:dyDescent="0.25">
      <c r="D76" s="209" t="str">
        <f ca="1">IFERROR(IF(IF(DATE((D75+1),1,1)&gt;'Part D Pension Calculator'!$B$6,0,D75+1)=0,"",IF(DATE((D75+1),1,1)&gt;'Part D Pension Calculator'!$B$6,0,D75+1)),"")</f>
        <v/>
      </c>
      <c r="E76" s="6" t="str">
        <f ca="1" xml:space="preserve"> IF(D76="","", $B$5*((1+Assumptions!$B$16)^(D76-2019)))</f>
        <v/>
      </c>
      <c r="F76" s="6" t="str">
        <f ca="1">IF(D76="","",F75*(1+Assumptions!$B$15))</f>
        <v/>
      </c>
      <c r="G76" s="19" t="str">
        <f ca="1">IF(D76="","",  IF($B$2=600, (Assumptions!$B$8)*MIN(F76,E76) + (Assumptions!$B$9)*MAX(0,F76-E76), 12*(Assumptions!$B$7)))</f>
        <v/>
      </c>
      <c r="I76" s="209" t="str">
        <f ca="1">IFERROR(IF(IF(I75+1&gt;=YEAR('Part D Pension Calculator'!$B$1),0, I75+1) = 0, "", IF(I75+1&gt;=YEAR(('Part D Pension Calculator'!$B$1)),0, I75+1)),"")</f>
        <v/>
      </c>
      <c r="J76" s="6" t="str">
        <f ca="1">IF(I76="","",IF(I76&lt;2019, IF(I76="","",VLOOKUP(I76,$N$2:$O$44,2,FALSE)), $B$5*((1+Assumptions!$B$16)^(I76-2019))))</f>
        <v/>
      </c>
      <c r="K76" s="221" t="str">
        <f ca="1">IF(I76="","",IF(I76&lt;2014,($B$4)*(1+Assumptions!$B$14)^(I76-2014),IF(I76=2014,$B$4,($B$4)*(1+Assumptions!$B$15)^(I76-2014))))</f>
        <v/>
      </c>
      <c r="L76" s="6" t="str">
        <f ca="1">IF(I76="","",  IF($B$2=600, (Assumptions!$B$8)*MIN(J76,K76) + (Assumptions!$B$9)*MAX(0,K76-J76), 12*(Assumptions!$B$7)))</f>
        <v/>
      </c>
      <c r="Q76" s="209">
        <v>452</v>
      </c>
      <c r="R76" s="219">
        <v>114434.49</v>
      </c>
    </row>
    <row r="77" spans="4:18" x14ac:dyDescent="0.25">
      <c r="D77" s="209" t="str">
        <f ca="1">IFERROR(IF(IF(DATE((D76+1),1,1)&gt;'Part D Pension Calculator'!$B$6,0,D76+1)=0,"",IF(DATE((D76+1),1,1)&gt;'Part D Pension Calculator'!$B$6,0,D76+1)),"")</f>
        <v/>
      </c>
      <c r="E77" s="6" t="str">
        <f ca="1" xml:space="preserve"> IF(D77="","", $B$5*((1+Assumptions!$B$16)^(D77-2019)))</f>
        <v/>
      </c>
      <c r="F77" s="6" t="str">
        <f ca="1">IF(D77="","",F76*(1+Assumptions!$B$15))</f>
        <v/>
      </c>
      <c r="G77" s="19" t="str">
        <f ca="1">IF(D77="","",  IF($B$2=600, (Assumptions!$B$8)*MIN(F77,E77) + (Assumptions!$B$9)*MAX(0,F77-E77), 12*(Assumptions!$B$7)))</f>
        <v/>
      </c>
      <c r="I77" s="209" t="str">
        <f ca="1">IFERROR(IF(IF(I76+1&gt;=YEAR('Part D Pension Calculator'!$B$1),0, I76+1) = 0, "", IF(I76+1&gt;=YEAR(('Part D Pension Calculator'!$B$1)),0, I76+1)),"")</f>
        <v/>
      </c>
      <c r="J77" s="6" t="str">
        <f ca="1">IF(I77="","",IF(I77&lt;2019, IF(I77="","",VLOOKUP(I77,$N$2:$O$44,2,FALSE)), $B$5*((1+Assumptions!$B$16)^(I77-2019))))</f>
        <v/>
      </c>
      <c r="K77" s="221" t="str">
        <f ca="1">IF(I77="","",IF(I77&lt;2014,($B$4)*(1+Assumptions!$B$14)^(I77-2014),IF(I77=2014,$B$4,($B$4)*(1+Assumptions!$B$15)^(I77-2014))))</f>
        <v/>
      </c>
      <c r="L77" s="6" t="str">
        <f ca="1">IF(I77="","",  IF($B$2=600, (Assumptions!$B$8)*MIN(J77,K77) + (Assumptions!$B$9)*MAX(0,K77-J77), 12*(Assumptions!$B$7)))</f>
        <v/>
      </c>
      <c r="Q77" s="209">
        <v>391</v>
      </c>
      <c r="R77" s="219">
        <v>116084.11</v>
      </c>
    </row>
    <row r="78" spans="4:18" x14ac:dyDescent="0.25">
      <c r="D78" s="209" t="str">
        <f ca="1">IFERROR(IF(IF(DATE((D77+1),1,1)&gt;'Part D Pension Calculator'!$B$6,0,D77+1)=0,"",IF(DATE((D77+1),1,1)&gt;'Part D Pension Calculator'!$B$6,0,D77+1)),"")</f>
        <v/>
      </c>
      <c r="E78" s="6" t="str">
        <f ca="1" xml:space="preserve"> IF(D78="","", $B$5*((1+Assumptions!$B$16)^(D78-2019)))</f>
        <v/>
      </c>
      <c r="F78" s="6" t="str">
        <f ca="1">IF(D78="","",F77*(1+Assumptions!$B$15))</f>
        <v/>
      </c>
      <c r="G78" s="19" t="str">
        <f ca="1">IF(D78="","",  IF($B$2=600, (Assumptions!$B$8)*MIN(F78,E78) + (Assumptions!$B$9)*MAX(0,F78-E78), 12*(Assumptions!$B$7)))</f>
        <v/>
      </c>
      <c r="I78" s="209" t="str">
        <f ca="1">IFERROR(IF(IF(I77+1&gt;=YEAR('Part D Pension Calculator'!$B$1),0, I77+1) = 0, "", IF(I77+1&gt;=YEAR(('Part D Pension Calculator'!$B$1)),0, I77+1)),"")</f>
        <v/>
      </c>
      <c r="J78" s="6" t="str">
        <f ca="1">IF(I78="","",IF(I78&lt;2019, IF(I78="","",VLOOKUP(I78,$N$2:$O$44,2,FALSE)), $B$5*((1+Assumptions!$B$16)^(I78-2019))))</f>
        <v/>
      </c>
      <c r="K78" s="221" t="str">
        <f ca="1">IF(I78="","",IF(I78&lt;2014,($B$4)*(1+Assumptions!$B$14)^(I78-2014),IF(I78=2014,$B$4,($B$4)*(1+Assumptions!$B$15)^(I78-2014))))</f>
        <v/>
      </c>
      <c r="L78" s="6" t="str">
        <f ca="1">IF(I78="","",  IF($B$2=600, (Assumptions!$B$8)*MIN(J78,K78) + (Assumptions!$B$9)*MAX(0,K78-J78), 12*(Assumptions!$B$7)))</f>
        <v/>
      </c>
      <c r="Q78" s="209">
        <v>386</v>
      </c>
      <c r="R78" s="219">
        <v>116908.92</v>
      </c>
    </row>
    <row r="79" spans="4:18" x14ac:dyDescent="0.25">
      <c r="D79" s="209" t="str">
        <f ca="1">IFERROR(IF(IF(DATE((D78+1),1,1)&gt;'Part D Pension Calculator'!$B$6,0,D78+1)=0,"",IF(DATE((D78+1),1,1)&gt;'Part D Pension Calculator'!$B$6,0,D78+1)),"")</f>
        <v/>
      </c>
      <c r="E79" s="6" t="str">
        <f ca="1" xml:space="preserve"> IF(D79="","", $B$5*((1+Assumptions!$B$16)^(D79-2019)))</f>
        <v/>
      </c>
      <c r="F79" s="6" t="str">
        <f ca="1">IF(D79="","",F78*(1+Assumptions!$B$15))</f>
        <v/>
      </c>
      <c r="G79" s="19" t="str">
        <f ca="1">IF(D79="","",  IF($B$2=600, (Assumptions!$B$8)*MIN(F79,E79) + (Assumptions!$B$9)*MAX(0,F79-E79), 12*(Assumptions!$B$7)))</f>
        <v/>
      </c>
      <c r="I79" s="209" t="str">
        <f ca="1">IFERROR(IF(IF(I78+1&gt;=YEAR('Part D Pension Calculator'!$B$1),0, I78+1) = 0, "", IF(I78+1&gt;=YEAR(('Part D Pension Calculator'!$B$1)),0, I78+1)),"")</f>
        <v/>
      </c>
      <c r="J79" s="6" t="str">
        <f ca="1">IF(I79="","",IF(I79&lt;2019, IF(I79="","",VLOOKUP(I79,$N$2:$O$44,2,FALSE)), $B$5*((1+Assumptions!$B$16)^(I79-2019))))</f>
        <v/>
      </c>
      <c r="K79" s="221" t="str">
        <f ca="1">IF(I79="","",IF(I79&lt;2014,($B$4)*(1+Assumptions!$B$14)^(I79-2014),IF(I79=2014,$B$4,($B$4)*(1+Assumptions!$B$15)^(I79-2014))))</f>
        <v/>
      </c>
      <c r="L79" s="6" t="str">
        <f ca="1">IF(I79="","",  IF($B$2=600, (Assumptions!$B$8)*MIN(J79,K79) + (Assumptions!$B$9)*MAX(0,K79-J79), 12*(Assumptions!$B$7)))</f>
        <v/>
      </c>
      <c r="Q79" s="209">
        <v>360</v>
      </c>
      <c r="R79" s="219">
        <v>118558.55</v>
      </c>
    </row>
    <row r="80" spans="4:18" x14ac:dyDescent="0.25">
      <c r="D80" s="209" t="str">
        <f ca="1">IFERROR(IF(IF(DATE((D79+1),1,1)&gt;'Part D Pension Calculator'!$B$6,0,D79+1)=0,"",IF(DATE((D79+1),1,1)&gt;'Part D Pension Calculator'!$B$6,0,D79+1)),"")</f>
        <v/>
      </c>
      <c r="E80" s="6" t="str">
        <f ca="1" xml:space="preserve"> IF(D80="","", $B$5*((1+Assumptions!$B$16)^(D80-2019)))</f>
        <v/>
      </c>
      <c r="F80" s="6" t="str">
        <f ca="1">IF(D80="","",F79*(1+Assumptions!$B$15))</f>
        <v/>
      </c>
      <c r="G80" s="19" t="str">
        <f ca="1">IF(D80="","",  IF($B$2=600, (Assumptions!$B$8)*MIN(F80,E80) + (Assumptions!$B$9)*MAX(0,F80-E80), 12*(Assumptions!$B$7)))</f>
        <v/>
      </c>
      <c r="I80" s="209" t="str">
        <f ca="1">IFERROR(IF(IF(I79+1&gt;=YEAR('Part D Pension Calculator'!$B$1),0, I79+1) = 0, "", IF(I79+1&gt;=YEAR(('Part D Pension Calculator'!$B$1)),0, I79+1)),"")</f>
        <v/>
      </c>
      <c r="J80" s="6" t="str">
        <f ca="1">IF(I80="","",IF(I80&lt;2019, IF(I80="","",VLOOKUP(I80,$N$2:$O$44,2,FALSE)), $B$5*((1+Assumptions!$B$16)^(I80-2019))))</f>
        <v/>
      </c>
      <c r="K80" s="221" t="str">
        <f ca="1">IF(I80="","",IF(I80&lt;2014,($B$4)*(1+Assumptions!$B$14)^(I80-2014),IF(I80=2014,$B$4,($B$4)*(1+Assumptions!$B$15)^(I80-2014))))</f>
        <v/>
      </c>
      <c r="L80" s="6" t="str">
        <f ca="1">IF(I80="","",  IF($B$2=600, (Assumptions!$B$8)*MIN(J80,K80) + (Assumptions!$B$9)*MAX(0,K80-J80), 12*(Assumptions!$B$7)))</f>
        <v/>
      </c>
      <c r="Q80" s="209">
        <v>316</v>
      </c>
      <c r="R80" s="219">
        <v>119383.36</v>
      </c>
    </row>
    <row r="81" spans="4:12" x14ac:dyDescent="0.25">
      <c r="D81" s="209" t="str">
        <f ca="1">IFERROR(IF(IF(DATE((D80+1),1,1)&gt;'Part D Pension Calculator'!$B$6,0,D80+1)=0,"",IF(DATE((D80+1),1,1)&gt;'Part D Pension Calculator'!$B$6,0,D80+1)),"")</f>
        <v/>
      </c>
      <c r="E81" s="6" t="str">
        <f ca="1" xml:space="preserve"> IF(D81="","", $B$5*((1+Assumptions!$B$16)^(D81-2019)))</f>
        <v/>
      </c>
      <c r="F81" s="6" t="str">
        <f ca="1">IF(D81="","",F80*(1+Assumptions!$B$15))</f>
        <v/>
      </c>
      <c r="G81" s="19" t="str">
        <f ca="1">IF(D81="","",  IF($B$2=600, (Assumptions!$B$8)*MIN(F81,E81) + (Assumptions!$B$9)*MAX(0,F81-E81), 12*(Assumptions!$B$7)))</f>
        <v/>
      </c>
      <c r="I81" s="209" t="str">
        <f ca="1">IFERROR(IF(IF(I80+1&gt;=YEAR('Part D Pension Calculator'!$B$1),0, I80+1) = 0, "", IF(I80+1&gt;=YEAR(('Part D Pension Calculator'!$B$1)),0, I80+1)),"")</f>
        <v/>
      </c>
      <c r="J81" s="6" t="str">
        <f ca="1">IF(I81="","",IF(I81&lt;2019, IF(I81="","",VLOOKUP(I81,$N$2:$O$44,2,FALSE)), $B$5*((1+Assumptions!$B$16)^(I81-2019))))</f>
        <v/>
      </c>
      <c r="K81" s="221" t="str">
        <f ca="1">IF(I81="","",IF(I81&lt;2014,($B$4)*(1+Assumptions!$B$14)^(I81-2014),IF(I81=2014,$B$4,($B$4)*(1+Assumptions!$B$15)^(I81-2014))))</f>
        <v/>
      </c>
      <c r="L81" s="6" t="str">
        <f ca="1">IF(I81="","",  IF($B$2=600, (Assumptions!$B$8)*MIN(J81,K81) + (Assumptions!$B$9)*MAX(0,K81-J81), 12*(Assumptions!$B$7)))</f>
        <v/>
      </c>
    </row>
    <row r="82" spans="4:12" x14ac:dyDescent="0.25">
      <c r="D82" s="209" t="str">
        <f ca="1">IFERROR(IF(IF(DATE((D81+1),1,1)&gt;'Part D Pension Calculator'!$B$6,0,D81+1)=0,"",IF(DATE((D81+1),1,1)&gt;'Part D Pension Calculator'!$B$6,0,D81+1)),"")</f>
        <v/>
      </c>
      <c r="E82" s="6" t="str">
        <f ca="1" xml:space="preserve"> IF(D82="","", $B$5*((1+Assumptions!$B$16)^(D82-2019)))</f>
        <v/>
      </c>
      <c r="F82" s="6" t="str">
        <f ca="1">IF(D82="","",F81*(1+Assumptions!$B$15))</f>
        <v/>
      </c>
      <c r="G82" s="19" t="str">
        <f ca="1">IF(D82="","",  IF($B$2=600, (Assumptions!$B$8)*MIN(F82,E82) + (Assumptions!$B$9)*MAX(0,F82-E82), 12*(Assumptions!$B$7)))</f>
        <v/>
      </c>
      <c r="I82" s="209" t="str">
        <f ca="1">IFERROR(IF(IF(I81+1&gt;=YEAR('Part D Pension Calculator'!$B$1),0, I81+1) = 0, "", IF(I81+1&gt;=YEAR(('Part D Pension Calculator'!$B$1)),0, I81+1)),"")</f>
        <v/>
      </c>
      <c r="J82" s="6" t="str">
        <f ca="1">IF(I82="","",IF(I82&lt;2019, IF(I82="","",VLOOKUP(I82,$N$2:$O$44,2,FALSE)), $B$5*((1+Assumptions!$B$16)^(I82-2019))))</f>
        <v/>
      </c>
      <c r="K82" s="221" t="str">
        <f ca="1">IF(I82="","",IF(I82&lt;2014,($B$4)*(1+Assumptions!$B$14)^(I82-2014),IF(I82=2014,$B$4,($B$4)*(1+Assumptions!$B$15)^(I82-2014))))</f>
        <v/>
      </c>
      <c r="L82" s="6" t="str">
        <f ca="1">IF(I82="","",  IF($B$2=600, (Assumptions!$B$8)*MIN(J82,K82) + (Assumptions!$B$9)*MAX(0,K82-J82), 12*(Assumptions!$B$7)))</f>
        <v/>
      </c>
    </row>
    <row r="83" spans="4:12" x14ac:dyDescent="0.25">
      <c r="D83" s="209" t="str">
        <f ca="1">IFERROR(IF(IF(DATE((D82+1),1,1)&gt;'Part D Pension Calculator'!$B$6,0,D82+1)=0,"",IF(DATE((D82+1),1,1)&gt;'Part D Pension Calculator'!$B$6,0,D82+1)),"")</f>
        <v/>
      </c>
      <c r="E83" s="6" t="str">
        <f ca="1" xml:space="preserve"> IF(D83="","", $B$5*((1+Assumptions!$B$16)^(D83-2019)))</f>
        <v/>
      </c>
      <c r="F83" s="6" t="str">
        <f ca="1">IF(D83="","",F82*(1+Assumptions!$B$15))</f>
        <v/>
      </c>
      <c r="G83" s="19" t="str">
        <f ca="1">IF(D83="","",  IF($B$2=600, (Assumptions!$B$8)*MIN(F83,E83) + (Assumptions!$B$9)*MAX(0,F83-E83), 12*(Assumptions!$B$7)))</f>
        <v/>
      </c>
      <c r="I83" s="209" t="str">
        <f ca="1">IFERROR(IF(IF(I82+1&gt;=YEAR('Part D Pension Calculator'!$B$1),0, I82+1) = 0, "", IF(I82+1&gt;=YEAR(('Part D Pension Calculator'!$B$1)),0, I82+1)),"")</f>
        <v/>
      </c>
      <c r="J83" s="6" t="str">
        <f ca="1">IF(I83="","",IF(I83&lt;2019, IF(I83="","",VLOOKUP(I83,$N$2:$O$44,2,FALSE)), $B$5*((1+Assumptions!$B$16)^(I83-2019))))</f>
        <v/>
      </c>
      <c r="K83" s="221" t="str">
        <f ca="1">IF(I83="","",IF(I83&lt;2014,($B$4)*(1+Assumptions!$B$14)^(I83-2014),IF(I83=2014,$B$4,($B$4)*(1+Assumptions!$B$15)^(I83-2014))))</f>
        <v/>
      </c>
      <c r="L83" s="6" t="str">
        <f ca="1">IF(I83="","",  IF($B$2=600, (Assumptions!$B$8)*MIN(J83,K83) + (Assumptions!$B$9)*MAX(0,K83-J83), 12*(Assumptions!$B$7)))</f>
        <v/>
      </c>
    </row>
    <row r="84" spans="4:12" x14ac:dyDescent="0.25">
      <c r="D84" s="209" t="str">
        <f ca="1">IFERROR(IF(IF(DATE((D83+1),1,1)&gt;'Part D Pension Calculator'!$B$6,0,D83+1)=0,"",IF(DATE((D83+1),1,1)&gt;'Part D Pension Calculator'!$B$6,0,D83+1)),"")</f>
        <v/>
      </c>
      <c r="E84" s="6" t="str">
        <f ca="1" xml:space="preserve"> IF(D84="","", $B$5*((1+Assumptions!$B$16)^(D84-2019)))</f>
        <v/>
      </c>
      <c r="F84" s="6" t="str">
        <f ca="1">IF(D84="","",F83*(1+Assumptions!$B$15))</f>
        <v/>
      </c>
      <c r="G84" s="19" t="str">
        <f ca="1">IF(D84="","",  IF($B$2=600, (Assumptions!$B$8)*MIN(F84,E84) + (Assumptions!$B$9)*MAX(0,F84-E84), 12*(Assumptions!$B$7)))</f>
        <v/>
      </c>
      <c r="I84" s="209" t="str">
        <f ca="1">IFERROR(IF(IF(I83+1&gt;=YEAR('Part D Pension Calculator'!$B$1),0, I83+1) = 0, "", IF(I83+1&gt;=YEAR(('Part D Pension Calculator'!$B$1)),0, I83+1)),"")</f>
        <v/>
      </c>
      <c r="J84" s="6" t="str">
        <f ca="1">IF(I84="","",IF(I84&lt;2019, IF(I84="","",VLOOKUP(I84,$N$2:$O$44,2,FALSE)), $B$5*((1+Assumptions!$B$16)^(I84-2019))))</f>
        <v/>
      </c>
      <c r="K84" s="221" t="str">
        <f ca="1">IF(I84="","",IF(I84&lt;2014,($B$4)*(1+Assumptions!$B$14)^(I84-2014),IF(I84=2014,$B$4,($B$4)*(1+Assumptions!$B$15)^(I84-2014))))</f>
        <v/>
      </c>
      <c r="L84" s="6" t="str">
        <f ca="1">IF(I84="","",  IF($B$2=600, (Assumptions!$B$8)*MIN(J84,K84) + (Assumptions!$B$9)*MAX(0,K84-J84), 12*(Assumptions!$B$7)))</f>
        <v/>
      </c>
    </row>
    <row r="85" spans="4:12" x14ac:dyDescent="0.25">
      <c r="D85" s="209" t="str">
        <f ca="1">IFERROR(IF(IF(DATE((D84+1),1,1)&gt;'Part D Pension Calculator'!$B$6,0,D84+1)=0,"",IF(DATE((D84+1),1,1)&gt;'Part D Pension Calculator'!$B$6,0,D84+1)),"")</f>
        <v/>
      </c>
      <c r="E85" s="6" t="str">
        <f ca="1" xml:space="preserve"> IF(D85="","", $B$5*((1+Assumptions!$B$16)^(D85-2019)))</f>
        <v/>
      </c>
      <c r="F85" s="6" t="str">
        <f ca="1">IF(D85="","",F84*(1+Assumptions!$B$15))</f>
        <v/>
      </c>
      <c r="G85" s="19" t="str">
        <f ca="1">IF(D85="","",  IF($B$2=600, (Assumptions!$B$8)*MIN(F85,E85) + (Assumptions!$B$9)*MAX(0,F85-E85), 12*(Assumptions!$B$7)))</f>
        <v/>
      </c>
      <c r="I85" s="209" t="str">
        <f ca="1">IFERROR(IF(IF(I84+1&gt;=YEAR('Part D Pension Calculator'!$B$1),0, I84+1) = 0, "", IF(I84+1&gt;=YEAR(('Part D Pension Calculator'!$B$1)),0, I84+1)),"")</f>
        <v/>
      </c>
      <c r="J85" s="6" t="str">
        <f ca="1">IF(I85="","",IF(I85&lt;2019, IF(I85="","",VLOOKUP(I85,$N$2:$O$44,2,FALSE)), $B$5*((1+Assumptions!$B$16)^(I85-2019))))</f>
        <v/>
      </c>
      <c r="K85" s="221" t="str">
        <f ca="1">IF(I85="","",IF(I85&lt;2014,($B$4)*(1+Assumptions!$B$14)^(I85-2014),IF(I85=2014,$B$4,($B$4)*(1+Assumptions!$B$15)^(I85-2014))))</f>
        <v/>
      </c>
      <c r="L85" s="6" t="str">
        <f ca="1">IF(I85="","",  IF($B$2=600, (Assumptions!$B$8)*MIN(J85,K85) + (Assumptions!$B$9)*MAX(0,K85-J85), 12*(Assumptions!$B$7)))</f>
        <v/>
      </c>
    </row>
    <row r="86" spans="4:12" x14ac:dyDescent="0.25">
      <c r="D86" s="209" t="str">
        <f ca="1">IFERROR(IF(IF(DATE((D85+1),1,1)&gt;'Part D Pension Calculator'!$B$6,0,D85+1)=0,"",IF(DATE((D85+1),1,1)&gt;'Part D Pension Calculator'!$B$6,0,D85+1)),"")</f>
        <v/>
      </c>
      <c r="E86" s="6" t="str">
        <f ca="1" xml:space="preserve"> IF(D86="","", $B$5*((1+Assumptions!$B$16)^(D86-2019)))</f>
        <v/>
      </c>
      <c r="F86" s="6" t="str">
        <f ca="1">IF(D86="","",F85*(1+Assumptions!$B$15))</f>
        <v/>
      </c>
      <c r="G86" s="19" t="str">
        <f ca="1">IF(D86="","",  IF($B$2=600, (Assumptions!$B$8)*MIN(F86,E86) + (Assumptions!$B$9)*MAX(0,F86-E86), 12*(Assumptions!$B$7)))</f>
        <v/>
      </c>
      <c r="I86" s="209" t="str">
        <f ca="1">IFERROR(IF(IF(I85+1&gt;=YEAR('Part D Pension Calculator'!$B$1),0, I85+1) = 0, "", IF(I85+1&gt;=YEAR(('Part D Pension Calculator'!$B$1)),0, I85+1)),"")</f>
        <v/>
      </c>
      <c r="J86" s="6" t="str">
        <f ca="1">IF(I86="","",IF(I86&lt;2019, IF(I86="","",VLOOKUP(I86,$N$2:$O$44,2,FALSE)), $B$5*((1+Assumptions!$B$16)^(I86-2019))))</f>
        <v/>
      </c>
      <c r="K86" s="221" t="str">
        <f ca="1">IF(I86="","",IF(I86&lt;2014,($B$4)*(1+Assumptions!$B$14)^(I86-2014),IF(I86=2014,$B$4,($B$4)*(1+Assumptions!$B$15)^(I86-2014))))</f>
        <v/>
      </c>
      <c r="L86" s="6" t="str">
        <f ca="1">IF(I86="","",  IF($B$2=600, (Assumptions!$B$8)*MIN(J86,K86) + (Assumptions!$B$9)*MAX(0,K86-J86), 12*(Assumptions!$B$7)))</f>
        <v/>
      </c>
    </row>
    <row r="87" spans="4:12" x14ac:dyDescent="0.25">
      <c r="D87" s="209" t="str">
        <f ca="1">IFERROR(IF(IF(DATE((D86+1),1,1)&gt;'Part D Pension Calculator'!$B$6,0,D86+1)=0,"",IF(DATE((D86+1),1,1)&gt;'Part D Pension Calculator'!$B$6,0,D86+1)),"")</f>
        <v/>
      </c>
      <c r="E87" s="6" t="str">
        <f ca="1" xml:space="preserve"> IF(D87="","", $B$5*((1+Assumptions!$B$16)^(D87-2019)))</f>
        <v/>
      </c>
      <c r="F87" s="6" t="str">
        <f ca="1">IF(D87="","",F86*(1+Assumptions!$B$15))</f>
        <v/>
      </c>
      <c r="G87" s="19" t="str">
        <f ca="1">IF(D87="","",  IF($B$2=600, (Assumptions!$B$8)*MIN(F87,E87) + (Assumptions!$B$9)*MAX(0,F87-E87), 12*(Assumptions!$B$7)))</f>
        <v/>
      </c>
      <c r="I87" s="209" t="str">
        <f ca="1">IFERROR(IF(IF(I86+1&gt;=YEAR('Part D Pension Calculator'!$B$1),0, I86+1) = 0, "", IF(I86+1&gt;=YEAR(('Part D Pension Calculator'!$B$1)),0, I86+1)),"")</f>
        <v/>
      </c>
      <c r="J87" s="6" t="str">
        <f ca="1">IF(I87="","",IF(I87&lt;2019, IF(I87="","",VLOOKUP(I87,$N$2:$O$44,2,FALSE)), $B$5*((1+Assumptions!$B$16)^(I87-2019))))</f>
        <v/>
      </c>
      <c r="K87" s="221" t="str">
        <f ca="1">IF(I87="","",IF(I87&lt;2014,($B$4)*(1+Assumptions!$B$14)^(I87-2014),IF(I87=2014,$B$4,($B$4)*(1+Assumptions!$B$15)^(I87-2014))))</f>
        <v/>
      </c>
      <c r="L87" s="6" t="str">
        <f ca="1">IF(I87="","",  IF($B$2=600, (Assumptions!$B$8)*MIN(J87,K87) + (Assumptions!$B$9)*MAX(0,K87-J87), 12*(Assumptions!$B$7)))</f>
        <v/>
      </c>
    </row>
    <row r="88" spans="4:12" x14ac:dyDescent="0.25">
      <c r="D88" s="209" t="str">
        <f ca="1">IFERROR(IF(IF(DATE((D87+1),1,1)&gt;'Part D Pension Calculator'!$B$6,0,D87+1)=0,"",IF(DATE((D87+1),1,1)&gt;'Part D Pension Calculator'!$B$6,0,D87+1)),"")</f>
        <v/>
      </c>
      <c r="E88" s="6" t="str">
        <f ca="1" xml:space="preserve"> IF(D88="","", $B$5*((1+Assumptions!$B$16)^(D88-2019)))</f>
        <v/>
      </c>
      <c r="F88" s="6" t="str">
        <f ca="1">IF(D88="","",F87*(1+Assumptions!$B$15))</f>
        <v/>
      </c>
      <c r="G88" s="19" t="str">
        <f ca="1">IF(D88="","",  IF($B$2=600, (Assumptions!$B$8)*MIN(F88,E88) + (Assumptions!$B$9)*MAX(0,F88-E88), 12*(Assumptions!$B$7)))</f>
        <v/>
      </c>
      <c r="I88" s="209" t="str">
        <f ca="1">IFERROR(IF(IF(I87+1&gt;=YEAR('Part D Pension Calculator'!$B$1),0, I87+1) = 0, "", IF(I87+1&gt;=YEAR(('Part D Pension Calculator'!$B$1)),0, I87+1)),"")</f>
        <v/>
      </c>
      <c r="J88" s="6" t="str">
        <f ca="1">IF(I88="","",IF(I88&lt;2019, IF(I88="","",VLOOKUP(I88,$N$2:$O$44,2,FALSE)), $B$5*((1+Assumptions!$B$16)^(I88-2019))))</f>
        <v/>
      </c>
      <c r="K88" s="221" t="str">
        <f ca="1">IF(I88="","",IF(I88&lt;2014,($B$4)*(1+Assumptions!$B$14)^(I88-2014),IF(I88=2014,$B$4,($B$4)*(1+Assumptions!$B$15)^(I88-2014))))</f>
        <v/>
      </c>
      <c r="L88" s="6" t="str">
        <f ca="1">IF(I88="","",  IF($B$2=600, (Assumptions!$B$8)*MIN(J88,K88) + (Assumptions!$B$9)*MAX(0,K88-J88), 12*(Assumptions!$B$7)))</f>
        <v/>
      </c>
    </row>
    <row r="89" spans="4:12" x14ac:dyDescent="0.25">
      <c r="D89" s="209" t="str">
        <f ca="1">IFERROR(IF(IF(DATE((D88+1),1,1)&gt;'Part D Pension Calculator'!$B$6,0,D88+1)=0,"",IF(DATE((D88+1),1,1)&gt;'Part D Pension Calculator'!$B$6,0,D88+1)),"")</f>
        <v/>
      </c>
      <c r="E89" s="6" t="str">
        <f ca="1" xml:space="preserve"> IF(D89="","", $B$5*((1+Assumptions!$B$16)^(D89-2019)))</f>
        <v/>
      </c>
      <c r="F89" s="6" t="str">
        <f ca="1">IF(D89="","",F88*(1+Assumptions!$B$15))</f>
        <v/>
      </c>
      <c r="G89" s="19" t="str">
        <f ca="1">IF(D89="","",  IF($B$2=600, (Assumptions!$B$8)*MIN(F89,E89) + (Assumptions!$B$9)*MAX(0,F89-E89), 12*(Assumptions!$B$7)))</f>
        <v/>
      </c>
      <c r="I89" s="209" t="str">
        <f ca="1">IFERROR(IF(IF(I88+1&gt;=YEAR('Part D Pension Calculator'!$B$1),0, I88+1) = 0, "", IF(I88+1&gt;=YEAR(('Part D Pension Calculator'!$B$1)),0, I88+1)),"")</f>
        <v/>
      </c>
      <c r="J89" s="6" t="str">
        <f ca="1">IF(I89="","",IF(I89&lt;2019, IF(I89="","",VLOOKUP(I89,$N$2:$O$44,2,FALSE)), $B$5*((1+Assumptions!$B$16)^(I89-2019))))</f>
        <v/>
      </c>
      <c r="K89" s="221" t="str">
        <f ca="1">IF(I89="","",IF(I89&lt;2014,($B$4)*(1+Assumptions!$B$14)^(I89-2014),IF(I89=2014,$B$4,($B$4)*(1+Assumptions!$B$15)^(I89-2014))))</f>
        <v/>
      </c>
      <c r="L89" s="6" t="str">
        <f ca="1">IF(I89="","",  IF($B$2=600, (Assumptions!$B$8)*MIN(J89,K89) + (Assumptions!$B$9)*MAX(0,K89-J89), 12*(Assumptions!$B$7)))</f>
        <v/>
      </c>
    </row>
    <row r="90" spans="4:12" x14ac:dyDescent="0.25">
      <c r="D90" s="209" t="str">
        <f ca="1">IFERROR(IF(IF(DATE((D89+1),1,1)&gt;'Part D Pension Calculator'!$B$6,0,D89+1)=0,"",IF(DATE((D89+1),1,1)&gt;'Part D Pension Calculator'!$B$6,0,D89+1)),"")</f>
        <v/>
      </c>
      <c r="E90" s="6" t="str">
        <f ca="1" xml:space="preserve"> IF(D90="","", $B$5*((1+Assumptions!$B$16)^(D90-2019)))</f>
        <v/>
      </c>
      <c r="F90" s="6" t="str">
        <f ca="1">IF(D90="","",F89*(1+Assumptions!$B$15))</f>
        <v/>
      </c>
      <c r="G90" s="19" t="str">
        <f ca="1">IF(D90="","",  IF($B$2=600, (Assumptions!$B$8)*MIN(F90,E90) + (Assumptions!$B$9)*MAX(0,F90-E90), 12*(Assumptions!$B$7)))</f>
        <v/>
      </c>
      <c r="I90" s="209" t="str">
        <f ca="1">IFERROR(IF(IF(I89+1&gt;=YEAR('Part D Pension Calculator'!$B$1),0, I89+1) = 0, "", IF(I89+1&gt;=YEAR(('Part D Pension Calculator'!$B$1)),0, I89+1)),"")</f>
        <v/>
      </c>
      <c r="J90" s="6" t="str">
        <f ca="1">IF(I90="","",IF(I90&lt;2019, IF(I90="","",VLOOKUP(I90,$N$2:$O$44,2,FALSE)), $B$5*((1+Assumptions!$B$16)^(I90-2019))))</f>
        <v/>
      </c>
      <c r="K90" s="221" t="str">
        <f ca="1">IF(I90="","",IF(I90&lt;2014,($B$4)*(1+Assumptions!$B$14)^(I90-2014),IF(I90=2014,$B$4,($B$4)*(1+Assumptions!$B$15)^(I90-2014))))</f>
        <v/>
      </c>
      <c r="L90" s="6" t="str">
        <f ca="1">IF(I90="","",  IF($B$2=600, (Assumptions!$B$8)*MIN(J90,K90) + (Assumptions!$B$9)*MAX(0,K90-J90), 12*(Assumptions!$B$7)))</f>
        <v/>
      </c>
    </row>
    <row r="91" spans="4:12" x14ac:dyDescent="0.25">
      <c r="D91" s="209" t="str">
        <f ca="1">IFERROR(IF(IF(DATE((D90+1),1,1)&gt;'Part D Pension Calculator'!$B$6,0,D90+1)=0,"",IF(DATE((D90+1),1,1)&gt;'Part D Pension Calculator'!$B$6,0,D90+1)),"")</f>
        <v/>
      </c>
      <c r="E91" s="6" t="str">
        <f ca="1" xml:space="preserve"> IF(D91="","", $B$5*((1+Assumptions!$B$16)^(D91-2019)))</f>
        <v/>
      </c>
      <c r="F91" s="6" t="str">
        <f ca="1">IF(D91="","",F90*(1+Assumptions!$B$15))</f>
        <v/>
      </c>
      <c r="G91" s="19" t="str">
        <f ca="1">IF(D91="","",  IF($B$2=600, (Assumptions!$B$8)*MIN(F91,E91) + (Assumptions!$B$9)*MAX(0,F91-E91), 12*(Assumptions!$B$7)))</f>
        <v/>
      </c>
      <c r="I91" s="209" t="str">
        <f ca="1">IFERROR(IF(IF(I90+1&gt;=YEAR('Part D Pension Calculator'!$B$1),0, I90+1) = 0, "", IF(I90+1&gt;=YEAR(('Part D Pension Calculator'!$B$1)),0, I90+1)),"")</f>
        <v/>
      </c>
      <c r="J91" s="6" t="str">
        <f ca="1">IF(I91="","",IF(I91&lt;2019, IF(I91="","",VLOOKUP(I91,$N$2:$O$44,2,FALSE)), $B$5*((1+Assumptions!$B$16)^(I91-2019))))</f>
        <v/>
      </c>
      <c r="K91" s="221" t="str">
        <f ca="1">IF(I91="","",IF(I91&lt;2014,($B$4)*(1+Assumptions!$B$14)^(I91-2014),IF(I91=2014,$B$4,($B$4)*(1+Assumptions!$B$15)^(I91-2014))))</f>
        <v/>
      </c>
      <c r="L91" s="6" t="str">
        <f ca="1">IF(I91="","",  IF($B$2=600, (Assumptions!$B$8)*MIN(J91,K91) + (Assumptions!$B$9)*MAX(0,K91-J91), 12*(Assumptions!$B$7)))</f>
        <v/>
      </c>
    </row>
    <row r="92" spans="4:12" x14ac:dyDescent="0.25">
      <c r="D92" s="209" t="str">
        <f ca="1">IFERROR(IF(IF(DATE((D91+1),1,1)&gt;'Part D Pension Calculator'!$B$6,0,D91+1)=0,"",IF(DATE((D91+1),1,1)&gt;'Part D Pension Calculator'!$B$6,0,D91+1)),"")</f>
        <v/>
      </c>
      <c r="E92" s="6" t="str">
        <f ca="1" xml:space="preserve"> IF(D92="","", $B$5*((1+Assumptions!$B$16)^(D92-2019)))</f>
        <v/>
      </c>
      <c r="F92" s="6" t="str">
        <f ca="1">IF(D92="","",F91*(1+Assumptions!$B$15))</f>
        <v/>
      </c>
      <c r="G92" s="19" t="str">
        <f ca="1">IF(D92="","",  IF($B$2=600, (Assumptions!$B$8)*MIN(F92,E92) + (Assumptions!$B$9)*MAX(0,F92-E92), 12*(Assumptions!$B$7)))</f>
        <v/>
      </c>
      <c r="I92" s="209" t="str">
        <f ca="1">IFERROR(IF(IF(I91+1&gt;=YEAR('Part D Pension Calculator'!$B$1),0, I91+1) = 0, "", IF(I91+1&gt;=YEAR(('Part D Pension Calculator'!$B$1)),0, I91+1)),"")</f>
        <v/>
      </c>
      <c r="J92" s="6" t="str">
        <f ca="1">IF(I92="","",IF(I92&lt;2019, IF(I92="","",VLOOKUP(I92,$N$2:$O$44,2,FALSE)), $B$5*((1+Assumptions!$B$16)^(I92-2019))))</f>
        <v/>
      </c>
      <c r="K92" s="221" t="str">
        <f ca="1">IF(I92="","",IF(I92&lt;2014,($B$4)*(1+Assumptions!$B$14)^(I92-2014),IF(I92=2014,$B$4,($B$4)*(1+Assumptions!$B$15)^(I92-2014))))</f>
        <v/>
      </c>
      <c r="L92" s="6" t="str">
        <f ca="1">IF(I92="","",  IF($B$2=600, (Assumptions!$B$8)*MIN(J92,K92) + (Assumptions!$B$9)*MAX(0,K92-J92), 12*(Assumptions!$B$7)))</f>
        <v/>
      </c>
    </row>
    <row r="93" spans="4:12" x14ac:dyDescent="0.25">
      <c r="D93" s="209" t="str">
        <f ca="1">IFERROR(IF(IF(DATE((D92+1),1,1)&gt;'Part D Pension Calculator'!$B$6,0,D92+1)=0,"",IF(DATE((D92+1),1,1)&gt;'Part D Pension Calculator'!$B$6,0,D92+1)),"")</f>
        <v/>
      </c>
      <c r="E93" s="6" t="str">
        <f ca="1" xml:space="preserve"> IF(D93="","", $B$5*((1+Assumptions!$B$16)^(D93-2019)))</f>
        <v/>
      </c>
      <c r="F93" s="6" t="str">
        <f ca="1">IF(D93="","",F92*(1+Assumptions!$B$15))</f>
        <v/>
      </c>
      <c r="G93" s="19" t="str">
        <f ca="1">IF(D93="","",  IF($B$2=600, (Assumptions!$B$8)*MIN(F93,E93) + (Assumptions!$B$9)*MAX(0,F93-E93), 12*(Assumptions!$B$7)))</f>
        <v/>
      </c>
      <c r="I93" s="209" t="str">
        <f ca="1">IFERROR(IF(IF(I92+1&gt;=YEAR('Part D Pension Calculator'!$B$1),0, I92+1) = 0, "", IF(I92+1&gt;=YEAR(('Part D Pension Calculator'!$B$1)),0, I92+1)),"")</f>
        <v/>
      </c>
      <c r="J93" s="6" t="str">
        <f ca="1">IF(I93="","",IF(I93&lt;2019, IF(I93="","",VLOOKUP(I93,$N$2:$O$44,2,FALSE)), $B$5*((1+Assumptions!$B$16)^(I93-2019))))</f>
        <v/>
      </c>
      <c r="K93" s="221" t="str">
        <f ca="1">IF(I93="","",IF(I93&lt;2014,($B$4)*(1+Assumptions!$B$14)^(I93-2014),IF(I93=2014,$B$4,($B$4)*(1+Assumptions!$B$15)^(I93-2014))))</f>
        <v/>
      </c>
      <c r="L93" s="6" t="str">
        <f ca="1">IF(I93="","",  IF($B$2=600, (Assumptions!$B$8)*MIN(J93,K93) + (Assumptions!$B$9)*MAX(0,K93-J93), 12*(Assumptions!$B$7)))</f>
        <v/>
      </c>
    </row>
    <row r="94" spans="4:12" x14ac:dyDescent="0.25">
      <c r="D94" s="209" t="str">
        <f ca="1">IFERROR(IF(IF(DATE((D93+1),1,1)&gt;'Part D Pension Calculator'!$B$6,0,D93+1)=0,"",IF(DATE((D93+1),1,1)&gt;'Part D Pension Calculator'!$B$6,0,D93+1)),"")</f>
        <v/>
      </c>
      <c r="E94" s="6" t="str">
        <f ca="1" xml:space="preserve"> IF(D94="","", $B$5*((1+Assumptions!$B$16)^(D94-2019)))</f>
        <v/>
      </c>
      <c r="F94" s="6" t="str">
        <f ca="1">IF(D94="","",F93*(1+Assumptions!$B$15))</f>
        <v/>
      </c>
      <c r="G94" s="19" t="str">
        <f ca="1">IF(D94="","",  IF($B$2=600, (Assumptions!$B$8)*MIN(F94,E94) + (Assumptions!$B$9)*MAX(0,F94-E94), 12*(Assumptions!$B$7)))</f>
        <v/>
      </c>
      <c r="I94" s="209" t="str">
        <f ca="1">IFERROR(IF(IF(I93+1&gt;=YEAR('Part D Pension Calculator'!$B$1),0, I93+1) = 0, "", IF(I93+1&gt;=YEAR(('Part D Pension Calculator'!$B$1)),0, I93+1)),"")</f>
        <v/>
      </c>
      <c r="J94" s="6" t="str">
        <f ca="1">IF(I94="","",IF(I94&lt;2019, IF(I94="","",VLOOKUP(I94,$N$2:$O$44,2,FALSE)), $B$5*((1+Assumptions!$B$16)^(I94-2019))))</f>
        <v/>
      </c>
      <c r="K94" s="221" t="str">
        <f ca="1">IF(I94="","",IF(I94&lt;2014,($B$4)*(1+Assumptions!$B$14)^(I94-2014),IF(I94=2014,$B$4,($B$4)*(1+Assumptions!$B$15)^(I94-2014))))</f>
        <v/>
      </c>
      <c r="L94" s="6" t="str">
        <f ca="1">IF(I94="","",  IF($B$2=600, (Assumptions!$B$8)*MIN(J94,K94) + (Assumptions!$B$9)*MAX(0,K94-J94), 12*(Assumptions!$B$7)))</f>
        <v/>
      </c>
    </row>
    <row r="95" spans="4:12" x14ac:dyDescent="0.25">
      <c r="D95" s="209" t="str">
        <f ca="1">IFERROR(IF(IF(DATE((D94+1),1,1)&gt;'Part D Pension Calculator'!$B$6,0,D94+1)=0,"",IF(DATE((D94+1),1,1)&gt;'Part D Pension Calculator'!$B$6,0,D94+1)),"")</f>
        <v/>
      </c>
      <c r="E95" s="6" t="str">
        <f ca="1" xml:space="preserve"> IF(D95="","", $B$5*((1+Assumptions!$B$16)^(D95-2019)))</f>
        <v/>
      </c>
      <c r="F95" s="6" t="str">
        <f ca="1">IF(D95="","",F94*(1+Assumptions!$B$15))</f>
        <v/>
      </c>
      <c r="G95" s="19" t="str">
        <f ca="1">IF(D95="","",  IF($B$2=600, (Assumptions!$B$8)*MIN(F95,E95) + (Assumptions!$B$9)*MAX(0,F95-E95), 12*(Assumptions!$B$7)))</f>
        <v/>
      </c>
      <c r="I95" s="209" t="str">
        <f ca="1">IFERROR(IF(IF(I94+1&gt;=YEAR('Part D Pension Calculator'!$B$1),0, I94+1) = 0, "", IF(I94+1&gt;=YEAR(('Part D Pension Calculator'!$B$1)),0, I94+1)),"")</f>
        <v/>
      </c>
      <c r="J95" s="6" t="str">
        <f ca="1">IF(I95="","",IF(I95&lt;2019, IF(I95="","",VLOOKUP(I95,$N$2:$O$44,2,FALSE)), $B$5*((1+Assumptions!$B$16)^(I95-2019))))</f>
        <v/>
      </c>
      <c r="K95" s="221" t="str">
        <f ca="1">IF(I95="","",IF(I95&lt;2014,($B$4)*(1+Assumptions!$B$14)^(I95-2014),IF(I95=2014,$B$4,($B$4)*(1+Assumptions!$B$15)^(I95-2014))))</f>
        <v/>
      </c>
      <c r="L95" s="6" t="str">
        <f ca="1">IF(I95="","",  IF($B$2=600, (Assumptions!$B$8)*MIN(J95,K95) + (Assumptions!$B$9)*MAX(0,K95-J95), 12*(Assumptions!$B$7)))</f>
        <v/>
      </c>
    </row>
    <row r="96" spans="4:12" x14ac:dyDescent="0.25">
      <c r="D96" s="209" t="str">
        <f ca="1">IFERROR(IF(IF(DATE((D95+1),1,1)&gt;'Part D Pension Calculator'!$B$6,0,D95+1)=0,"",IF(DATE((D95+1),1,1)&gt;'Part D Pension Calculator'!$B$6,0,D95+1)),"")</f>
        <v/>
      </c>
      <c r="E96" s="6" t="str">
        <f ca="1" xml:space="preserve"> IF(D96="","", $B$5*((1+Assumptions!$B$16)^(D96-2019)))</f>
        <v/>
      </c>
      <c r="F96" s="6" t="str">
        <f ca="1">IF(D96="","",F95*(1+Assumptions!$B$15))</f>
        <v/>
      </c>
      <c r="G96" s="19" t="str">
        <f ca="1">IF(D96="","",  IF($B$2=600, (Assumptions!$B$8)*MIN(F96,E96) + (Assumptions!$B$9)*MAX(0,F96-E96), 12*(Assumptions!$B$7)))</f>
        <v/>
      </c>
      <c r="I96" s="209" t="str">
        <f ca="1">IFERROR(IF(IF(I95+1&gt;=YEAR('Part D Pension Calculator'!$B$1),0, I95+1) = 0, "", IF(I95+1&gt;=YEAR(('Part D Pension Calculator'!$B$1)),0, I95+1)),"")</f>
        <v/>
      </c>
      <c r="J96" s="6" t="str">
        <f ca="1">IF(I96="","",IF(I96&lt;2019, IF(I96="","",VLOOKUP(I96,$N$2:$O$44,2,FALSE)), $B$5*((1+Assumptions!$B$16)^(I96-2019))))</f>
        <v/>
      </c>
      <c r="K96" s="221" t="str">
        <f ca="1">IF(I96="","",IF(I96&lt;2014,($B$4)*(1+Assumptions!$B$14)^(I96-2014),IF(I96=2014,$B$4,($B$4)*(1+Assumptions!$B$15)^(I96-2014))))</f>
        <v/>
      </c>
      <c r="L96" s="6" t="str">
        <f ca="1">IF(I96="","",  IF($B$2=600, (Assumptions!$B$8)*MIN(J96,K96) + (Assumptions!$B$9)*MAX(0,K96-J96), 12*(Assumptions!$B$7)))</f>
        <v/>
      </c>
    </row>
    <row r="97" spans="4:12" x14ac:dyDescent="0.25">
      <c r="D97" s="209" t="str">
        <f ca="1">IFERROR(IF(IF(DATE((D96+1),1,1)&gt;'Part D Pension Calculator'!$B$6,0,D96+1)=0,"",IF(DATE((D96+1),1,1)&gt;'Part D Pension Calculator'!$B$6,0,D96+1)),"")</f>
        <v/>
      </c>
      <c r="E97" s="6" t="str">
        <f ca="1" xml:space="preserve"> IF(D97="","", $B$5*((1+Assumptions!$B$16)^(D97-2019)))</f>
        <v/>
      </c>
      <c r="F97" s="6" t="str">
        <f ca="1">IF(D97="","",F96*(1+Assumptions!$B$15))</f>
        <v/>
      </c>
      <c r="G97" s="19" t="str">
        <f ca="1">IF(D97="","",  IF($B$2=600, (Assumptions!$B$8)*MIN(F97,E97) + (Assumptions!$B$9)*MAX(0,F97-E97), 12*(Assumptions!$B$7)))</f>
        <v/>
      </c>
      <c r="I97" s="209" t="str">
        <f ca="1">IFERROR(IF(IF(I96+1&gt;=YEAR('Part D Pension Calculator'!$B$1),0, I96+1) = 0, "", IF(I96+1&gt;=YEAR(('Part D Pension Calculator'!$B$1)),0, I96+1)),"")</f>
        <v/>
      </c>
      <c r="J97" s="6" t="str">
        <f ca="1">IF(I97="","",IF(I97&lt;2019, IF(I97="","",VLOOKUP(I97,$N$2:$O$44,2,FALSE)), $B$5*((1+Assumptions!$B$16)^(I97-2019))))</f>
        <v/>
      </c>
      <c r="K97" s="221" t="str">
        <f ca="1">IF(I97="","",IF(I97&lt;2014,($B$4)*(1+Assumptions!$B$14)^(I97-2014),IF(I97=2014,$B$4,($B$4)*(1+Assumptions!$B$15)^(I97-2014))))</f>
        <v/>
      </c>
      <c r="L97" s="6" t="str">
        <f ca="1">IF(I97="","",  IF($B$2=600, (Assumptions!$B$8)*MIN(J97,K97) + (Assumptions!$B$9)*MAX(0,K97-J97), 12*(Assumptions!$B$7)))</f>
        <v/>
      </c>
    </row>
    <row r="98" spans="4:12" x14ac:dyDescent="0.25">
      <c r="D98" s="209" t="str">
        <f ca="1">IFERROR(IF(IF(DATE((D97+1),1,1)&gt;'Part D Pension Calculator'!$B$6,0,D97+1)=0,"",IF(DATE((D97+1),1,1)&gt;'Part D Pension Calculator'!$B$6,0,D97+1)),"")</f>
        <v/>
      </c>
      <c r="E98" s="6" t="str">
        <f ca="1" xml:space="preserve"> IF(D98="","", $B$5*((1+Assumptions!$B$16)^(D98-2019)))</f>
        <v/>
      </c>
      <c r="F98" s="6" t="str">
        <f ca="1">IF(D98="","",F97*(1+Assumptions!$B$15))</f>
        <v/>
      </c>
      <c r="G98" s="19" t="str">
        <f ca="1">IF(D98="","",  IF($B$2=600, (Assumptions!$B$8)*MIN(F98,E98) + (Assumptions!$B$9)*MAX(0,F98-E98), 12*(Assumptions!$B$7)))</f>
        <v/>
      </c>
      <c r="I98" s="209" t="str">
        <f ca="1">IFERROR(IF(IF(I97+1&gt;=YEAR('Part D Pension Calculator'!$B$1),0, I97+1) = 0, "", IF(I97+1&gt;=YEAR(('Part D Pension Calculator'!$B$1)),0, I97+1)),"")</f>
        <v/>
      </c>
      <c r="J98" s="6" t="str">
        <f ca="1">IF(I98="","",IF(I98&lt;2019, IF(I98="","",VLOOKUP(I98,$N$2:$O$44,2,FALSE)), $B$5*((1+Assumptions!$B$16)^(I98-2019))))</f>
        <v/>
      </c>
      <c r="K98" s="221" t="str">
        <f ca="1">IF(I98="","",IF(I98&lt;2014,($B$4)*(1+Assumptions!$B$14)^(I98-2014),IF(I98=2014,$B$4,($B$4)*(1+Assumptions!$B$15)^(I98-2014))))</f>
        <v/>
      </c>
      <c r="L98" s="6" t="str">
        <f ca="1">IF(I98="","",  IF($B$2=600, (Assumptions!$B$8)*MIN(J98,K98) + (Assumptions!$B$9)*MAX(0,K98-J98), 12*(Assumptions!$B$7)))</f>
        <v/>
      </c>
    </row>
    <row r="99" spans="4:12" x14ac:dyDescent="0.25">
      <c r="D99" s="209" t="str">
        <f ca="1">IFERROR(IF(IF(DATE((D98+1),1,1)&gt;'Part D Pension Calculator'!$B$6,0,D98+1)=0,"",IF(DATE((D98+1),1,1)&gt;'Part D Pension Calculator'!$B$6,0,D98+1)),"")</f>
        <v/>
      </c>
      <c r="E99" s="6" t="str">
        <f ca="1" xml:space="preserve"> IF(D99="","", $B$5*((1+Assumptions!$B$16)^(D99-2019)))</f>
        <v/>
      </c>
      <c r="F99" s="6" t="str">
        <f ca="1">IF(D99="","",F98*(1+Assumptions!$B$15))</f>
        <v/>
      </c>
      <c r="G99" s="19" t="str">
        <f ca="1">IF(D99="","",  IF($B$2=600, (Assumptions!$B$8)*MIN(F99,E99) + (Assumptions!$B$9)*MAX(0,F99-E99), 12*(Assumptions!$B$7)))</f>
        <v/>
      </c>
      <c r="I99" s="209" t="str">
        <f ca="1">IFERROR(IF(IF(I98+1&gt;=YEAR('Part D Pension Calculator'!$B$1),0, I98+1) = 0, "", IF(I98+1&gt;=YEAR(('Part D Pension Calculator'!$B$1)),0, I98+1)),"")</f>
        <v/>
      </c>
      <c r="J99" s="6" t="str">
        <f ca="1">IF(I99="","",IF(I99&lt;2019, IF(I99="","",VLOOKUP(I99,$N$2:$O$44,2,FALSE)), $B$5*((1+Assumptions!$B$16)^(I99-2019))))</f>
        <v/>
      </c>
      <c r="K99" s="221" t="str">
        <f ca="1">IF(I99="","",IF(I99&lt;2014,($B$4)*(1+Assumptions!$B$14)^(I99-2014),IF(I99=2014,$B$4,($B$4)*(1+Assumptions!$B$15)^(I99-2014))))</f>
        <v/>
      </c>
      <c r="L99" s="6" t="str">
        <f ca="1">IF(I99="","",  IF($B$2=600, (Assumptions!$B$8)*MIN(J99,K99) + (Assumptions!$B$9)*MAX(0,K99-J99), 12*(Assumptions!$B$7)))</f>
        <v/>
      </c>
    </row>
    <row r="100" spans="4:12" x14ac:dyDescent="0.25">
      <c r="D100" s="209" t="str">
        <f ca="1">IFERROR(IF(IF(DATE((D99+1),1,1)&gt;'Part D Pension Calculator'!$B$6,0,D99+1)=0,"",IF(DATE((D99+1),1,1)&gt;'Part D Pension Calculator'!$B$6,0,D99+1)),"")</f>
        <v/>
      </c>
      <c r="E100" s="6" t="str">
        <f ca="1" xml:space="preserve"> IF(D100="","", $B$5*((1+Assumptions!$B$16)^(D100-2019)))</f>
        <v/>
      </c>
      <c r="F100" s="6" t="str">
        <f ca="1">IF(D100="","",F99*(1+Assumptions!$B$15))</f>
        <v/>
      </c>
      <c r="G100" s="19" t="str">
        <f ca="1">IF(D100="","",  IF($B$2=600, (Assumptions!$B$8)*MIN(F100,E100) + (Assumptions!$B$9)*MAX(0,F100-E100), 12*(Assumptions!$B$7)))</f>
        <v/>
      </c>
      <c r="I100" s="209" t="str">
        <f ca="1">IFERROR(IF(IF(I99+1&gt;=YEAR('Part D Pension Calculator'!$B$1),0, I99+1) = 0, "", IF(I99+1&gt;=YEAR(('Part D Pension Calculator'!$B$1)),0, I99+1)),"")</f>
        <v/>
      </c>
      <c r="J100" s="6" t="str">
        <f ca="1">IF(I100="","",IF(I100&lt;2019, IF(I100="","",VLOOKUP(I100,$N$2:$O$44,2,FALSE)), $B$5*((1+Assumptions!$B$16)^(I100-2019))))</f>
        <v/>
      </c>
      <c r="K100" s="221" t="str">
        <f ca="1">IF(I100="","",IF(I100&lt;2014,($B$4)*(1+Assumptions!$B$14)^(I100-2014),IF(I100=2014,$B$4,($B$4)*(1+Assumptions!$B$15)^(I100-2014))))</f>
        <v/>
      </c>
      <c r="L100" s="6" t="str">
        <f ca="1">IF(I100="","",  IF($B$2=600, (Assumptions!$B$8)*MIN(J100,K100) + (Assumptions!$B$9)*MAX(0,K100-J100), 12*(Assumptions!$B$7)))</f>
        <v/>
      </c>
    </row>
    <row r="101" spans="4:12" x14ac:dyDescent="0.25">
      <c r="D101" s="209" t="str">
        <f ca="1">IFERROR(IF(IF(DATE((D100+1),1,1)&gt;'Part D Pension Calculator'!$B$6,0,D100+1)=0,"",IF(DATE((D100+1),1,1)&gt;'Part D Pension Calculator'!$B$6,0,D100+1)),"")</f>
        <v/>
      </c>
      <c r="E101" s="6" t="str">
        <f ca="1" xml:space="preserve"> IF(D101="","", $B$5*((1+Assumptions!$B$16)^(D101-2019)))</f>
        <v/>
      </c>
      <c r="F101" s="6" t="str">
        <f ca="1">IF(D101="","",F100*(1+Assumptions!$B$15))</f>
        <v/>
      </c>
      <c r="G101" s="19" t="str">
        <f ca="1">IF(D101="","",  IF($B$2=600, (Assumptions!$B$8)*MIN(F101,E101) + (Assumptions!$B$9)*MAX(0,F101-E101), 12*(Assumptions!$B$7)))</f>
        <v/>
      </c>
      <c r="I101" s="209" t="str">
        <f ca="1">IFERROR(IF(IF(I100+1&gt;=YEAR('Part D Pension Calculator'!$B$1),0, I100+1) = 0, "", IF(I100+1&gt;=YEAR(('Part D Pension Calculator'!$B$1)),0, I100+1)),"")</f>
        <v/>
      </c>
      <c r="J101" s="6" t="str">
        <f ca="1">IF(I101="","",IF(I101&lt;2019, IF(I101="","",VLOOKUP(I101,$N$2:$O$44,2,FALSE)), $B$5*((1+Assumptions!$B$16)^(I101-2019))))</f>
        <v/>
      </c>
      <c r="K101" s="221" t="str">
        <f ca="1">IF(I101="","",IF(I101&lt;2014,($B$4)*(1+Assumptions!$B$14)^(I101-2014),IF(I101=2014,$B$4,($B$4)*(1+Assumptions!$B$15)^(I101-2014))))</f>
        <v/>
      </c>
      <c r="L101" s="6" t="str">
        <f ca="1">IF(I101="","",  IF($B$2=600, (Assumptions!$B$8)*MIN(J101,K101) + (Assumptions!$B$9)*MAX(0,K101-J101), 12*(Assumptions!$B$7)))</f>
        <v/>
      </c>
    </row>
    <row r="102" spans="4:12" x14ac:dyDescent="0.25">
      <c r="D102" s="209" t="str">
        <f ca="1">IFERROR(IF(IF(DATE((D101+1),1,1)&gt;'Part D Pension Calculator'!$B$6,0,D101+1)=0,"",IF(DATE((D101+1),1,1)&gt;'Part D Pension Calculator'!$B$6,0,D101+1)),"")</f>
        <v/>
      </c>
      <c r="E102" s="6" t="str">
        <f ca="1" xml:space="preserve"> IF(D102="","", $B$5*((1+Assumptions!$B$16)^(D102-2019)))</f>
        <v/>
      </c>
      <c r="F102" s="6" t="str">
        <f ca="1">IF(D102="","",F101*(1+Assumptions!$B$15))</f>
        <v/>
      </c>
      <c r="G102" s="19" t="str">
        <f ca="1">IF(D102="","",  IF($B$2=600, (Assumptions!$B$8)*MIN(F102,E102) + (Assumptions!$B$9)*MAX(0,F102-E102), 12*(Assumptions!$B$7)))</f>
        <v/>
      </c>
      <c r="I102" s="209" t="str">
        <f ca="1">IFERROR(IF(IF(I101+1&gt;=YEAR('Part D Pension Calculator'!$B$1),0, I101+1) = 0, "", IF(I101+1&gt;=YEAR(('Part D Pension Calculator'!$B$1)),0, I101+1)),"")</f>
        <v/>
      </c>
      <c r="J102" s="6" t="str">
        <f ca="1">IF(I102="","",IF(I102&lt;2019, IF(I102="","",VLOOKUP(I102,$N$2:$O$44,2,FALSE)), $B$5*((1+Assumptions!$B$16)^(I102-2019))))</f>
        <v/>
      </c>
      <c r="K102" s="221" t="str">
        <f ca="1">IF(I102="","",IF(I102&lt;2014,($B$4)*(1+Assumptions!$B$14)^(I102-2014),IF(I102=2014,$B$4,($B$4)*(1+Assumptions!$B$15)^(I102-2014))))</f>
        <v/>
      </c>
      <c r="L102" s="6" t="str">
        <f ca="1">IF(I102="","",  IF($B$2=600, (Assumptions!$B$8)*MIN(J102,K102) + (Assumptions!$B$9)*MAX(0,K102-J102), 12*(Assumptions!$B$7)))</f>
        <v/>
      </c>
    </row>
    <row r="103" spans="4:12" x14ac:dyDescent="0.25">
      <c r="D103" s="209" t="str">
        <f ca="1">IFERROR(IF(IF(DATE((D102+1),1,1)&gt;'Part D Pension Calculator'!$B$6,0,D102+1)=0,"",IF(DATE((D102+1),1,1)&gt;'Part D Pension Calculator'!$B$6,0,D102+1)),"")</f>
        <v/>
      </c>
      <c r="E103" s="6" t="str">
        <f ca="1" xml:space="preserve"> IF(D103="","", $B$5*((1+Assumptions!$B$16)^(D103-2019)))</f>
        <v/>
      </c>
      <c r="F103" s="6" t="str">
        <f ca="1">IF(D103="","",F102*(1+Assumptions!$B$15))</f>
        <v/>
      </c>
      <c r="G103" s="19" t="str">
        <f ca="1">IF(D103="","",  IF($B$2=600, (Assumptions!$B$8)*MIN(F103,E103) + (Assumptions!$B$9)*MAX(0,F103-E103), 12*(Assumptions!$B$7)))</f>
        <v/>
      </c>
      <c r="I103" s="209" t="str">
        <f ca="1">IFERROR(IF(IF(I102+1&gt;=YEAR('Part D Pension Calculator'!$B$1),0, I102+1) = 0, "", IF(I102+1&gt;=YEAR(('Part D Pension Calculator'!$B$1)),0, I102+1)),"")</f>
        <v/>
      </c>
      <c r="J103" s="6" t="str">
        <f ca="1">IF(I103="","",IF(I103&lt;2019, IF(I103="","",VLOOKUP(I103,$N$2:$O$44,2,FALSE)), $B$5*((1+Assumptions!$B$16)^(I103-2019))))</f>
        <v/>
      </c>
      <c r="K103" s="221" t="str">
        <f ca="1">IF(I103="","",IF(I103&lt;2014,($B$4)*(1+Assumptions!$B$14)^(I103-2014),IF(I103=2014,$B$4,($B$4)*(1+Assumptions!$B$15)^(I103-2014))))</f>
        <v/>
      </c>
      <c r="L103" s="6" t="str">
        <f ca="1">IF(I103="","",  IF($B$2=600, (Assumptions!$B$8)*MIN(J103,K103) + (Assumptions!$B$9)*MAX(0,K103-J103), 12*(Assumptions!$B$7)))</f>
        <v/>
      </c>
    </row>
    <row r="104" spans="4:12" x14ac:dyDescent="0.25">
      <c r="D104" s="209" t="str">
        <f ca="1">IFERROR(IF(IF(DATE((D103+1),1,1)&gt;'Part D Pension Calculator'!$B$6,0,D103+1)=0,"",IF(DATE((D103+1),1,1)&gt;'Part D Pension Calculator'!$B$6,0,D103+1)),"")</f>
        <v/>
      </c>
      <c r="E104" s="6" t="str">
        <f ca="1" xml:space="preserve"> IF(D104="","", $B$5*((1+Assumptions!$B$16)^(D104-2019)))</f>
        <v/>
      </c>
      <c r="F104" s="6" t="str">
        <f ca="1">IF(D104="","",F103*(1+Assumptions!$B$15))</f>
        <v/>
      </c>
      <c r="G104" s="19" t="str">
        <f ca="1">IF(D104="","",  IF($B$2=600, (Assumptions!$B$8)*MIN(F104,E104) + (Assumptions!$B$9)*MAX(0,F104-E104), 12*(Assumptions!$B$7)))</f>
        <v/>
      </c>
      <c r="I104" s="209" t="str">
        <f ca="1">IFERROR(IF(IF(I103+1&gt;=YEAR('Part D Pension Calculator'!$B$1),0, I103+1) = 0, "", IF(I103+1&gt;=YEAR(('Part D Pension Calculator'!$B$1)),0, I103+1)),"")</f>
        <v/>
      </c>
      <c r="J104" s="6" t="str">
        <f ca="1">IF(I104="","",IF(I104&lt;2019, IF(I104="","",VLOOKUP(I104,$N$2:$O$44,2,FALSE)), $B$5*((1+Assumptions!$B$16)^(I104-2019))))</f>
        <v/>
      </c>
      <c r="K104" s="221" t="str">
        <f ca="1">IF(I104="","",IF(I104&lt;2014,($B$4)*(1+Assumptions!$B$14)^(I104-2014),IF(I104=2014,$B$4,($B$4)*(1+Assumptions!$B$15)^(I104-2014))))</f>
        <v/>
      </c>
      <c r="L104" s="6" t="str">
        <f ca="1">IF(I104="","",  IF($B$2=600, (Assumptions!$B$8)*MIN(J104,K104) + (Assumptions!$B$9)*MAX(0,K104-J104), 12*(Assumptions!$B$7)))</f>
        <v/>
      </c>
    </row>
    <row r="105" spans="4:12" x14ac:dyDescent="0.25">
      <c r="D105" s="209" t="str">
        <f ca="1">IFERROR(IF(IF(DATE((D104+1),1,1)&gt;'Part D Pension Calculator'!$B$6,0,D104+1)=0,"",IF(DATE((D104+1),1,1)&gt;'Part D Pension Calculator'!$B$6,0,D104+1)),"")</f>
        <v/>
      </c>
      <c r="E105" s="6" t="str">
        <f ca="1" xml:space="preserve"> IF(D105="","", $B$5*((1+Assumptions!$B$16)^(D105-2019)))</f>
        <v/>
      </c>
      <c r="F105" s="6" t="str">
        <f ca="1">IF(D105="","",F104*(1+Assumptions!$B$15))</f>
        <v/>
      </c>
      <c r="G105" s="19" t="str">
        <f ca="1">IF(D105="","",  IF($B$2=600, (Assumptions!$B$8)*MIN(F105,E105) + (Assumptions!$B$9)*MAX(0,F105-E105), 12*(Assumptions!$B$7)))</f>
        <v/>
      </c>
      <c r="I105" s="209" t="str">
        <f ca="1">IFERROR(IF(IF(I104+1&gt;=YEAR('Part D Pension Calculator'!$B$1),0, I104+1) = 0, "", IF(I104+1&gt;=YEAR(('Part D Pension Calculator'!$B$1)),0, I104+1)),"")</f>
        <v/>
      </c>
      <c r="J105" s="6" t="str">
        <f ca="1">IF(I105="","",IF(I105&lt;2019, IF(I105="","",VLOOKUP(I105,$N$2:$O$44,2,FALSE)), $B$5*((1+Assumptions!$B$16)^(I105-2019))))</f>
        <v/>
      </c>
      <c r="K105" s="221" t="str">
        <f ca="1">IF(I105="","",IF(I105&lt;2014,($B$4)*(1+Assumptions!$B$14)^(I105-2014),IF(I105=2014,$B$4,($B$4)*(1+Assumptions!$B$15)^(I105-2014))))</f>
        <v/>
      </c>
      <c r="L105" s="6" t="str">
        <f ca="1">IF(I105="","",  IF($B$2=600, (Assumptions!$B$8)*MIN(J105,K105) + (Assumptions!$B$9)*MAX(0,K105-J105), 12*(Assumptions!$B$7)))</f>
        <v/>
      </c>
    </row>
    <row r="106" spans="4:12" x14ac:dyDescent="0.25">
      <c r="D106" s="209" t="str">
        <f ca="1">IFERROR(IF(IF(DATE((D105+1),1,1)&gt;'Part D Pension Calculator'!$B$6,0,D105+1)=0,"",IF(DATE((D105+1),1,1)&gt;'Part D Pension Calculator'!$B$6,0,D105+1)),"")</f>
        <v/>
      </c>
      <c r="E106" s="6" t="str">
        <f ca="1" xml:space="preserve"> IF(D106="","", $B$5*((1+Assumptions!$B$16)^(D106-2019)))</f>
        <v/>
      </c>
      <c r="F106" s="6" t="str">
        <f ca="1">IF(D106="","",F105*(1+Assumptions!$B$15))</f>
        <v/>
      </c>
      <c r="G106" s="19" t="str">
        <f ca="1">IF(D106="","",  IF($B$2=600, (Assumptions!$B$8)*MIN(F106,E106) + (Assumptions!$B$9)*MAX(0,F106-E106), 12*(Assumptions!$B$7)))</f>
        <v/>
      </c>
      <c r="I106" s="209" t="str">
        <f ca="1">IFERROR(IF(IF(I105+1&gt;=YEAR('Part D Pension Calculator'!$B$1),0, I105+1) = 0, "", IF(I105+1&gt;=YEAR(('Part D Pension Calculator'!$B$1)),0, I105+1)),"")</f>
        <v/>
      </c>
      <c r="J106" s="6" t="str">
        <f ca="1">IF(I106="","",IF(I106&lt;2019, IF(I106="","",VLOOKUP(I106,$N$2:$O$44,2,FALSE)), $B$5*((1+Assumptions!$B$16)^(I106-2019))))</f>
        <v/>
      </c>
      <c r="K106" s="221" t="str">
        <f ca="1">IF(I106="","",IF(I106&lt;2014,($B$4)*(1+Assumptions!$B$14)^(I106-2014),IF(I106=2014,$B$4,($B$4)*(1+Assumptions!$B$15)^(I106-2014))))</f>
        <v/>
      </c>
      <c r="L106" s="6" t="str">
        <f ca="1">IF(I106="","",  IF($B$2=600, (Assumptions!$B$8)*MIN(J106,K106) + (Assumptions!$B$9)*MAX(0,K106-J106), 12*(Assumptions!$B$7)))</f>
        <v/>
      </c>
    </row>
    <row r="107" spans="4:12" x14ac:dyDescent="0.25">
      <c r="D107" s="209" t="str">
        <f ca="1">IFERROR(IF(IF(DATE((D106+1),1,1)&gt;'Part D Pension Calculator'!$B$6,0,D106+1)=0,"",IF(DATE((D106+1),1,1)&gt;'Part D Pension Calculator'!$B$6,0,D106+1)),"")</f>
        <v/>
      </c>
      <c r="E107" s="6" t="str">
        <f ca="1" xml:space="preserve"> IF(D107="","", $B$5*((1+Assumptions!$B$16)^(D107-2019)))</f>
        <v/>
      </c>
      <c r="F107" s="6" t="str">
        <f ca="1">IF(D107="","",F106*(1+Assumptions!$B$15))</f>
        <v/>
      </c>
      <c r="G107" s="19" t="str">
        <f ca="1">IF(D107="","",  IF($B$2=600, (Assumptions!$B$8)*MIN(F107,E107) + (Assumptions!$B$9)*MAX(0,F107-E107), 12*(Assumptions!$B$7)))</f>
        <v/>
      </c>
      <c r="I107" s="209" t="str">
        <f ca="1">IFERROR(IF(IF(I106+1&gt;=YEAR('Part D Pension Calculator'!$B$1),0, I106+1) = 0, "", IF(I106+1&gt;=YEAR(('Part D Pension Calculator'!$B$1)),0, I106+1)),"")</f>
        <v/>
      </c>
      <c r="J107" s="6" t="str">
        <f ca="1">IF(I107="","",IF(I107&lt;2019, IF(I107="","",VLOOKUP(I107,$N$2:$O$44,2,FALSE)), $B$5*((1+Assumptions!$B$16)^(I107-2019))))</f>
        <v/>
      </c>
      <c r="K107" s="221" t="str">
        <f ca="1">IF(I107="","",IF(I107&lt;2014,($B$4)*(1+Assumptions!$B$14)^(I107-2014),IF(I107=2014,$B$4,($B$4)*(1+Assumptions!$B$15)^(I107-2014))))</f>
        <v/>
      </c>
      <c r="L107" s="6" t="str">
        <f ca="1">IF(I107="","",  IF($B$2=600, (Assumptions!$B$8)*MIN(J107,K107) + (Assumptions!$B$9)*MAX(0,K107-J107), 12*(Assumptions!$B$7)))</f>
        <v/>
      </c>
    </row>
    <row r="108" spans="4:12" x14ac:dyDescent="0.25">
      <c r="D108" s="209" t="str">
        <f ca="1">IFERROR(IF(IF(DATE((D107+1),1,1)&gt;'Part D Pension Calculator'!$B$6,0,D107+1)=0,"",IF(DATE((D107+1),1,1)&gt;'Part D Pension Calculator'!$B$6,0,D107+1)),"")</f>
        <v/>
      </c>
      <c r="E108" s="6" t="str">
        <f ca="1" xml:space="preserve"> IF(D108="","", $B$5*((1+Assumptions!$B$16)^(D108-2019)))</f>
        <v/>
      </c>
      <c r="F108" s="6" t="str">
        <f ca="1">IF(D108="","",F107*(1+Assumptions!$B$15))</f>
        <v/>
      </c>
      <c r="G108" s="19" t="str">
        <f ca="1">IF(D108="","",  IF($B$2=600, (Assumptions!$B$8)*MIN(F108,E108) + (Assumptions!$B$9)*MAX(0,F108-E108), 12*(Assumptions!$B$7)))</f>
        <v/>
      </c>
      <c r="I108" s="209" t="str">
        <f ca="1">IFERROR(IF(IF(I107+1&gt;=YEAR('Part D Pension Calculator'!$B$1),0, I107+1) = 0, "", IF(I107+1&gt;=YEAR(('Part D Pension Calculator'!$B$1)),0, I107+1)),"")</f>
        <v/>
      </c>
      <c r="J108" s="6" t="str">
        <f ca="1">IF(I108="","",IF(I108&lt;2019, IF(I108="","",VLOOKUP(I108,$N$2:$O$44,2,FALSE)), $B$5*((1+Assumptions!$B$16)^(I108-2019))))</f>
        <v/>
      </c>
      <c r="K108" s="221" t="str">
        <f ca="1">IF(I108="","",IF(I108&lt;2014,($B$4)*(1+Assumptions!$B$14)^(I108-2014),IF(I108=2014,$B$4,($B$4)*(1+Assumptions!$B$15)^(I108-2014))))</f>
        <v/>
      </c>
      <c r="L108" s="6" t="str">
        <f ca="1">IF(I108="","",  IF($B$2=600, (Assumptions!$B$8)*MIN(J108,K108) + (Assumptions!$B$9)*MAX(0,K108-J108), 12*(Assumptions!$B$7)))</f>
        <v/>
      </c>
    </row>
    <row r="109" spans="4:12" x14ac:dyDescent="0.25">
      <c r="D109" s="209" t="str">
        <f ca="1">IFERROR(IF(IF(DATE((D108+1),1,1)&gt;'Part D Pension Calculator'!$B$6,0,D108+1)=0,"",IF(DATE((D108+1),1,1)&gt;'Part D Pension Calculator'!$B$6,0,D108+1)),"")</f>
        <v/>
      </c>
      <c r="E109" s="6" t="str">
        <f ca="1" xml:space="preserve"> IF(D109="","", $B$5*((1+Assumptions!$B$16)^(D109-2019)))</f>
        <v/>
      </c>
      <c r="F109" s="6" t="str">
        <f ca="1">IF(D109="","",F108*(1+Assumptions!$B$15))</f>
        <v/>
      </c>
      <c r="G109" s="19" t="str">
        <f ca="1">IF(D109="","",  IF($B$2=600, (Assumptions!$B$8)*MIN(F109,E109) + (Assumptions!$B$9)*MAX(0,F109-E109), 12*(Assumptions!$B$7)))</f>
        <v/>
      </c>
      <c r="I109" s="209" t="str">
        <f ca="1">IFERROR(IF(IF(I108+1&gt;=YEAR('Part D Pension Calculator'!$B$1),0, I108+1) = 0, "", IF(I108+1&gt;=YEAR(('Part D Pension Calculator'!$B$1)),0, I108+1)),"")</f>
        <v/>
      </c>
      <c r="J109" s="6" t="str">
        <f ca="1">IF(I109="","",IF(I109&lt;2019, IF(I109="","",VLOOKUP(I109,$N$2:$O$44,2,FALSE)), $B$5*((1+Assumptions!$B$16)^(I109-2019))))</f>
        <v/>
      </c>
      <c r="K109" s="221" t="str">
        <f ca="1">IF(I109="","",IF(I109&lt;2014,($B$4)*(1+Assumptions!$B$14)^(I109-2014),IF(I109=2014,$B$4,($B$4)*(1+Assumptions!$B$15)^(I109-2014))))</f>
        <v/>
      </c>
      <c r="L109" s="6" t="str">
        <f ca="1">IF(I109="","",  IF($B$2=600, (Assumptions!$B$8)*MIN(J109,K109) + (Assumptions!$B$9)*MAX(0,K109-J109), 12*(Assumptions!$B$7)))</f>
        <v/>
      </c>
    </row>
    <row r="110" spans="4:12" x14ac:dyDescent="0.25">
      <c r="D110" s="209" t="str">
        <f ca="1">IFERROR(IF(IF(DATE((D109+1),1,1)&gt;'Part D Pension Calculator'!$B$6,0,D109+1)=0,"",IF(DATE((D109+1),1,1)&gt;'Part D Pension Calculator'!$B$6,0,D109+1)),"")</f>
        <v/>
      </c>
      <c r="E110" s="6" t="str">
        <f ca="1" xml:space="preserve"> IF(D110="","", $B$5*((1+Assumptions!$B$16)^(D110-2019)))</f>
        <v/>
      </c>
      <c r="F110" s="6" t="str">
        <f ca="1">IF(D110="","",F109*(1+Assumptions!$B$15))</f>
        <v/>
      </c>
      <c r="G110" s="19" t="str">
        <f ca="1">IF(D110="","",  IF($B$2=600, (Assumptions!$B$8)*MIN(F110,E110) + (Assumptions!$B$9)*MAX(0,F110-E110), 12*(Assumptions!$B$7)))</f>
        <v/>
      </c>
      <c r="I110" s="209" t="str">
        <f ca="1">IFERROR(IF(IF(I109+1&gt;=YEAR('Part D Pension Calculator'!$B$1),0, I109+1) = 0, "", IF(I109+1&gt;=YEAR(('Part D Pension Calculator'!$B$1)),0, I109+1)),"")</f>
        <v/>
      </c>
      <c r="J110" s="6" t="str">
        <f ca="1">IF(I110="","",IF(I110&lt;2019, IF(I110="","",VLOOKUP(I110,$N$2:$O$44,2,FALSE)), $B$5*((1+Assumptions!$B$16)^(I110-2019))))</f>
        <v/>
      </c>
      <c r="K110" s="221" t="str">
        <f ca="1">IF(I110="","",IF(I110&lt;2014,($B$4)*(1+Assumptions!$B$14)^(I110-2014),IF(I110=2014,$B$4,($B$4)*(1+Assumptions!$B$15)^(I110-2014))))</f>
        <v/>
      </c>
      <c r="L110" s="6" t="str">
        <f ca="1">IF(I110="","",  IF($B$2=600, (Assumptions!$B$8)*MIN(J110,K110) + (Assumptions!$B$9)*MAX(0,K110-J110), 12*(Assumptions!$B$7)))</f>
        <v/>
      </c>
    </row>
    <row r="111" spans="4:12" x14ac:dyDescent="0.25">
      <c r="D111" s="209" t="str">
        <f ca="1">IFERROR(IF(IF(DATE((D110+1),1,1)&gt;'Part D Pension Calculator'!$B$6,0,D110+1)=0,"",IF(DATE((D110+1),1,1)&gt;'Part D Pension Calculator'!$B$6,0,D110+1)),"")</f>
        <v/>
      </c>
      <c r="E111" s="6" t="str">
        <f ca="1" xml:space="preserve"> IF(D111="","", $B$5*((1+Assumptions!$B$16)^(D111-2019)))</f>
        <v/>
      </c>
      <c r="F111" s="6" t="str">
        <f ca="1">IF(D111="","",F110*(1+Assumptions!$B$15))</f>
        <v/>
      </c>
      <c r="G111" s="19" t="str">
        <f ca="1">IF(D111="","",  IF($B$2=600, (Assumptions!$B$8)*MIN(F111,E111) + (Assumptions!$B$9)*MAX(0,F111-E111), 12*(Assumptions!$B$7)))</f>
        <v/>
      </c>
      <c r="I111" s="209" t="str">
        <f ca="1">IFERROR(IF(IF(I110+1&gt;=YEAR('Part D Pension Calculator'!$B$1),0, I110+1) = 0, "", IF(I110+1&gt;=YEAR(('Part D Pension Calculator'!$B$1)),0, I110+1)),"")</f>
        <v/>
      </c>
      <c r="J111" s="6" t="str">
        <f ca="1">IF(I111="","",IF(I111&lt;2019, IF(I111="","",VLOOKUP(I111,$N$2:$O$44,2,FALSE)), $B$5*((1+Assumptions!$B$16)^(I111-2019))))</f>
        <v/>
      </c>
      <c r="K111" s="221" t="str">
        <f ca="1">IF(I111="","",IF(I111&lt;2014,($B$4)*(1+Assumptions!$B$14)^(I111-2014),IF(I111=2014,$B$4,($B$4)*(1+Assumptions!$B$15)^(I111-2014))))</f>
        <v/>
      </c>
      <c r="L111" s="6" t="str">
        <f ca="1">IF(I111="","",  IF($B$2=600, (Assumptions!$B$8)*MIN(J111,K111) + (Assumptions!$B$9)*MAX(0,K111-J111), 12*(Assumptions!$B$7)))</f>
        <v/>
      </c>
    </row>
    <row r="112" spans="4:12" x14ac:dyDescent="0.25">
      <c r="D112" s="209" t="str">
        <f ca="1">IFERROR(IF(IF(DATE((D111+1),1,1)&gt;'Part D Pension Calculator'!$B$6,0,D111+1)=0,"",IF(DATE((D111+1),1,1)&gt;'Part D Pension Calculator'!$B$6,0,D111+1)),"")</f>
        <v/>
      </c>
      <c r="E112" s="6" t="str">
        <f ca="1" xml:space="preserve"> IF(D112="","", $B$5*((1+Assumptions!$B$16)^(D112-2019)))</f>
        <v/>
      </c>
      <c r="F112" s="6" t="str">
        <f ca="1">IF(D112="","",F111*(1+Assumptions!$B$15))</f>
        <v/>
      </c>
      <c r="G112" s="19" t="str">
        <f ca="1">IF(D112="","",  IF($B$2=600, (Assumptions!$B$8)*MIN(F112,E112) + (Assumptions!$B$9)*MAX(0,F112-E112), 12*(Assumptions!$B$7)))</f>
        <v/>
      </c>
      <c r="I112" s="209" t="str">
        <f ca="1">IFERROR(IF(IF(I111+1&gt;=YEAR('Part D Pension Calculator'!$B$1),0, I111+1) = 0, "", IF(I111+1&gt;=YEAR(('Part D Pension Calculator'!$B$1)),0, I111+1)),"")</f>
        <v/>
      </c>
      <c r="J112" s="6" t="str">
        <f ca="1">IF(I112="","",IF(I112&lt;2019, IF(I112="","",VLOOKUP(I112,$N$2:$O$44,2,FALSE)), $B$5*((1+Assumptions!$B$16)^(I112-2019))))</f>
        <v/>
      </c>
      <c r="K112" s="221" t="str">
        <f ca="1">IF(I112="","",IF(I112&lt;2014,($B$4)*(1+Assumptions!$B$14)^(I112-2014),IF(I112=2014,$B$4,($B$4)*(1+Assumptions!$B$15)^(I112-2014))))</f>
        <v/>
      </c>
      <c r="L112" s="6" t="str">
        <f ca="1">IF(I112="","",  IF($B$2=600, (Assumptions!$B$8)*MIN(J112,K112) + (Assumptions!$B$9)*MAX(0,K112-J112), 12*(Assumptions!$B$7)))</f>
        <v/>
      </c>
    </row>
    <row r="113" spans="4:12" x14ac:dyDescent="0.25">
      <c r="D113" s="209" t="str">
        <f ca="1">IFERROR(IF(IF(DATE((D112+1),1,1)&gt;'Part D Pension Calculator'!$B$6,0,D112+1)=0,"",IF(DATE((D112+1),1,1)&gt;'Part D Pension Calculator'!$B$6,0,D112+1)),"")</f>
        <v/>
      </c>
      <c r="E113" s="6" t="str">
        <f ca="1" xml:space="preserve"> IF(D113="","", $B$5*((1+Assumptions!$B$16)^(D113-2019)))</f>
        <v/>
      </c>
      <c r="F113" s="6" t="str">
        <f ca="1">IF(D113="","",F112*(1+Assumptions!$B$15))</f>
        <v/>
      </c>
      <c r="G113" s="19" t="str">
        <f ca="1">IF(D113="","",  IF($B$2=600, (Assumptions!$B$8)*MIN(F113,E113) + (Assumptions!$B$9)*MAX(0,F113-E113), 12*(Assumptions!$B$7)))</f>
        <v/>
      </c>
      <c r="I113" s="209" t="str">
        <f ca="1">IFERROR(IF(IF(I112+1&gt;=YEAR('Part D Pension Calculator'!$B$1),0, I112+1) = 0, "", IF(I112+1&gt;=YEAR(('Part D Pension Calculator'!$B$1)),0, I112+1)),"")</f>
        <v/>
      </c>
      <c r="J113" s="6" t="str">
        <f ca="1">IF(I113="","",IF(I113&lt;2019, IF(I113="","",VLOOKUP(I113,$N$2:$O$44,2,FALSE)), $B$5*((1+Assumptions!$B$16)^(I113-2019))))</f>
        <v/>
      </c>
      <c r="K113" s="221" t="str">
        <f ca="1">IF(I113="","",IF(I113&lt;2014,($B$4)*(1+Assumptions!$B$14)^(I113-2014),IF(I113=2014,$B$4,($B$4)*(1+Assumptions!$B$15)^(I113-2014))))</f>
        <v/>
      </c>
      <c r="L113" s="6" t="str">
        <f ca="1">IF(I113="","",  IF($B$2=600, (Assumptions!$B$8)*MIN(J113,K113) + (Assumptions!$B$9)*MAX(0,K113-J113), 12*(Assumptions!$B$7)))</f>
        <v/>
      </c>
    </row>
    <row r="114" spans="4:12" x14ac:dyDescent="0.25">
      <c r="D114" s="209" t="str">
        <f ca="1">IFERROR(IF(IF(DATE((D113+1),1,1)&gt;'Part D Pension Calculator'!$B$6,0,D113+1)=0,"",IF(DATE((D113+1),1,1)&gt;'Part D Pension Calculator'!$B$6,0,D113+1)),"")</f>
        <v/>
      </c>
      <c r="E114" s="6" t="str">
        <f ca="1" xml:space="preserve"> IF(D114="","", $B$5*((1+Assumptions!$B$16)^(D114-2019)))</f>
        <v/>
      </c>
      <c r="F114" s="6" t="str">
        <f ca="1">IF(D114="","",F113*(1+Assumptions!$B$15))</f>
        <v/>
      </c>
      <c r="G114" s="19" t="str">
        <f ca="1">IF(D114="","",  IF($B$2=600, (Assumptions!$B$8)*MIN(F114,E114) + (Assumptions!$B$9)*MAX(0,F114-E114), 12*(Assumptions!$B$7)))</f>
        <v/>
      </c>
      <c r="I114" s="209" t="str">
        <f ca="1">IFERROR(IF(IF(I113+1&gt;=YEAR('Part D Pension Calculator'!$B$1),0, I113+1) = 0, "", IF(I113+1&gt;=YEAR(('Part D Pension Calculator'!$B$1)),0, I113+1)),"")</f>
        <v/>
      </c>
      <c r="J114" s="6" t="str">
        <f ca="1">IF(I114="","",IF(I114&lt;2019, IF(I114="","",VLOOKUP(I114,$N$2:$O$44,2,FALSE)), $B$5*((1+Assumptions!$B$16)^(I114-2019))))</f>
        <v/>
      </c>
      <c r="K114" s="221" t="str">
        <f ca="1">IF(I114="","",IF(I114&lt;2014,($B$4)*(1+Assumptions!$B$14)^(I114-2014),IF(I114=2014,$B$4,($B$4)*(1+Assumptions!$B$15)^(I114-2014))))</f>
        <v/>
      </c>
      <c r="L114" s="6" t="str">
        <f ca="1">IF(I114="","",  IF($B$2=600, (Assumptions!$B$8)*MIN(J114,K114) + (Assumptions!$B$9)*MAX(0,K114-J114), 12*(Assumptions!$B$7)))</f>
        <v/>
      </c>
    </row>
    <row r="115" spans="4:12" x14ac:dyDescent="0.25">
      <c r="D115" s="209" t="str">
        <f ca="1">IFERROR(IF(IF(DATE((D114+1),1,1)&gt;'Part D Pension Calculator'!$B$6,0,D114+1)=0,"",IF(DATE((D114+1),1,1)&gt;'Part D Pension Calculator'!$B$6,0,D114+1)),"")</f>
        <v/>
      </c>
      <c r="E115" s="6" t="str">
        <f ca="1" xml:space="preserve"> IF(D115="","", $B$5*((1+Assumptions!$B$16)^(D115-2019)))</f>
        <v/>
      </c>
      <c r="F115" s="6" t="str">
        <f ca="1">IF(D115="","",F114*(1+Assumptions!$B$15))</f>
        <v/>
      </c>
      <c r="G115" s="19" t="str">
        <f ca="1">IF(D115="","",  IF($B$2=600, (Assumptions!$B$8)*MIN(F115,E115) + (Assumptions!$B$9)*MAX(0,F115-E115), 12*(Assumptions!$B$7)))</f>
        <v/>
      </c>
      <c r="I115" s="209" t="str">
        <f ca="1">IFERROR(IF(IF(I114+1&gt;=YEAR('Part D Pension Calculator'!$B$1),0, I114+1) = 0, "", IF(I114+1&gt;=YEAR(('Part D Pension Calculator'!$B$1)),0, I114+1)),"")</f>
        <v/>
      </c>
      <c r="J115" s="6" t="str">
        <f ca="1">IF(I115="","",IF(I115&lt;2019, IF(I115="","",VLOOKUP(I115,$N$2:$O$44,2,FALSE)), $B$5*((1+Assumptions!$B$16)^(I115-2019))))</f>
        <v/>
      </c>
      <c r="K115" s="221" t="str">
        <f ca="1">IF(I115="","",IF(I115&lt;2014,($B$4)*(1+Assumptions!$B$14)^(I115-2014),IF(I115=2014,$B$4,($B$4)*(1+Assumptions!$B$15)^(I115-2014))))</f>
        <v/>
      </c>
      <c r="L115" s="6" t="str">
        <f ca="1">IF(I115="","",  IF($B$2=600, (Assumptions!$B$8)*MIN(J115,K115) + (Assumptions!$B$9)*MAX(0,K115-J115), 12*(Assumptions!$B$7)))</f>
        <v/>
      </c>
    </row>
    <row r="116" spans="4:12" x14ac:dyDescent="0.25">
      <c r="D116" s="209" t="str">
        <f ca="1">IFERROR(IF(IF(DATE((D115+1),1,1)&gt;'Part D Pension Calculator'!$B$6,0,D115+1)=0,"",IF(DATE((D115+1),1,1)&gt;'Part D Pension Calculator'!$B$6,0,D115+1)),"")</f>
        <v/>
      </c>
      <c r="E116" s="6" t="str">
        <f ca="1" xml:space="preserve"> IF(D116="","", $B$5*((1+Assumptions!$B$16)^(D116-2019)))</f>
        <v/>
      </c>
      <c r="F116" s="6" t="str">
        <f ca="1">IF(D116="","",F115*(1+Assumptions!$B$15))</f>
        <v/>
      </c>
      <c r="G116" s="19" t="str">
        <f ca="1">IF(D116="","",  IF($B$2=600, (Assumptions!$B$8)*MIN(F116,E116) + (Assumptions!$B$9)*MAX(0,F116-E116), 12*(Assumptions!$B$7)))</f>
        <v/>
      </c>
      <c r="I116" s="209" t="str">
        <f ca="1">IFERROR(IF(IF(I115+1&gt;=YEAR('Part D Pension Calculator'!$B$1),0, I115+1) = 0, "", IF(I115+1&gt;=YEAR(('Part D Pension Calculator'!$B$1)),0, I115+1)),"")</f>
        <v/>
      </c>
      <c r="J116" s="6" t="str">
        <f ca="1">IF(I116="","",IF(I116&lt;2019, IF(I116="","",VLOOKUP(I116,$N$2:$O$44,2,FALSE)), $B$5*((1+Assumptions!$B$16)^(I116-2019))))</f>
        <v/>
      </c>
      <c r="K116" s="221" t="str">
        <f ca="1">IF(I116="","",IF(I116&lt;2014,($B$4)*(1+Assumptions!$B$14)^(I116-2014),IF(I116=2014,$B$4,($B$4)*(1+Assumptions!$B$15)^(I116-2014))))</f>
        <v/>
      </c>
      <c r="L116" s="6" t="str">
        <f ca="1">IF(I116="","",  IF($B$2=600, (Assumptions!$B$8)*MIN(J116,K116) + (Assumptions!$B$9)*MAX(0,K116-J116), 12*(Assumptions!$B$7)))</f>
        <v/>
      </c>
    </row>
    <row r="117" spans="4:12" x14ac:dyDescent="0.25">
      <c r="D117" s="209" t="str">
        <f ca="1">IFERROR(IF(IF(DATE((D116+1),1,1)&gt;'Part D Pension Calculator'!$B$6,0,D116+1)=0,"",IF(DATE((D116+1),1,1)&gt;'Part D Pension Calculator'!$B$6,0,D116+1)),"")</f>
        <v/>
      </c>
      <c r="E117" s="6" t="str">
        <f ca="1" xml:space="preserve"> IF(D117="","", $B$5*((1+Assumptions!$B$16)^(D117-2019)))</f>
        <v/>
      </c>
      <c r="F117" s="6" t="str">
        <f ca="1">IF(D117="","",F116*(1+Assumptions!$B$15))</f>
        <v/>
      </c>
      <c r="G117" s="19" t="str">
        <f ca="1">IF(D117="","",  IF($B$2=600, (Assumptions!$B$8)*MIN(F117,E117) + (Assumptions!$B$9)*MAX(0,F117-E117), 12*(Assumptions!$B$7)))</f>
        <v/>
      </c>
      <c r="I117" s="209" t="str">
        <f ca="1">IFERROR(IF(IF(I116+1&gt;=YEAR('Part D Pension Calculator'!$B$1),0, I116+1) = 0, "", IF(I116+1&gt;=YEAR(('Part D Pension Calculator'!$B$1)),0, I116+1)),"")</f>
        <v/>
      </c>
      <c r="J117" s="6" t="str">
        <f ca="1">IF(I117="","",IF(I117&lt;2019, IF(I117="","",VLOOKUP(I117,$N$2:$O$44,2,FALSE)), $B$5*((1+Assumptions!$B$16)^(I117-2019))))</f>
        <v/>
      </c>
      <c r="K117" s="221" t="str">
        <f ca="1">IF(I117="","",IF(I117&lt;2014,($B$4)*(1+Assumptions!$B$14)^(I117-2014),IF(I117=2014,$B$4,($B$4)*(1+Assumptions!$B$15)^(I117-2014))))</f>
        <v/>
      </c>
      <c r="L117" s="6" t="str">
        <f ca="1">IF(I117="","",  IF($B$2=600, (Assumptions!$B$8)*MIN(J117,K117) + (Assumptions!$B$9)*MAX(0,K117-J117), 12*(Assumptions!$B$7)))</f>
        <v/>
      </c>
    </row>
    <row r="118" spans="4:12" x14ac:dyDescent="0.25">
      <c r="D118" s="209" t="str">
        <f ca="1">IFERROR(IF(IF(DATE((D117+1),1,1)&gt;'Part D Pension Calculator'!$B$6,0,D117+1)=0,"",IF(DATE((D117+1),1,1)&gt;'Part D Pension Calculator'!$B$6,0,D117+1)),"")</f>
        <v/>
      </c>
      <c r="E118" s="6" t="str">
        <f ca="1" xml:space="preserve"> IF(D118="","", $B$5*((1+Assumptions!$B$16)^(D118-2019)))</f>
        <v/>
      </c>
      <c r="F118" s="6" t="str">
        <f ca="1">IF(D118="","",F117*(1+Assumptions!$B$15))</f>
        <v/>
      </c>
      <c r="G118" s="19" t="str">
        <f ca="1">IF(D118="","",  IF($B$2=600, (Assumptions!$B$8)*MIN(F118,E118) + (Assumptions!$B$9)*MAX(0,F118-E118), 12*(Assumptions!$B$7)))</f>
        <v/>
      </c>
      <c r="I118" s="209" t="str">
        <f ca="1">IFERROR(IF(IF(I117+1&gt;=YEAR('Part D Pension Calculator'!$B$1),0, I117+1) = 0, "", IF(I117+1&gt;=YEAR(('Part D Pension Calculator'!$B$1)),0, I117+1)),"")</f>
        <v/>
      </c>
      <c r="J118" s="6" t="str">
        <f ca="1">IF(I118="","",IF(I118&lt;2019, IF(I118="","",VLOOKUP(I118,$N$2:$O$44,2,FALSE)), $B$5*((1+Assumptions!$B$16)^(I118-2019))))</f>
        <v/>
      </c>
      <c r="K118" s="221" t="str">
        <f ca="1">IF(I118="","",IF(I118&lt;2014,($B$4)*(1+Assumptions!$B$14)^(I118-2014),IF(I118=2014,$B$4,($B$4)*(1+Assumptions!$B$15)^(I118-2014))))</f>
        <v/>
      </c>
      <c r="L118" s="6" t="str">
        <f ca="1">IF(I118="","",  IF($B$2=600, (Assumptions!$B$8)*MIN(J118,K118) + (Assumptions!$B$9)*MAX(0,K118-J118), 12*(Assumptions!$B$7)))</f>
        <v/>
      </c>
    </row>
    <row r="119" spans="4:12" x14ac:dyDescent="0.25">
      <c r="D119" s="209" t="str">
        <f ca="1">IFERROR(IF(IF(DATE((D118+1),1,1)&gt;'Part D Pension Calculator'!$B$6,0,D118+1)=0,"",IF(DATE((D118+1),1,1)&gt;'Part D Pension Calculator'!$B$6,0,D118+1)),"")</f>
        <v/>
      </c>
      <c r="E119" s="6" t="str">
        <f ca="1" xml:space="preserve"> IF(D119="","", $B$5*((1+Assumptions!$B$16)^(D119-2019)))</f>
        <v/>
      </c>
      <c r="F119" s="6" t="str">
        <f ca="1">IF(D119="","",F118*(1+Assumptions!$B$15))</f>
        <v/>
      </c>
      <c r="G119" s="19" t="str">
        <f ca="1">IF(D119="","",  IF($B$2=600, (Assumptions!$B$8)*MIN(F119,E119) + (Assumptions!$B$9)*MAX(0,F119-E119), 12*(Assumptions!$B$7)))</f>
        <v/>
      </c>
      <c r="I119" s="209" t="str">
        <f ca="1">IFERROR(IF(IF(I118+1&gt;=YEAR('Part D Pension Calculator'!$B$1),0, I118+1) = 0, "", IF(I118+1&gt;=YEAR(('Part D Pension Calculator'!$B$1)),0, I118+1)),"")</f>
        <v/>
      </c>
      <c r="J119" s="6" t="str">
        <f ca="1">IF(I119="","",IF(I119&lt;2019, IF(I119="","",VLOOKUP(I119,$N$2:$O$44,2,FALSE)), $B$5*((1+Assumptions!$B$16)^(I119-2019))))</f>
        <v/>
      </c>
      <c r="K119" s="221" t="str">
        <f ca="1">IF(I119="","",IF(I119&lt;2014,($B$4)*(1+Assumptions!$B$14)^(I119-2014),IF(I119=2014,$B$4,($B$4)*(1+Assumptions!$B$15)^(I119-2014))))</f>
        <v/>
      </c>
      <c r="L119" s="6" t="str">
        <f ca="1">IF(I119="","",  IF($B$2=600, (Assumptions!$B$8)*MIN(J119,K119) + (Assumptions!$B$9)*MAX(0,K119-J119), 12*(Assumptions!$B$7)))</f>
        <v/>
      </c>
    </row>
    <row r="120" spans="4:12" x14ac:dyDescent="0.25">
      <c r="D120" s="209" t="str">
        <f ca="1">IFERROR(IF(IF(DATE((D119+1),1,1)&gt;'Part D Pension Calculator'!$B$6,0,D119+1)=0,"",IF(DATE((D119+1),1,1)&gt;'Part D Pension Calculator'!$B$6,0,D119+1)),"")</f>
        <v/>
      </c>
      <c r="E120" s="6" t="str">
        <f ca="1" xml:space="preserve"> IF(D120="","", $B$5*((1+Assumptions!$B$16)^(D120-2019)))</f>
        <v/>
      </c>
      <c r="F120" s="6" t="str">
        <f ca="1">IF(D120="","",F119*(1+Assumptions!$B$15))</f>
        <v/>
      </c>
      <c r="G120" s="19" t="str">
        <f ca="1">IF(D120="","",  IF($B$2=600, (Assumptions!$B$8)*MIN(F120,E120) + (Assumptions!$B$9)*MAX(0,F120-E120), 12*(Assumptions!$B$7)))</f>
        <v/>
      </c>
      <c r="I120" s="209" t="str">
        <f ca="1">IFERROR(IF(IF(I119+1&gt;=YEAR('Part D Pension Calculator'!$B$1),0, I119+1) = 0, "", IF(I119+1&gt;=YEAR(('Part D Pension Calculator'!$B$1)),0, I119+1)),"")</f>
        <v/>
      </c>
      <c r="J120" s="6" t="str">
        <f ca="1">IF(I120="","",IF(I120&lt;2019, IF(I120="","",VLOOKUP(I120,$N$2:$O$44,2,FALSE)), $B$5*((1+Assumptions!$B$16)^(I120-2019))))</f>
        <v/>
      </c>
      <c r="K120" s="221" t="str">
        <f ca="1">IF(I120="","",IF(I120&lt;2014,($B$4)*(1+Assumptions!$B$14)^(I120-2014),IF(I120=2014,$B$4,($B$4)*(1+Assumptions!$B$15)^(I120-2014))))</f>
        <v/>
      </c>
      <c r="L120" s="6" t="str">
        <f ca="1">IF(I120="","",  IF($B$2=600, (Assumptions!$B$8)*MIN(J120,K120) + (Assumptions!$B$9)*MAX(0,K120-J120), 12*(Assumptions!$B$7)))</f>
        <v/>
      </c>
    </row>
    <row r="121" spans="4:12" x14ac:dyDescent="0.25">
      <c r="D121" s="209" t="str">
        <f ca="1">IFERROR(IF(IF(DATE((D120+1),1,1)&gt;'Part D Pension Calculator'!$B$6,0,D120+1)=0,"",IF(DATE((D120+1),1,1)&gt;'Part D Pension Calculator'!$B$6,0,D120+1)),"")</f>
        <v/>
      </c>
      <c r="E121" s="6" t="str">
        <f ca="1" xml:space="preserve"> IF(D121="","", $B$5*((1+Assumptions!$B$16)^(D121-2019)))</f>
        <v/>
      </c>
      <c r="F121" s="6" t="str">
        <f ca="1">IF(D121="","",F120*(1+Assumptions!$B$15))</f>
        <v/>
      </c>
      <c r="G121" s="19" t="str">
        <f ca="1">IF(D121="","",  IF($B$2=600, (Assumptions!$B$8)*MIN(F121,E121) + (Assumptions!$B$9)*MAX(0,F121-E121), 12*(Assumptions!$B$7)))</f>
        <v/>
      </c>
      <c r="I121" s="209" t="str">
        <f ca="1">IFERROR(IF(IF(I120+1&gt;=YEAR('Part D Pension Calculator'!$B$1),0, I120+1) = 0, "", IF(I120+1&gt;=YEAR(('Part D Pension Calculator'!$B$1)),0, I120+1)),"")</f>
        <v/>
      </c>
      <c r="J121" s="6" t="str">
        <f ca="1">IF(I121="","",IF(I121&lt;2019, IF(I121="","",VLOOKUP(I121,$N$2:$O$44,2,FALSE)), $B$5*((1+Assumptions!$B$16)^(I121-2019))))</f>
        <v/>
      </c>
      <c r="K121" s="221" t="str">
        <f ca="1">IF(I121="","",IF(I121&lt;2014,($B$4)*(1+Assumptions!$B$14)^(I121-2014),IF(I121=2014,$B$4,($B$4)*(1+Assumptions!$B$15)^(I121-2014))))</f>
        <v/>
      </c>
      <c r="L121" s="6" t="str">
        <f ca="1">IF(I121="","",  IF($B$2=600, (Assumptions!$B$8)*MIN(J121,K121) + (Assumptions!$B$9)*MAX(0,K121-J121), 12*(Assumptions!$B$7)))</f>
        <v/>
      </c>
    </row>
    <row r="122" spans="4:12" x14ac:dyDescent="0.25">
      <c r="D122" s="209" t="str">
        <f ca="1">IFERROR(IF(IF(DATE((D121+1),1,1)&gt;'Part D Pension Calculator'!$B$6,0,D121+1)=0,"",IF(DATE((D121+1),1,1)&gt;'Part D Pension Calculator'!$B$6,0,D121+1)),"")</f>
        <v/>
      </c>
      <c r="E122" s="6" t="str">
        <f ca="1" xml:space="preserve"> IF(D122="","", $B$5*((1+Assumptions!$B$16)^(D122-2019)))</f>
        <v/>
      </c>
      <c r="F122" s="6" t="str">
        <f ca="1">IF(D122="","",F121*(1+Assumptions!$B$15))</f>
        <v/>
      </c>
      <c r="G122" s="19" t="str">
        <f ca="1">IF(D122="","",  IF($B$2=600, (Assumptions!$B$8)*MIN(F122,E122) + (Assumptions!$B$9)*MAX(0,F122-E122), 12*(Assumptions!$B$7)))</f>
        <v/>
      </c>
      <c r="I122" s="209" t="str">
        <f ca="1">IFERROR(IF(IF(I121+1&gt;=YEAR('Part D Pension Calculator'!$B$1),0, I121+1) = 0, "", IF(I121+1&gt;=YEAR(('Part D Pension Calculator'!$B$1)),0, I121+1)),"")</f>
        <v/>
      </c>
      <c r="J122" s="6" t="str">
        <f ca="1">IF(I122="","",IF(I122&lt;2019, IF(I122="","",VLOOKUP(I122,$N$2:$O$44,2,FALSE)), $B$5*((1+Assumptions!$B$16)^(I122-2019))))</f>
        <v/>
      </c>
      <c r="K122" s="221" t="str">
        <f ca="1">IF(I122="","",IF(I122&lt;2014,($B$4)*(1+Assumptions!$B$14)^(I122-2014),IF(I122=2014,$B$4,($B$4)*(1+Assumptions!$B$15)^(I122-2014))))</f>
        <v/>
      </c>
      <c r="L122" s="6" t="str">
        <f ca="1">IF(I122="","",  IF($B$2=600, (Assumptions!$B$8)*MIN(J122,K122) + (Assumptions!$B$9)*MAX(0,K122-J122), 12*(Assumptions!$B$7)))</f>
        <v/>
      </c>
    </row>
    <row r="123" spans="4:12" x14ac:dyDescent="0.25">
      <c r="D123" s="209" t="str">
        <f ca="1">IFERROR(IF(IF(DATE((D122+1),1,1)&gt;'Part D Pension Calculator'!$B$6,0,D122+1)=0,"",IF(DATE((D122+1),1,1)&gt;'Part D Pension Calculator'!$B$6,0,D122+1)),"")</f>
        <v/>
      </c>
      <c r="E123" s="6" t="str">
        <f ca="1" xml:space="preserve"> IF(D123="","", $B$5*((1+Assumptions!$B$16)^(D123-2019)))</f>
        <v/>
      </c>
      <c r="F123" s="6" t="str">
        <f ca="1">IF(D123="","",F122*(1+Assumptions!$B$15))</f>
        <v/>
      </c>
      <c r="G123" s="19" t="str">
        <f ca="1">IF(D123="","",  IF($B$2=600, (Assumptions!$B$8)*MIN(F123,E123) + (Assumptions!$B$9)*MAX(0,F123-E123), 12*(Assumptions!$B$7)))</f>
        <v/>
      </c>
      <c r="I123" s="209" t="str">
        <f ca="1">IFERROR(IF(IF(I122+1&gt;=YEAR('Part D Pension Calculator'!$B$1),0, I122+1) = 0, "", IF(I122+1&gt;=YEAR(('Part D Pension Calculator'!$B$1)),0, I122+1)),"")</f>
        <v/>
      </c>
      <c r="J123" s="6" t="str">
        <f ca="1">IF(I123="","",IF(I123&lt;2019, IF(I123="","",VLOOKUP(I123,$N$2:$O$44,2,FALSE)), $B$5*((1+Assumptions!$B$16)^(I123-2019))))</f>
        <v/>
      </c>
      <c r="K123" s="221" t="str">
        <f ca="1">IF(I123="","",IF(I123&lt;2014,($B$4)*(1+Assumptions!$B$14)^(I123-2014),IF(I123=2014,$B$4,($B$4)*(1+Assumptions!$B$15)^(I123-2014))))</f>
        <v/>
      </c>
      <c r="L123" s="6" t="str">
        <f ca="1">IF(I123="","",  IF($B$2=600, (Assumptions!$B$8)*MIN(J123,K123) + (Assumptions!$B$9)*MAX(0,K123-J123), 12*(Assumptions!$B$7)))</f>
        <v/>
      </c>
    </row>
    <row r="124" spans="4:12" x14ac:dyDescent="0.25">
      <c r="D124" s="209" t="str">
        <f ca="1">IFERROR(IF(IF(DATE((D123+1),1,1)&gt;'Part D Pension Calculator'!$B$6,0,D123+1)=0,"",IF(DATE((D123+1),1,1)&gt;'Part D Pension Calculator'!$B$6,0,D123+1)),"")</f>
        <v/>
      </c>
      <c r="E124" s="6" t="str">
        <f ca="1" xml:space="preserve"> IF(D124="","", $B$5*((1+Assumptions!$B$16)^(D124-2019)))</f>
        <v/>
      </c>
      <c r="F124" s="6" t="str">
        <f ca="1">IF(D124="","",F123*(1+Assumptions!$B$15))</f>
        <v/>
      </c>
      <c r="G124" s="19" t="str">
        <f ca="1">IF(D124="","",  IF($B$2=600, (Assumptions!$B$8)*MIN(F124,E124) + (Assumptions!$B$9)*MAX(0,F124-E124), 12*(Assumptions!$B$7)))</f>
        <v/>
      </c>
      <c r="I124" s="209" t="str">
        <f ca="1">IFERROR(IF(IF(I123+1&gt;=YEAR('Part D Pension Calculator'!$B$1),0, I123+1) = 0, "", IF(I123+1&gt;=YEAR(('Part D Pension Calculator'!$B$1)),0, I123+1)),"")</f>
        <v/>
      </c>
      <c r="J124" s="6" t="str">
        <f ca="1">IF(I124="","",IF(I124&lt;2019, IF(I124="","",VLOOKUP(I124,$N$2:$O$44,2,FALSE)), $B$5*((1+Assumptions!$B$16)^(I124-2019))))</f>
        <v/>
      </c>
      <c r="K124" s="221" t="str">
        <f ca="1">IF(I124="","",IF(I124&lt;2014,($B$4)*(1+Assumptions!$B$14)^(I124-2014),IF(I124=2014,$B$4,($B$4)*(1+Assumptions!$B$15)^(I124-2014))))</f>
        <v/>
      </c>
      <c r="L124" s="6" t="str">
        <f ca="1">IF(I124="","",  IF($B$2=600, (Assumptions!$B$8)*MIN(J124,K124) + (Assumptions!$B$9)*MAX(0,K124-J124), 12*(Assumptions!$B$7)))</f>
        <v/>
      </c>
    </row>
    <row r="125" spans="4:12" x14ac:dyDescent="0.25">
      <c r="D125" s="209" t="str">
        <f ca="1">IFERROR(IF(IF(DATE((D124+1),1,1)&gt;'Part D Pension Calculator'!$B$6,0,D124+1)=0,"",IF(DATE((D124+1),1,1)&gt;'Part D Pension Calculator'!$B$6,0,D124+1)),"")</f>
        <v/>
      </c>
      <c r="E125" s="6" t="str">
        <f ca="1" xml:space="preserve"> IF(D125="","", $B$5*((1+Assumptions!$B$16)^(D125-2019)))</f>
        <v/>
      </c>
      <c r="F125" s="6" t="str">
        <f ca="1">IF(D125="","",F124*(1+Assumptions!$B$15))</f>
        <v/>
      </c>
      <c r="G125" s="19" t="str">
        <f ca="1">IF(D125="","",  IF($B$2=600, (Assumptions!$B$8)*MIN(F125,E125) + (Assumptions!$B$9)*MAX(0,F125-E125), 12*(Assumptions!$B$7)))</f>
        <v/>
      </c>
      <c r="I125" s="209" t="str">
        <f ca="1">IFERROR(IF(IF(I124+1&gt;=YEAR('Part D Pension Calculator'!$B$1),0, I124+1) = 0, "", IF(I124+1&gt;=YEAR(('Part D Pension Calculator'!$B$1)),0, I124+1)),"")</f>
        <v/>
      </c>
      <c r="J125" s="6" t="str">
        <f ca="1">IF(I125="","",IF(I125&lt;2019, IF(I125="","",VLOOKUP(I125,$N$2:$O$44,2,FALSE)), $B$5*((1+Assumptions!$B$16)^(I125-2019))))</f>
        <v/>
      </c>
      <c r="K125" s="221" t="str">
        <f ca="1">IF(I125="","",IF(I125&lt;2014,($B$4)*(1+Assumptions!$B$14)^(I125-2014),IF(I125=2014,$B$4,($B$4)*(1+Assumptions!$B$15)^(I125-2014))))</f>
        <v/>
      </c>
      <c r="L125" s="6" t="str">
        <f ca="1">IF(I125="","",  IF($B$2=600, (Assumptions!$B$8)*MIN(J125,K125) + (Assumptions!$B$9)*MAX(0,K125-J125), 12*(Assumptions!$B$7)))</f>
        <v/>
      </c>
    </row>
    <row r="126" spans="4:12" x14ac:dyDescent="0.25">
      <c r="D126" s="209" t="str">
        <f ca="1">IFERROR(IF(IF(DATE((D125+1),1,1)&gt;'Part D Pension Calculator'!$B$6,0,D125+1)=0,"",IF(DATE((D125+1),1,1)&gt;'Part D Pension Calculator'!$B$6,0,D125+1)),"")</f>
        <v/>
      </c>
      <c r="E126" s="6" t="str">
        <f ca="1" xml:space="preserve"> IF(D126="","", $B$5*((1+Assumptions!$B$16)^(D126-2019)))</f>
        <v/>
      </c>
      <c r="F126" s="6" t="str">
        <f ca="1">IF(D126="","",F125*(1+Assumptions!$B$15))</f>
        <v/>
      </c>
      <c r="G126" s="19" t="str">
        <f ca="1">IF(D126="","",  IF($B$2=600, (Assumptions!$B$8)*MIN(F126,E126) + (Assumptions!$B$9)*MAX(0,F126-E126), 12*(Assumptions!$B$7)))</f>
        <v/>
      </c>
      <c r="I126" s="209" t="str">
        <f ca="1">IFERROR(IF(IF(I125+1&gt;=YEAR('Part D Pension Calculator'!$B$1),0, I125+1) = 0, "", IF(I125+1&gt;=YEAR(('Part D Pension Calculator'!$B$1)),0, I125+1)),"")</f>
        <v/>
      </c>
      <c r="J126" s="6" t="str">
        <f ca="1">IF(I126="","",IF(I126&lt;2019, IF(I126="","",VLOOKUP(I126,$N$2:$O$44,2,FALSE)), $B$5*((1+Assumptions!$B$16)^(I126-2019))))</f>
        <v/>
      </c>
      <c r="K126" s="221" t="str">
        <f ca="1">IF(I126="","",IF(I126&lt;2014,($B$4)*(1+Assumptions!$B$14)^(I126-2014),IF(I126=2014,$B$4,($B$4)*(1+Assumptions!$B$15)^(I126-2014))))</f>
        <v/>
      </c>
      <c r="L126" s="6" t="str">
        <f ca="1">IF(I126="","",  IF($B$2=600, (Assumptions!$B$8)*MIN(J126,K126) + (Assumptions!$B$9)*MAX(0,K126-J126), 12*(Assumptions!$B$7)))</f>
        <v/>
      </c>
    </row>
    <row r="127" spans="4:12" x14ac:dyDescent="0.25">
      <c r="D127" s="209" t="str">
        <f ca="1">IFERROR(IF(IF(DATE((D126+1),1,1)&gt;'Part D Pension Calculator'!$B$6,0,D126+1)=0,"",IF(DATE((D126+1),1,1)&gt;'Part D Pension Calculator'!$B$6,0,D126+1)),"")</f>
        <v/>
      </c>
      <c r="E127" s="6" t="str">
        <f ca="1" xml:space="preserve"> IF(D127="","", $B$5*((1+Assumptions!$B$16)^(D127-2019)))</f>
        <v/>
      </c>
      <c r="F127" s="6" t="str">
        <f ca="1">IF(D127="","",F126*(1+Assumptions!$B$15))</f>
        <v/>
      </c>
      <c r="G127" s="19" t="str">
        <f ca="1">IF(D127="","",  IF($B$2=600, (Assumptions!$B$8)*MIN(F127,E127) + (Assumptions!$B$9)*MAX(0,F127-E127), 12*(Assumptions!$B$7)))</f>
        <v/>
      </c>
      <c r="I127" s="209" t="str">
        <f ca="1">IFERROR(IF(IF(I126+1&gt;=YEAR('Part D Pension Calculator'!$B$1),0, I126+1) = 0, "", IF(I126+1&gt;=YEAR(('Part D Pension Calculator'!$B$1)),0, I126+1)),"")</f>
        <v/>
      </c>
      <c r="J127" s="6" t="str">
        <f ca="1">IF(I127="","",IF(I127&lt;2019, IF(I127="","",VLOOKUP(I127,$N$2:$O$44,2,FALSE)), $B$5*((1+Assumptions!$B$16)^(I127-2019))))</f>
        <v/>
      </c>
      <c r="K127" s="221" t="str">
        <f ca="1">IF(I127="","",IF(I127&lt;2014,($B$4)*(1+Assumptions!$B$14)^(I127-2014),IF(I127=2014,$B$4,($B$4)*(1+Assumptions!$B$15)^(I127-2014))))</f>
        <v/>
      </c>
      <c r="L127" s="6" t="str">
        <f ca="1">IF(I127="","",  IF($B$2=600, (Assumptions!$B$8)*MIN(J127,K127) + (Assumptions!$B$9)*MAX(0,K127-J127), 12*(Assumptions!$B$7)))</f>
        <v/>
      </c>
    </row>
    <row r="128" spans="4:12" x14ac:dyDescent="0.25">
      <c r="D128" s="209" t="str">
        <f ca="1">IFERROR(IF(IF(DATE((D127+1),1,1)&gt;'Part D Pension Calculator'!$B$6,0,D127+1)=0,"",IF(DATE((D127+1),1,1)&gt;'Part D Pension Calculator'!$B$6,0,D127+1)),"")</f>
        <v/>
      </c>
      <c r="E128" s="6" t="str">
        <f ca="1" xml:space="preserve"> IF(D128="","", $B$5*((1+Assumptions!$B$16)^(D128-2019)))</f>
        <v/>
      </c>
      <c r="F128" s="6" t="str">
        <f ca="1">IF(D128="","",F127*(1+Assumptions!$B$15))</f>
        <v/>
      </c>
      <c r="G128" s="19" t="str">
        <f ca="1">IF(D128="","",  IF($B$2=600, (Assumptions!$B$8)*MIN(F128,E128) + (Assumptions!$B$9)*MAX(0,F128-E128), 12*(Assumptions!$B$7)))</f>
        <v/>
      </c>
      <c r="I128" s="209" t="str">
        <f ca="1">IFERROR(IF(IF(I127+1&gt;=YEAR('Part D Pension Calculator'!$B$1),0, I127+1) = 0, "", IF(I127+1&gt;=YEAR(('Part D Pension Calculator'!$B$1)),0, I127+1)),"")</f>
        <v/>
      </c>
      <c r="J128" s="6" t="str">
        <f ca="1">IF(I128="","",IF(I128&lt;2019, IF(I128="","",VLOOKUP(I128,$N$2:$O$44,2,FALSE)), $B$5*((1+Assumptions!$B$16)^(I128-2019))))</f>
        <v/>
      </c>
      <c r="K128" s="221" t="str">
        <f ca="1">IF(I128="","",IF(I128&lt;2014,($B$4)*(1+Assumptions!$B$14)^(I128-2014),IF(I128=2014,$B$4,($B$4)*(1+Assumptions!$B$15)^(I128-2014))))</f>
        <v/>
      </c>
      <c r="L128" s="6" t="str">
        <f ca="1">IF(I128="","",  IF($B$2=600, (Assumptions!$B$8)*MIN(J128,K128) + (Assumptions!$B$9)*MAX(0,K128-J128), 12*(Assumptions!$B$7)))</f>
        <v/>
      </c>
    </row>
    <row r="129" spans="4:12" x14ac:dyDescent="0.25">
      <c r="D129" s="209" t="str">
        <f ca="1">IFERROR(IF(IF(DATE((D128+1),1,1)&gt;'Part D Pension Calculator'!$B$6,0,D128+1)=0,"",IF(DATE((D128+1),1,1)&gt;'Part D Pension Calculator'!$B$6,0,D128+1)),"")</f>
        <v/>
      </c>
      <c r="E129" s="6" t="str">
        <f ca="1" xml:space="preserve"> IF(D129="","", $B$5*((1+Assumptions!$B$16)^(D129-2019)))</f>
        <v/>
      </c>
      <c r="F129" s="6" t="str">
        <f ca="1">IF(D129="","",F128*(1+Assumptions!$B$15))</f>
        <v/>
      </c>
      <c r="G129" s="19" t="str">
        <f ca="1">IF(D129="","",  IF($B$2=600, (Assumptions!$B$8)*MIN(F129,E129) + (Assumptions!$B$9)*MAX(0,F129-E129), 12*(Assumptions!$B$7)))</f>
        <v/>
      </c>
      <c r="I129" s="209" t="str">
        <f ca="1">IFERROR(IF(IF(I128+1&gt;=YEAR('Part D Pension Calculator'!$B$1),0, I128+1) = 0, "", IF(I128+1&gt;=YEAR(('Part D Pension Calculator'!$B$1)),0, I128+1)),"")</f>
        <v/>
      </c>
      <c r="J129" s="6" t="str">
        <f ca="1">IF(I129="","",IF(I129&lt;2019, IF(I129="","",VLOOKUP(I129,$N$2:$O$44,2,FALSE)), $B$5*((1+Assumptions!$B$16)^(I129-2019))))</f>
        <v/>
      </c>
      <c r="K129" s="221" t="str">
        <f ca="1">IF(I129="","",IF(I129&lt;2014,($B$4)*(1+Assumptions!$B$14)^(I129-2014),IF(I129=2014,$B$4,($B$4)*(1+Assumptions!$B$15)^(I129-2014))))</f>
        <v/>
      </c>
      <c r="L129" s="6" t="str">
        <f ca="1">IF(I129="","",  IF($B$2=600, (Assumptions!$B$8)*MIN(J129,K129) + (Assumptions!$B$9)*MAX(0,K129-J129), 12*(Assumptions!$B$7)))</f>
        <v/>
      </c>
    </row>
    <row r="130" spans="4:12" x14ac:dyDescent="0.25">
      <c r="D130" s="209" t="str">
        <f ca="1">IFERROR(IF(IF(DATE((D129+1),1,1)&gt;'Part D Pension Calculator'!$B$6,0,D129+1)=0,"",IF(DATE((D129+1),1,1)&gt;'Part D Pension Calculator'!$B$6,0,D129+1)),"")</f>
        <v/>
      </c>
      <c r="E130" s="6" t="str">
        <f ca="1" xml:space="preserve"> IF(D130="","", $B$5*((1+Assumptions!$B$16)^(D130-2019)))</f>
        <v/>
      </c>
      <c r="F130" s="6" t="str">
        <f ca="1">IF(D130="","",F129*(1+Assumptions!$B$15))</f>
        <v/>
      </c>
      <c r="G130" s="19" t="str">
        <f ca="1">IF(D130="","",  IF($B$2=600, (Assumptions!$B$8)*MIN(F130,E130) + (Assumptions!$B$9)*MAX(0,F130-E130), 12*(Assumptions!$B$7)))</f>
        <v/>
      </c>
      <c r="I130" s="209" t="str">
        <f ca="1">IFERROR(IF(IF(I129+1&gt;=YEAR('Part D Pension Calculator'!$B$1),0, I129+1) = 0, "", IF(I129+1&gt;=YEAR(('Part D Pension Calculator'!$B$1)),0, I129+1)),"")</f>
        <v/>
      </c>
      <c r="J130" s="6" t="str">
        <f ca="1">IF(I130="","",IF(I130&lt;2019, IF(I130="","",VLOOKUP(I130,$N$2:$O$44,2,FALSE)), $B$5*((1+Assumptions!$B$16)^(I130-2019))))</f>
        <v/>
      </c>
      <c r="K130" s="221" t="str">
        <f ca="1">IF(I130="","",IF(I130&lt;2014,($B$4)*(1+Assumptions!$B$14)^(I130-2014),IF(I130=2014,$B$4,($B$4)*(1+Assumptions!$B$15)^(I130-2014))))</f>
        <v/>
      </c>
      <c r="L130" s="6" t="str">
        <f ca="1">IF(I130="","",  IF($B$2=600, (Assumptions!$B$8)*MIN(J130,K130) + (Assumptions!$B$9)*MAX(0,K130-J130), 12*(Assumptions!$B$7)))</f>
        <v/>
      </c>
    </row>
    <row r="131" spans="4:12" x14ac:dyDescent="0.25">
      <c r="D131" s="209" t="str">
        <f ca="1">IFERROR(IF(IF(DATE((D130+1),1,1)&gt;'Part D Pension Calculator'!$B$6,0,D130+1)=0,"",IF(DATE((D130+1),1,1)&gt;'Part D Pension Calculator'!$B$6,0,D130+1)),"")</f>
        <v/>
      </c>
      <c r="E131" s="6" t="str">
        <f ca="1" xml:space="preserve"> IF(D131="","", $B$5*((1+Assumptions!$B$16)^(D131-2019)))</f>
        <v/>
      </c>
      <c r="F131" s="6" t="str">
        <f ca="1">IF(D131="","",F130*(1+Assumptions!$B$15))</f>
        <v/>
      </c>
      <c r="G131" s="19" t="str">
        <f ca="1">IF(D131="","",  IF($B$2=600, (Assumptions!$B$8)*MIN(F131,E131) + (Assumptions!$B$9)*MAX(0,F131-E131), 12*(Assumptions!$B$7)))</f>
        <v/>
      </c>
      <c r="I131" s="209" t="str">
        <f ca="1">IFERROR(IF(IF(I130+1&gt;=YEAR('Part D Pension Calculator'!$B$1),0, I130+1) = 0, "", IF(I130+1&gt;=YEAR(('Part D Pension Calculator'!$B$1)),0, I130+1)),"")</f>
        <v/>
      </c>
      <c r="J131" s="6" t="str">
        <f ca="1">IF(I131="","",IF(I131&lt;2019, IF(I131="","",VLOOKUP(I131,$N$2:$O$44,2,FALSE)), $B$5*((1+Assumptions!$B$16)^(I131-2019))))</f>
        <v/>
      </c>
      <c r="K131" s="221" t="str">
        <f ca="1">IF(I131="","",IF(I131&lt;2014,($B$4)*(1+Assumptions!$B$14)^(I131-2014),IF(I131=2014,$B$4,($B$4)*(1+Assumptions!$B$15)^(I131-2014))))</f>
        <v/>
      </c>
      <c r="L131" s="6" t="str">
        <f ca="1">IF(I131="","",  IF($B$2=600, (Assumptions!$B$8)*MIN(J131,K131) + (Assumptions!$B$9)*MAX(0,K131-J131), 12*(Assumptions!$B$7)))</f>
        <v/>
      </c>
    </row>
    <row r="132" spans="4:12" x14ac:dyDescent="0.25">
      <c r="E132" s="6" t="str">
        <f xml:space="preserve"> IF(D132="","", $B$5*((1+Assumptions!$B$16)^(D132-2019)))</f>
        <v/>
      </c>
      <c r="F132" s="6" t="str">
        <f>IF(D132="","",F131*(1+Assumptions!$B$15))</f>
        <v/>
      </c>
      <c r="G132" s="19" t="str">
        <f>IF(D132="","",  IF($B$2=600, (Assumptions!$B$8)*MIN(F132,E132) + (Assumptions!$B$9)*MAX(0,F132-E132), 12*(Assumptions!$B$7)))</f>
        <v/>
      </c>
      <c r="I132" s="209" t="str">
        <f ca="1">IFERROR(IF(IF(I131+1&gt;=YEAR('Part D Pension Calculator'!$B$1),0, I131+1) = 0, "", IF(I131+1&gt;=YEAR(('Part D Pension Calculator'!$B$1)),0, I131+1)),"")</f>
        <v/>
      </c>
      <c r="J132" s="6" t="str">
        <f ca="1">IF(I132="","",IF(I132&lt;2019, IF(I132="","",VLOOKUP(I132,$N$2:$O$44,2,FALSE)), $B$5*((1+Assumptions!$B$16)^(I132-2019))))</f>
        <v/>
      </c>
      <c r="K132" s="221" t="str">
        <f ca="1">IF(I132="","",IF(I132&lt;2014,($B$4)*(1+Assumptions!$B$14)^(I132-2014),IF(I132=2014,$B$4,($B$4)*(1+Assumptions!$B$15)^(I132-2014))))</f>
        <v/>
      </c>
      <c r="L132" s="6" t="str">
        <f ca="1">IF(I132="","",  IF($B$2=600, (Assumptions!$B$8)*MIN(J132,K132) + (Assumptions!$B$9)*MAX(0,K132-J132), 12*(Assumptions!$B$7)))</f>
        <v/>
      </c>
    </row>
    <row r="133" spans="4:12" x14ac:dyDescent="0.25">
      <c r="E133" s="6" t="str">
        <f xml:space="preserve"> IF(D133="","", $B$5*((1+Assumptions!$B$16)^(D133-2019)))</f>
        <v/>
      </c>
      <c r="F133" s="6" t="str">
        <f>IF(D133="","",F132*(1+Assumptions!$B$15))</f>
        <v/>
      </c>
      <c r="G133" s="19" t="str">
        <f>IF(D133="","",  IF($B$2=600, (Assumptions!$B$8)*MIN(F133,E133) + (Assumptions!$B$9)*MAX(0,F133-E133), 12*(Assumptions!$B$7)))</f>
        <v/>
      </c>
      <c r="I133" s="209" t="str">
        <f ca="1">IFERROR(IF(IF(I132+1&gt;=YEAR('Part D Pension Calculator'!$B$1),0, I132+1) = 0, "", IF(I132+1&gt;=YEAR(('Part D Pension Calculator'!$B$1)),0, I132+1)),"")</f>
        <v/>
      </c>
      <c r="J133" s="6" t="str">
        <f ca="1">IF(I133="","",IF(I133&lt;2019, IF(I133="","",VLOOKUP(I133,$N$2:$O$44,2,FALSE)), $B$5*((1+Assumptions!$B$16)^(I133-2019))))</f>
        <v/>
      </c>
      <c r="K133" s="221" t="str">
        <f ca="1">IF(I133="","",IF(I133&lt;2014,($B$4)*(1+Assumptions!$B$14)^(I133-2014),IF(I133=2014,$B$4,($B$4)*(1+Assumptions!$B$15)^(I133-2014))))</f>
        <v/>
      </c>
      <c r="L133" s="6" t="str">
        <f ca="1">IF(I133="","",  IF($B$2=600, (Assumptions!$B$8)*MIN(J133,K133) + (Assumptions!$B$9)*MAX(0,K133-J133), 12*(Assumptions!$B$7)))</f>
        <v/>
      </c>
    </row>
    <row r="134" spans="4:12" x14ac:dyDescent="0.25">
      <c r="E134" s="6" t="str">
        <f xml:space="preserve"> IF(D134="","", $B$5*((1+Assumptions!$B$16)^(D134-2019)))</f>
        <v/>
      </c>
      <c r="F134" s="6" t="str">
        <f>IF(D134="","",F133*(1+Assumptions!$B$15))</f>
        <v/>
      </c>
      <c r="G134" s="19" t="str">
        <f>IF(D134="","",  IF($B$2=600, (Assumptions!$B$8)*MIN(F134,E134) + (Assumptions!$B$9)*MAX(0,F134-E134), 12*(Assumptions!$B$7)))</f>
        <v/>
      </c>
      <c r="I134" s="209" t="str">
        <f ca="1">IFERROR(IF(IF(I133+1&gt;=YEAR('Part D Pension Calculator'!$B$1),0, I133+1) = 0, "", IF(I133+1&gt;=YEAR(('Part D Pension Calculator'!$B$1)),0, I133+1)),"")</f>
        <v/>
      </c>
      <c r="J134" s="6" t="str">
        <f ca="1">IF(I134="","",IF(I134&lt;2019, IF(I134="","",VLOOKUP(I134,$N$2:$O$44,2,FALSE)), $B$5*((1+Assumptions!$B$16)^(I134-2019))))</f>
        <v/>
      </c>
      <c r="K134" s="221" t="str">
        <f ca="1">IF(I134="","",IF(I134&lt;2014,($B$4)*(1+Assumptions!$B$14)^(I134-2014),IF(I134=2014,$B$4,($B$4)*(1+Assumptions!$B$15)^(I134-2014))))</f>
        <v/>
      </c>
      <c r="L134" s="6" t="str">
        <f ca="1">IF(I134="","",  IF($B$2=600, (Assumptions!$B$8)*MIN(J134,K134) + (Assumptions!$B$9)*MAX(0,K134-J134), 12*(Assumptions!$B$7)))</f>
        <v/>
      </c>
    </row>
    <row r="135" spans="4:12" x14ac:dyDescent="0.25">
      <c r="E135" s="6" t="str">
        <f xml:space="preserve"> IF(D135="","", $B$5*((1+Assumptions!$B$16)^(D135-2019)))</f>
        <v/>
      </c>
      <c r="F135" s="6" t="str">
        <f>IF(D135="","",F134*(1+Assumptions!$B$15))</f>
        <v/>
      </c>
      <c r="G135" s="19" t="str">
        <f>IF(D135="","",  IF($B$2=600, (Assumptions!$B$8)*MIN(F135,E135) + (Assumptions!$B$9)*MAX(0,F135-E135), 12*(Assumptions!$B$7)))</f>
        <v/>
      </c>
      <c r="I135" s="209" t="str">
        <f ca="1">IFERROR(IF(IF(I134+1&gt;=YEAR('Part D Pension Calculator'!$B$1),0, I134+1) = 0, "", IF(I134+1&gt;=YEAR(('Part D Pension Calculator'!$B$1)),0, I134+1)),"")</f>
        <v/>
      </c>
      <c r="J135" s="6" t="str">
        <f ca="1">IF(I135="","",IF(I135&lt;2019, IF(I135="","",VLOOKUP(I135,$N$2:$O$44,2,FALSE)), $B$5*((1+Assumptions!$B$16)^(I135-2019))))</f>
        <v/>
      </c>
      <c r="K135" s="221" t="str">
        <f ca="1">IF(I135="","",IF(I135&lt;2014,($B$4)*(1+Assumptions!$B$14)^(I135-2014),IF(I135=2014,$B$4,($B$4)*(1+Assumptions!$B$15)^(I135-2014))))</f>
        <v/>
      </c>
      <c r="L135" s="6" t="str">
        <f ca="1">IF(I135="","",  IF($B$2=600, (Assumptions!$B$8)*MIN(J135,K135) + (Assumptions!$B$9)*MAX(0,K135-J135), 12*(Assumptions!$B$7)))</f>
        <v/>
      </c>
    </row>
    <row r="136" spans="4:12" x14ac:dyDescent="0.25">
      <c r="F136" s="6" t="str">
        <f>IF(D136="","",F135*(1+Assumptions!$B$15))</f>
        <v/>
      </c>
      <c r="I136" s="209" t="str">
        <f ca="1">IFERROR(IF(IF(I135+1&gt;=YEAR('Part D Pension Calculator'!$B$1),0, I135+1) = 0, "", IF(I135+1&gt;=YEAR(('Part D Pension Calculator'!$B$1)),0, I135+1)),"")</f>
        <v/>
      </c>
      <c r="J136" s="6" t="str">
        <f ca="1">IF(I136="","",IF(I136&lt;2019, IF(I136="","",VLOOKUP(I136,$N$2:$O$44,2,FALSE)), $B$5*((1+Assumptions!$B$16)^(I136-2019))))</f>
        <v/>
      </c>
      <c r="K136" s="221" t="str">
        <f ca="1">IF(I136="","",IF(I136&lt;2014,($B$4)*(1+Assumptions!$B$14)^(I136-2014),IF(I136=2014,$B$4,($B$4)*(1+Assumptions!$B$15)^(I136-2014))))</f>
        <v/>
      </c>
      <c r="L136" s="6" t="str">
        <f ca="1">IF(I136="","",  IF($B$2=600, (Assumptions!$B$8)*MIN(J136,K136) + (Assumptions!$B$9)*MAX(0,K136-J136), 12*(Assumptions!$B$7)))</f>
        <v/>
      </c>
    </row>
    <row r="137" spans="4:12" x14ac:dyDescent="0.25">
      <c r="I137" s="209" t="str">
        <f ca="1">IFERROR(IF(IF(I136+1&gt;=YEAR('Part D Pension Calculator'!$B$1),0, I136+1) = 0, "", IF(I136+1&gt;=YEAR(('Part D Pension Calculator'!$B$1)),0, I136+1)),"")</f>
        <v/>
      </c>
      <c r="J137" s="6" t="str">
        <f ca="1">IF(I137="","",IF(I137&lt;2019, IF(I137="","",VLOOKUP(I137,$N$2:$O$44,2,FALSE)), $B$5*((1+Assumptions!$B$16)^(I137-2019))))</f>
        <v/>
      </c>
      <c r="K137" s="221" t="str">
        <f ca="1">IF(I137="","",IF(I137&lt;2014,($B$4)*(1+Assumptions!$B$14)^(I137-2014),IF(I137=2014,$B$4,($B$4)*(1+Assumptions!$B$15)^(I137-2014))))</f>
        <v/>
      </c>
      <c r="L137" s="6" t="str">
        <f ca="1">IF(I137="","",  IF($B$2=600, (Assumptions!$B$8)*MIN(J137,K137) + (Assumptions!$B$9)*MAX(0,K137-J137), 12*(Assumptions!$B$7)))</f>
        <v/>
      </c>
    </row>
    <row r="138" spans="4:12" x14ac:dyDescent="0.25">
      <c r="I138" s="209" t="str">
        <f ca="1">IFERROR(IF(IF(I137+1&gt;=YEAR('Part D Pension Calculator'!$B$1),0, I137+1) = 0, "", IF(I137+1&gt;=YEAR(('Part D Pension Calculator'!$B$1)),0, I137+1)),"")</f>
        <v/>
      </c>
      <c r="J138" s="6" t="str">
        <f ca="1">IF(I138="","",IF(I138&lt;2019, IF(I138="","",VLOOKUP(I138,$N$2:$O$44,2,FALSE)), $B$5*((1+Assumptions!$B$16)^(I138-2019))))</f>
        <v/>
      </c>
      <c r="K138" s="221" t="str">
        <f ca="1">IF(I138="","",IF(I138&lt;2014,($B$4)*(1+Assumptions!$B$14)^(I138-2014),IF(I138=2014,$B$4,($B$4)*(1+Assumptions!$B$15)^(I138-2014))))</f>
        <v/>
      </c>
      <c r="L138" s="6" t="str">
        <f ca="1">IF(I138="","",  IF($B$2=600, (Assumptions!$B$8)*MIN(J138,K138) + (Assumptions!$B$9)*MAX(0,K138-J138), 12*(Assumptions!$B$7)))</f>
        <v/>
      </c>
    </row>
    <row r="139" spans="4:12" x14ac:dyDescent="0.25">
      <c r="I139" s="209" t="str">
        <f ca="1">IFERROR(IF(IF(I138+1&gt;=YEAR('Part D Pension Calculator'!$B$1),0, I138+1) = 0, "", IF(I138+1&gt;=YEAR(('Part D Pension Calculator'!$B$1)),0, I138+1)),"")</f>
        <v/>
      </c>
      <c r="J139" s="6" t="str">
        <f ca="1">IF(I139="","",IF(I139&lt;2019, IF(I139="","",VLOOKUP(I139,$N$2:$O$44,2,FALSE)), $B$5*((1+Assumptions!$B$16)^(I139-2019))))</f>
        <v/>
      </c>
      <c r="K139" s="221" t="str">
        <f ca="1">IF(I139="","",IF(I139&lt;2014,($B$4)*(1+Assumptions!$B$14)^(I139-2014),IF(I139=2014,$B$4,($B$4)*(1+Assumptions!$B$15)^(I139-2014))))</f>
        <v/>
      </c>
      <c r="L139" s="6" t="str">
        <f ca="1">IF(I139="","",  IF($B$2=600, (Assumptions!$B$8)*MIN(J139,K139) + (Assumptions!$B$9)*MAX(0,K139-J139), 12*(Assumptions!$B$7)))</f>
        <v/>
      </c>
    </row>
    <row r="140" spans="4:12" x14ac:dyDescent="0.25">
      <c r="I140" s="209" t="str">
        <f ca="1">IFERROR(IF(IF(I139+1&gt;=YEAR('Part D Pension Calculator'!$B$1),0, I139+1) = 0, "", IF(I139+1&gt;=YEAR(('Part D Pension Calculator'!$B$1)),0, I139+1)),"")</f>
        <v/>
      </c>
      <c r="J140" s="6" t="str">
        <f ca="1">IF(I140="","",IF(I140&lt;2019, IF(I140="","",VLOOKUP(I140,$N$2:$O$44,2,FALSE)), $B$5*((1+Assumptions!$B$16)^(I140-2019))))</f>
        <v/>
      </c>
      <c r="K140" s="221" t="str">
        <f ca="1">IF(I140="","",IF(I140&lt;2014,($B$4)*(1+Assumptions!$B$14)^(I140-2014),IF(I140=2014,$B$4,($B$4)*(1+Assumptions!$B$15)^(I140-2014))))</f>
        <v/>
      </c>
      <c r="L140" s="6" t="str">
        <f ca="1">IF(I140="","",  IF($B$2=600, (Assumptions!$B$8)*MIN(J140,K140) + (Assumptions!$B$9)*MAX(0,K140-J140), 12*(Assumptions!$B$7)))</f>
        <v/>
      </c>
    </row>
    <row r="141" spans="4:12" x14ac:dyDescent="0.25">
      <c r="I141" s="209" t="str">
        <f ca="1">IFERROR(IF(IF(I140+1&gt;=YEAR('Part D Pension Calculator'!$B$1),0, I140+1) = 0, "", IF(I140+1&gt;=YEAR(('Part D Pension Calculator'!$B$1)),0, I140+1)),"")</f>
        <v/>
      </c>
      <c r="J141" s="6" t="str">
        <f ca="1">IF(I141="","",IF(I141&lt;2019, IF(I141="","",VLOOKUP(I141,$N$2:$O$44,2,FALSE)), $B$5*((1+Assumptions!$B$16)^(I141-2019))))</f>
        <v/>
      </c>
      <c r="K141" s="221" t="str">
        <f ca="1">IF(I141="","",IF(I141&lt;2014,($B$4)*(1+Assumptions!$B$14)^(I141-2014),IF(I141=2014,$B$4,($B$4)*(1+Assumptions!$B$15)^(I141-2014))))</f>
        <v/>
      </c>
      <c r="L141" s="6" t="str">
        <f ca="1">IF(I141="","",  IF($B$2=600, (Assumptions!$B$8)*MIN(J141,K141) + (Assumptions!$B$9)*MAX(0,K141-J141), 12*(Assumptions!$B$7)))</f>
        <v/>
      </c>
    </row>
    <row r="142" spans="4:12" x14ac:dyDescent="0.25">
      <c r="I142" s="209" t="str">
        <f ca="1">IFERROR(IF(IF(I141+1&gt;=YEAR('Part D Pension Calculator'!$B$1),0, I141+1) = 0, "", IF(I141+1&gt;=YEAR(('Part D Pension Calculator'!$B$1)),0, I141+1)),"")</f>
        <v/>
      </c>
      <c r="J142" s="6" t="str">
        <f ca="1">IF(I142="","",IF(I142&lt;2019, IF(I142="","",VLOOKUP(I142,$N$2:$O$44,2,FALSE)), $B$5*((1+Assumptions!$B$16)^(I142-2019))))</f>
        <v/>
      </c>
      <c r="K142" s="221" t="str">
        <f ca="1">IF(I142="","",IF(I142&lt;2014,($B$4)*(1+Assumptions!$B$14)^(I142-2014),IF(I142=2014,$B$4,($B$4)*(1+Assumptions!$B$15)^(I142-2014))))</f>
        <v/>
      </c>
      <c r="L142" s="6" t="str">
        <f ca="1">IF(I142="","",  IF($B$2=600, (Assumptions!$B$8)*MIN(J142,K142) + (Assumptions!$B$9)*MAX(0,K142-J142), 12*(Assumptions!$B$7)))</f>
        <v/>
      </c>
    </row>
    <row r="143" spans="4:12" x14ac:dyDescent="0.25">
      <c r="I143" s="209" t="str">
        <f ca="1">IFERROR(IF(IF(I142+1&gt;=YEAR('Part D Pension Calculator'!$B$1),0, I142+1) = 0, "", IF(I142+1&gt;=YEAR(('Part D Pension Calculator'!$B$1)),0, I142+1)),"")</f>
        <v/>
      </c>
      <c r="J143" s="6" t="str">
        <f ca="1">IF(I143="","",IF(I143&lt;2019, IF(I143="","",VLOOKUP(I143,$N$2:$O$44,2,FALSE)), $B$5*((1+Assumptions!$B$16)^(I143-2019))))</f>
        <v/>
      </c>
      <c r="K143" s="221" t="str">
        <f ca="1">IF(I143="","",IF(I143&lt;2014,($B$4)*(1+Assumptions!$B$14)^(I143-2014),IF(I143=2014,$B$4,($B$4)*(1+Assumptions!$B$15)^(I143-2014))))</f>
        <v/>
      </c>
      <c r="L143" s="6" t="str">
        <f ca="1">IF(I143="","",  IF($B$2=600, (Assumptions!$B$8)*MIN(J143,K143) + (Assumptions!$B$9)*MAX(0,K143-J143), 12*(Assumptions!$B$7)))</f>
        <v/>
      </c>
    </row>
    <row r="144" spans="4:12" x14ac:dyDescent="0.25">
      <c r="I144" s="209" t="str">
        <f ca="1">IFERROR(IF(IF(I143+1&gt;=YEAR('Part D Pension Calculator'!$B$1),0, I143+1) = 0, "", IF(I143+1&gt;=YEAR(('Part D Pension Calculator'!$B$1)),0, I143+1)),"")</f>
        <v/>
      </c>
      <c r="J144" s="6" t="str">
        <f ca="1">IF(I144="","",IF(I144&lt;2019, IF(I144="","",VLOOKUP(I144,$N$2:$O$44,2,FALSE)), $B$5*((1+Assumptions!$B$16)^(I144-2019))))</f>
        <v/>
      </c>
      <c r="K144" s="221" t="str">
        <f ca="1">IF(I144="","",IF(I144&lt;2014,($B$4)*(1+Assumptions!$B$14)^(I144-2014),IF(I144=2014,$B$4,($B$4)*(1+Assumptions!$B$15)^(I144-2014))))</f>
        <v/>
      </c>
      <c r="L144" s="6" t="str">
        <f ca="1">IF(I144="","",  IF($B$2=600, (Assumptions!$B$8)*MIN(J144,K144) + (Assumptions!$B$9)*MAX(0,K144-J144), 12*(Assumptions!$B$7)))</f>
        <v/>
      </c>
    </row>
    <row r="145" spans="9:12" x14ac:dyDescent="0.25">
      <c r="I145" s="209" t="str">
        <f ca="1">IFERROR(IF(IF(I144+1&gt;=YEAR('Part D Pension Calculator'!$B$1),0, I144+1) = 0, "", IF(I144+1&gt;=YEAR(('Part D Pension Calculator'!$B$1)),0, I144+1)),"")</f>
        <v/>
      </c>
      <c r="J145" s="6" t="str">
        <f ca="1">IF(I145="","",IF(I145&lt;2019, IF(I145="","",VLOOKUP(I145,$N$2:$O$44,2,FALSE)), $B$5*((1+Assumptions!$B$16)^(I145-2019))))</f>
        <v/>
      </c>
      <c r="K145" s="221" t="str">
        <f ca="1">IF(I145="","",IF(I145&lt;2014,($B$4)*(1+Assumptions!$B$14)^(I145-2014),IF(I145=2014,$B$4,($B$4)*(1+Assumptions!$B$15)^(I145-2014))))</f>
        <v/>
      </c>
      <c r="L145" s="6" t="str">
        <f ca="1">IF(I145="","",  IF($B$2=600, (Assumptions!$B$8)*MIN(J145,K145) + (Assumptions!$B$9)*MAX(0,K145-J145), 12*(Assumptions!$B$7)))</f>
        <v/>
      </c>
    </row>
    <row r="146" spans="9:12" x14ac:dyDescent="0.25">
      <c r="I146" s="209" t="str">
        <f ca="1">IFERROR(IF(IF(I145+1&gt;=YEAR('Part D Pension Calculator'!$B$1),0, I145+1) = 0, "", IF(I145+1&gt;=YEAR(('Part D Pension Calculator'!$B$1)),0, I145+1)),"")</f>
        <v/>
      </c>
      <c r="J146" s="6" t="str">
        <f ca="1">IF(I146="","",IF(I146&lt;2019, IF(I146="","",VLOOKUP(I146,$N$2:$O$44,2,FALSE)), $B$5*((1+Assumptions!$B$16)^(I146-2019))))</f>
        <v/>
      </c>
      <c r="K146" s="221" t="str">
        <f ca="1">IF(I146="","",IF(I146&lt;2014,($B$4)*(1+Assumptions!$B$14)^(I146-2014),IF(I146=2014,$B$4,($B$4)*(1+Assumptions!$B$15)^(I146-2014))))</f>
        <v/>
      </c>
      <c r="L146" s="6" t="str">
        <f ca="1">IF(I146="","",  IF($B$2=600, (Assumptions!$B$8)*MIN(J146,K146) + (Assumptions!$B$9)*MAX(0,K146-J146), 12*(Assumptions!$B$7)))</f>
        <v/>
      </c>
    </row>
    <row r="147" spans="9:12" x14ac:dyDescent="0.25">
      <c r="I147" s="209" t="str">
        <f ca="1">IFERROR(IF(IF(I146+1&gt;=YEAR('Part D Pension Calculator'!$B$1),0, I146+1) = 0, "", IF(I146+1&gt;=YEAR(('Part D Pension Calculator'!$B$1)),0, I146+1)),"")</f>
        <v/>
      </c>
      <c r="J147" s="6" t="str">
        <f ca="1">IF(I147="","",IF(I147&lt;2019, IF(I147="","",VLOOKUP(I147,$N$2:$O$44,2,FALSE)), $B$5*((1+Assumptions!$B$16)^(I147-2019))))</f>
        <v/>
      </c>
      <c r="K147" s="221" t="str">
        <f ca="1">IF(I147="","",IF(I147&lt;2014,($B$4)*(1+Assumptions!$B$14)^(I147-2014),IF(I147=2014,$B$4,($B$4)*(1+Assumptions!$B$15)^(I147-2014))))</f>
        <v/>
      </c>
      <c r="L147" s="6" t="str">
        <f ca="1">IF(I147="","",  IF($B$2=600, (Assumptions!$B$8)*MIN(J147,K147) + (Assumptions!$B$9)*MAX(0,K147-J147), 12*(Assumptions!$B$7)))</f>
        <v/>
      </c>
    </row>
    <row r="148" spans="9:12" x14ac:dyDescent="0.25">
      <c r="I148" s="209" t="str">
        <f ca="1">IFERROR(IF(IF(I147+1&gt;=YEAR('Part D Pension Calculator'!$B$1),0, I147+1) = 0, "", IF(I147+1&gt;=YEAR(('Part D Pension Calculator'!$B$1)),0, I147+1)),"")</f>
        <v/>
      </c>
      <c r="J148" s="6" t="str">
        <f ca="1">IF(I148="","",IF(I148&lt;2019, IF(I148="","",VLOOKUP(I148,$N$2:$O$44,2,FALSE)), $B$5*((1+Assumptions!$B$16)^(I148-2019))))</f>
        <v/>
      </c>
      <c r="K148" s="221" t="str">
        <f ca="1">IF(I148="","",IF(I148&lt;2014,($B$4)*(1+Assumptions!$B$14)^(I148-2014),IF(I148=2014,$B$4,($B$4)*(1+Assumptions!$B$15)^(I148-2014))))</f>
        <v/>
      </c>
      <c r="L148" s="6" t="str">
        <f ca="1">IF(I148="","",  IF($B$2=600, (Assumptions!$B$8)*MIN(J148,K148) + (Assumptions!$B$9)*MAX(0,K148-J148), 12*(Assumptions!$B$7)))</f>
        <v/>
      </c>
    </row>
    <row r="149" spans="9:12" x14ac:dyDescent="0.25">
      <c r="I149" s="209" t="str">
        <f ca="1">IFERROR(IF(IF(I148+1&gt;=YEAR('Part D Pension Calculator'!$B$1),0, I148+1) = 0, "", IF(I148+1&gt;=YEAR(('Part D Pension Calculator'!$B$1)),0, I148+1)),"")</f>
        <v/>
      </c>
      <c r="J149" s="6" t="str">
        <f ca="1">IF(I149="","",IF(I149&lt;2019, IF(I149="","",VLOOKUP(I149,$N$2:$O$44,2,FALSE)), $B$5*((1+Assumptions!$B$16)^(I149-2019))))</f>
        <v/>
      </c>
      <c r="K149" s="221" t="str">
        <f ca="1">IF(I149="","",IF(I149&lt;2014,($B$4)*(1+Assumptions!$B$14)^(I149-2014),IF(I149=2014,$B$4,($B$4)*(1+Assumptions!$B$15)^(I149-2014))))</f>
        <v/>
      </c>
      <c r="L149" s="6" t="str">
        <f ca="1">IF(I149="","",  IF($B$2=600, (Assumptions!$B$8)*MIN(J149,K149) + (Assumptions!$B$9)*MAX(0,K149-J149), 12*(Assumptions!$B$7)))</f>
        <v/>
      </c>
    </row>
    <row r="150" spans="9:12" x14ac:dyDescent="0.25">
      <c r="I150" s="209" t="str">
        <f ca="1">IFERROR(IF(IF(I149+1&gt;=YEAR('Part D Pension Calculator'!$B$1),0, I149+1) = 0, "", IF(I149+1&gt;=YEAR(('Part D Pension Calculator'!$B$1)),0, I149+1)),"")</f>
        <v/>
      </c>
      <c r="J150" s="6" t="str">
        <f ca="1">IF(I150="","",IF(I150&lt;2019, IF(I150="","",VLOOKUP(I150,$N$2:$O$44,2,FALSE)), $B$5*((1+Assumptions!$B$16)^(I150-2019))))</f>
        <v/>
      </c>
      <c r="K150" s="221" t="str">
        <f ca="1">IF(I150="","",IF(I150&lt;2014,($B$4)*(1+Assumptions!$B$14)^(I150-2014),IF(I150=2014,$B$4,($B$4)*(1+Assumptions!$B$15)^(I150-2014))))</f>
        <v/>
      </c>
      <c r="L150" s="6" t="str">
        <f ca="1">IF(I150="","",  IF($B$2=600, (Assumptions!$B$8)*MIN(J150,K150) + (Assumptions!$B$9)*MAX(0,K150-J150), 12*(Assumptions!$B$7)))</f>
        <v/>
      </c>
    </row>
    <row r="151" spans="9:12" x14ac:dyDescent="0.25">
      <c r="I151" s="209" t="str">
        <f ca="1">IFERROR(IF(IF(I150+1&gt;=YEAR('Part D Pension Calculator'!$B$1),0, I150+1) = 0, "", IF(I150+1&gt;=YEAR(('Part D Pension Calculator'!$B$1)),0, I150+1)),"")</f>
        <v/>
      </c>
      <c r="J151" s="6" t="str">
        <f ca="1">IF(I151="","",IF(I151&lt;2019, IF(I151="","",VLOOKUP(I151,$N$2:$O$44,2,FALSE)), $B$5*((1+Assumptions!$B$16)^(I151-2019))))</f>
        <v/>
      </c>
      <c r="K151" s="221" t="str">
        <f ca="1">IF(I151="","",IF(I151&lt;2014,($B$4)*(1+Assumptions!$B$14)^(I151-2014),IF(I151=2014,$B$4,($B$4)*(1+Assumptions!$B$15)^(I151-2014))))</f>
        <v/>
      </c>
      <c r="L151" s="6" t="str">
        <f ca="1">IF(I151="","",  IF($B$2=600, (Assumptions!$B$8)*MIN(J151,K151) + (Assumptions!$B$9)*MAX(0,K151-J151), 12*(Assumptions!$B$7)))</f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Part A </vt:lpstr>
      <vt:lpstr>Part B</vt:lpstr>
      <vt:lpstr>Part C</vt:lpstr>
      <vt:lpstr>Part D Pension Calculator</vt:lpstr>
      <vt:lpstr>Part D Cert. 757</vt:lpstr>
      <vt:lpstr>A Calculations</vt:lpstr>
      <vt:lpstr>B Calculations</vt:lpstr>
      <vt:lpstr>C Calculations</vt:lpstr>
      <vt:lpstr>Part D Calculations</vt:lpstr>
      <vt:lpstr>Credited Service</vt:lpstr>
      <vt:lpstr>Earnings</vt:lpstr>
      <vt:lpstr>Yearly Pension</vt:lpstr>
      <vt:lpstr>Dates for Dropdown</vt:lpstr>
      <vt:lpstr>Data for D </vt:lpstr>
      <vt:lpstr>Annuity Factors </vt:lpstr>
      <vt:lpstr>Assumptions</vt:lpstr>
    </vt:vector>
  </TitlesOfParts>
  <Company>Standard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NIGAND1</dc:creator>
  <cp:lastModifiedBy>jorda</cp:lastModifiedBy>
  <dcterms:created xsi:type="dcterms:W3CDTF">2008-09-03T21:25:36Z</dcterms:created>
  <dcterms:modified xsi:type="dcterms:W3CDTF">2019-02-21T07:47:11Z</dcterms:modified>
</cp:coreProperties>
</file>