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an.sooklal\Desktop\"/>
    </mc:Choice>
  </mc:AlternateContent>
  <xr:revisionPtr revIDLastSave="0" documentId="13_ncr:1_{00ADDE62-1D40-437D-9E65-B1835EF8F1DF}" xr6:coauthVersionLast="47" xr6:coauthVersionMax="47" xr10:uidLastSave="{00000000-0000-0000-0000-000000000000}"/>
  <bookViews>
    <workbookView xWindow="-28920" yWindow="-120" windowWidth="29040" windowHeight="15840" xr2:uid="{1226559E-3F78-4F89-9E33-5117D3429D96}"/>
  </bookViews>
  <sheets>
    <sheet name="518 Days of Running" sheetId="1" r:id="rId1"/>
    <sheet name="Personal Bests" sheetId="2" r:id="rId2"/>
    <sheet name="Graphs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21" i="1" l="1"/>
  <c r="C13" i="2"/>
  <c r="B13" i="2"/>
  <c r="B12" i="2" a="1"/>
  <c r="B12" i="2" s="1"/>
  <c r="C12" i="2" s="1"/>
  <c r="B11" i="2" a="1"/>
  <c r="B11" i="2" s="1"/>
  <c r="C11" i="2" s="1"/>
  <c r="B10" i="2" a="1"/>
  <c r="B10" i="2" s="1"/>
  <c r="C10" i="2" s="1"/>
  <c r="B9" i="2" a="1"/>
  <c r="B9" i="2" s="1"/>
  <c r="C9" i="2" s="1"/>
  <c r="B8" i="2" a="1"/>
  <c r="B8" i="2" s="1"/>
  <c r="C8" i="2" s="1"/>
  <c r="B7" i="2" a="1"/>
  <c r="B7" i="2" s="1"/>
  <c r="C7" i="2" s="1"/>
  <c r="B6" i="2" a="1"/>
  <c r="B6" i="2" s="1"/>
  <c r="C6" i="2" s="1"/>
  <c r="B5" i="2" a="1"/>
  <c r="B5" i="2" s="1"/>
  <c r="C5" i="2" s="1"/>
  <c r="B4" i="2" a="1"/>
  <c r="B4" i="2" s="1"/>
  <c r="C4" i="2" s="1"/>
  <c r="B3" i="2" a="1"/>
  <c r="B3" i="2" s="1"/>
  <c r="C3" i="2" s="1"/>
  <c r="B2" i="2" a="1"/>
  <c r="B2" i="2" s="1"/>
  <c r="C2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2" i="1"/>
  <c r="E540" i="1"/>
  <c r="E536" i="1"/>
  <c r="E533" i="1"/>
  <c r="B522" i="1"/>
  <c r="J519" i="1"/>
  <c r="I519" i="1"/>
  <c r="D519" i="1"/>
  <c r="C519" i="1"/>
  <c r="J518" i="1"/>
  <c r="I518" i="1"/>
  <c r="D518" i="1"/>
  <c r="C518" i="1"/>
  <c r="J517" i="1"/>
  <c r="I517" i="1"/>
  <c r="D517" i="1"/>
  <c r="C517" i="1"/>
  <c r="J516" i="1"/>
  <c r="I516" i="1"/>
  <c r="D516" i="1"/>
  <c r="C516" i="1"/>
  <c r="J515" i="1"/>
  <c r="I515" i="1"/>
  <c r="D515" i="1"/>
  <c r="C515" i="1"/>
  <c r="J514" i="1"/>
  <c r="I514" i="1"/>
  <c r="D514" i="1"/>
  <c r="C514" i="1"/>
  <c r="J513" i="1"/>
  <c r="I513" i="1"/>
  <c r="D513" i="1"/>
  <c r="C513" i="1"/>
  <c r="J512" i="1"/>
  <c r="I512" i="1"/>
  <c r="D512" i="1"/>
  <c r="C512" i="1"/>
  <c r="J511" i="1"/>
  <c r="I511" i="1"/>
  <c r="D511" i="1"/>
  <c r="C511" i="1"/>
  <c r="J510" i="1"/>
  <c r="I510" i="1"/>
  <c r="D510" i="1"/>
  <c r="C510" i="1"/>
  <c r="J509" i="1"/>
  <c r="I509" i="1"/>
  <c r="D509" i="1"/>
  <c r="C509" i="1"/>
  <c r="J508" i="1"/>
  <c r="I508" i="1"/>
  <c r="D508" i="1"/>
  <c r="C508" i="1"/>
  <c r="J507" i="1"/>
  <c r="I507" i="1"/>
  <c r="D507" i="1"/>
  <c r="C507" i="1"/>
  <c r="J506" i="1"/>
  <c r="I506" i="1"/>
  <c r="D506" i="1"/>
  <c r="C506" i="1"/>
  <c r="J505" i="1"/>
  <c r="I505" i="1"/>
  <c r="D505" i="1"/>
  <c r="C505" i="1"/>
  <c r="J504" i="1"/>
  <c r="I504" i="1"/>
  <c r="D504" i="1"/>
  <c r="C504" i="1"/>
  <c r="J503" i="1"/>
  <c r="I503" i="1"/>
  <c r="D503" i="1"/>
  <c r="C503" i="1"/>
  <c r="J502" i="1"/>
  <c r="I502" i="1"/>
  <c r="D502" i="1"/>
  <c r="C502" i="1"/>
  <c r="J501" i="1"/>
  <c r="I501" i="1"/>
  <c r="D501" i="1"/>
  <c r="C501" i="1"/>
  <c r="J500" i="1"/>
  <c r="I500" i="1"/>
  <c r="D500" i="1"/>
  <c r="C500" i="1"/>
  <c r="J499" i="1"/>
  <c r="I499" i="1"/>
  <c r="D499" i="1"/>
  <c r="C499" i="1"/>
  <c r="J498" i="1"/>
  <c r="I498" i="1"/>
  <c r="D498" i="1"/>
  <c r="C498" i="1"/>
  <c r="J497" i="1"/>
  <c r="I497" i="1"/>
  <c r="D497" i="1"/>
  <c r="C497" i="1"/>
  <c r="J496" i="1"/>
  <c r="I496" i="1"/>
  <c r="D496" i="1"/>
  <c r="C496" i="1"/>
  <c r="J495" i="1"/>
  <c r="I495" i="1"/>
  <c r="D495" i="1"/>
  <c r="C495" i="1"/>
  <c r="J494" i="1"/>
  <c r="I494" i="1"/>
  <c r="D494" i="1"/>
  <c r="C494" i="1"/>
  <c r="J493" i="1"/>
  <c r="I493" i="1"/>
  <c r="D493" i="1"/>
  <c r="C493" i="1"/>
  <c r="J492" i="1"/>
  <c r="I492" i="1"/>
  <c r="D492" i="1"/>
  <c r="C492" i="1"/>
  <c r="J491" i="1"/>
  <c r="I491" i="1"/>
  <c r="D491" i="1"/>
  <c r="C491" i="1"/>
  <c r="J490" i="1"/>
  <c r="I490" i="1"/>
  <c r="D490" i="1"/>
  <c r="C490" i="1"/>
  <c r="J489" i="1"/>
  <c r="I489" i="1"/>
  <c r="D489" i="1"/>
  <c r="C489" i="1"/>
  <c r="J488" i="1"/>
  <c r="I488" i="1"/>
  <c r="D488" i="1"/>
  <c r="C488" i="1"/>
  <c r="J487" i="1"/>
  <c r="I487" i="1"/>
  <c r="D487" i="1"/>
  <c r="C487" i="1"/>
  <c r="J486" i="1"/>
  <c r="I486" i="1"/>
  <c r="D486" i="1"/>
  <c r="C486" i="1"/>
  <c r="J485" i="1"/>
  <c r="I485" i="1"/>
  <c r="D485" i="1"/>
  <c r="C485" i="1"/>
  <c r="J484" i="1"/>
  <c r="I484" i="1"/>
  <c r="D484" i="1"/>
  <c r="C484" i="1"/>
  <c r="J483" i="1"/>
  <c r="I483" i="1"/>
  <c r="D483" i="1"/>
  <c r="C483" i="1"/>
  <c r="J482" i="1"/>
  <c r="I482" i="1"/>
  <c r="D482" i="1"/>
  <c r="C482" i="1"/>
  <c r="J481" i="1"/>
  <c r="I481" i="1"/>
  <c r="D481" i="1"/>
  <c r="C481" i="1"/>
  <c r="J480" i="1"/>
  <c r="I480" i="1"/>
  <c r="D480" i="1"/>
  <c r="C480" i="1"/>
  <c r="J479" i="1"/>
  <c r="I479" i="1"/>
  <c r="D479" i="1"/>
  <c r="C479" i="1"/>
  <c r="J478" i="1"/>
  <c r="I478" i="1"/>
  <c r="D478" i="1"/>
  <c r="C478" i="1"/>
  <c r="J477" i="1"/>
  <c r="I477" i="1"/>
  <c r="D477" i="1"/>
  <c r="C477" i="1"/>
  <c r="J476" i="1"/>
  <c r="I476" i="1"/>
  <c r="D476" i="1"/>
  <c r="C476" i="1"/>
  <c r="J475" i="1"/>
  <c r="I475" i="1"/>
  <c r="D475" i="1"/>
  <c r="C475" i="1"/>
  <c r="J474" i="1"/>
  <c r="I474" i="1"/>
  <c r="D474" i="1"/>
  <c r="C474" i="1"/>
  <c r="J473" i="1"/>
  <c r="I473" i="1"/>
  <c r="D473" i="1"/>
  <c r="C473" i="1"/>
  <c r="J472" i="1"/>
  <c r="I472" i="1"/>
  <c r="D472" i="1"/>
  <c r="C472" i="1"/>
  <c r="J471" i="1"/>
  <c r="I471" i="1"/>
  <c r="D471" i="1"/>
  <c r="C471" i="1"/>
  <c r="J470" i="1"/>
  <c r="I470" i="1"/>
  <c r="D470" i="1"/>
  <c r="C470" i="1"/>
  <c r="J469" i="1"/>
  <c r="I469" i="1"/>
  <c r="D469" i="1"/>
  <c r="C469" i="1"/>
  <c r="J468" i="1"/>
  <c r="I468" i="1"/>
  <c r="D468" i="1"/>
  <c r="C468" i="1"/>
  <c r="J467" i="1"/>
  <c r="I467" i="1"/>
  <c r="D467" i="1"/>
  <c r="C467" i="1"/>
  <c r="J466" i="1"/>
  <c r="I466" i="1"/>
  <c r="D466" i="1"/>
  <c r="C466" i="1"/>
  <c r="J465" i="1"/>
  <c r="I465" i="1"/>
  <c r="D465" i="1"/>
  <c r="C465" i="1"/>
  <c r="J464" i="1"/>
  <c r="I464" i="1"/>
  <c r="D464" i="1"/>
  <c r="C464" i="1"/>
  <c r="J463" i="1"/>
  <c r="I463" i="1"/>
  <c r="D463" i="1"/>
  <c r="C463" i="1"/>
  <c r="J462" i="1"/>
  <c r="I462" i="1"/>
  <c r="D462" i="1"/>
  <c r="C462" i="1"/>
  <c r="J461" i="1"/>
  <c r="I461" i="1"/>
  <c r="D461" i="1"/>
  <c r="C461" i="1"/>
  <c r="J460" i="1"/>
  <c r="I460" i="1"/>
  <c r="D460" i="1"/>
  <c r="C460" i="1"/>
  <c r="J459" i="1"/>
  <c r="I459" i="1"/>
  <c r="D459" i="1"/>
  <c r="C459" i="1"/>
  <c r="J458" i="1"/>
  <c r="I458" i="1"/>
  <c r="D458" i="1"/>
  <c r="C458" i="1"/>
  <c r="J457" i="1"/>
  <c r="I457" i="1"/>
  <c r="D457" i="1"/>
  <c r="C457" i="1"/>
  <c r="J456" i="1"/>
  <c r="I456" i="1"/>
  <c r="D456" i="1"/>
  <c r="C456" i="1"/>
  <c r="J455" i="1"/>
  <c r="I455" i="1"/>
  <c r="D455" i="1"/>
  <c r="C455" i="1"/>
  <c r="J454" i="1"/>
  <c r="I454" i="1"/>
  <c r="D454" i="1"/>
  <c r="C454" i="1"/>
  <c r="J453" i="1"/>
  <c r="I453" i="1"/>
  <c r="D453" i="1"/>
  <c r="C453" i="1"/>
  <c r="J452" i="1"/>
  <c r="I452" i="1"/>
  <c r="D452" i="1"/>
  <c r="C452" i="1"/>
  <c r="J451" i="1"/>
  <c r="I451" i="1"/>
  <c r="D451" i="1"/>
  <c r="C451" i="1"/>
  <c r="J450" i="1"/>
  <c r="I450" i="1"/>
  <c r="D450" i="1"/>
  <c r="C450" i="1"/>
  <c r="J449" i="1"/>
  <c r="I449" i="1"/>
  <c r="D449" i="1"/>
  <c r="C449" i="1"/>
  <c r="J448" i="1"/>
  <c r="I448" i="1"/>
  <c r="D448" i="1"/>
  <c r="C448" i="1"/>
  <c r="J447" i="1"/>
  <c r="I447" i="1"/>
  <c r="D447" i="1"/>
  <c r="C447" i="1"/>
  <c r="J446" i="1"/>
  <c r="I446" i="1"/>
  <c r="D446" i="1"/>
  <c r="C446" i="1"/>
  <c r="J445" i="1"/>
  <c r="I445" i="1"/>
  <c r="D445" i="1"/>
  <c r="C445" i="1"/>
  <c r="J444" i="1"/>
  <c r="I444" i="1"/>
  <c r="D444" i="1"/>
  <c r="C444" i="1"/>
  <c r="J443" i="1"/>
  <c r="I443" i="1"/>
  <c r="D443" i="1"/>
  <c r="C443" i="1"/>
  <c r="J442" i="1"/>
  <c r="I442" i="1"/>
  <c r="D442" i="1"/>
  <c r="C442" i="1"/>
  <c r="J441" i="1"/>
  <c r="I441" i="1"/>
  <c r="D441" i="1"/>
  <c r="C441" i="1"/>
  <c r="J440" i="1"/>
  <c r="I440" i="1"/>
  <c r="D440" i="1"/>
  <c r="C440" i="1"/>
  <c r="J439" i="1"/>
  <c r="I439" i="1"/>
  <c r="D439" i="1"/>
  <c r="C439" i="1"/>
  <c r="J438" i="1"/>
  <c r="I438" i="1"/>
  <c r="D438" i="1"/>
  <c r="C438" i="1"/>
  <c r="J437" i="1"/>
  <c r="I437" i="1"/>
  <c r="D437" i="1"/>
  <c r="C437" i="1"/>
  <c r="J436" i="1"/>
  <c r="I436" i="1"/>
  <c r="D436" i="1"/>
  <c r="C436" i="1"/>
  <c r="J435" i="1"/>
  <c r="I435" i="1"/>
  <c r="D435" i="1"/>
  <c r="C435" i="1"/>
  <c r="J434" i="1"/>
  <c r="I434" i="1"/>
  <c r="D434" i="1"/>
  <c r="C434" i="1"/>
  <c r="J433" i="1"/>
  <c r="I433" i="1"/>
  <c r="D433" i="1"/>
  <c r="C433" i="1"/>
  <c r="J432" i="1"/>
  <c r="I432" i="1"/>
  <c r="D432" i="1"/>
  <c r="C432" i="1"/>
  <c r="J431" i="1"/>
  <c r="I431" i="1"/>
  <c r="D431" i="1"/>
  <c r="C431" i="1"/>
  <c r="J430" i="1"/>
  <c r="I430" i="1"/>
  <c r="D430" i="1"/>
  <c r="C430" i="1"/>
  <c r="J429" i="1"/>
  <c r="I429" i="1"/>
  <c r="D429" i="1"/>
  <c r="C429" i="1"/>
  <c r="J428" i="1"/>
  <c r="I428" i="1"/>
  <c r="D428" i="1"/>
  <c r="C428" i="1"/>
  <c r="J427" i="1"/>
  <c r="I427" i="1"/>
  <c r="D427" i="1"/>
  <c r="C427" i="1"/>
  <c r="J426" i="1"/>
  <c r="I426" i="1"/>
  <c r="D426" i="1"/>
  <c r="C426" i="1"/>
  <c r="J425" i="1"/>
  <c r="I425" i="1"/>
  <c r="D425" i="1"/>
  <c r="C425" i="1"/>
  <c r="J424" i="1"/>
  <c r="I424" i="1"/>
  <c r="D424" i="1"/>
  <c r="C424" i="1"/>
  <c r="J423" i="1"/>
  <c r="I423" i="1"/>
  <c r="D423" i="1"/>
  <c r="C423" i="1"/>
  <c r="J422" i="1"/>
  <c r="I422" i="1"/>
  <c r="D422" i="1"/>
  <c r="C422" i="1"/>
  <c r="J421" i="1"/>
  <c r="I421" i="1"/>
  <c r="D421" i="1"/>
  <c r="C421" i="1"/>
  <c r="J420" i="1"/>
  <c r="I420" i="1"/>
  <c r="D420" i="1"/>
  <c r="C420" i="1"/>
  <c r="J419" i="1"/>
  <c r="I419" i="1"/>
  <c r="D419" i="1"/>
  <c r="C419" i="1"/>
  <c r="J418" i="1"/>
  <c r="I418" i="1"/>
  <c r="D418" i="1"/>
  <c r="C418" i="1"/>
  <c r="J417" i="1"/>
  <c r="I417" i="1"/>
  <c r="D417" i="1"/>
  <c r="C417" i="1"/>
  <c r="J416" i="1"/>
  <c r="I416" i="1"/>
  <c r="D416" i="1"/>
  <c r="C416" i="1"/>
  <c r="J415" i="1"/>
  <c r="I415" i="1"/>
  <c r="D415" i="1"/>
  <c r="C415" i="1"/>
  <c r="J414" i="1"/>
  <c r="I414" i="1"/>
  <c r="D414" i="1"/>
  <c r="C414" i="1"/>
  <c r="J413" i="1"/>
  <c r="I413" i="1"/>
  <c r="D413" i="1"/>
  <c r="C413" i="1"/>
  <c r="J412" i="1"/>
  <c r="I412" i="1"/>
  <c r="D412" i="1"/>
  <c r="C412" i="1"/>
  <c r="J411" i="1"/>
  <c r="I411" i="1"/>
  <c r="D411" i="1"/>
  <c r="C411" i="1"/>
  <c r="J410" i="1"/>
  <c r="I410" i="1"/>
  <c r="D410" i="1"/>
  <c r="C410" i="1"/>
  <c r="J409" i="1"/>
  <c r="I409" i="1"/>
  <c r="D409" i="1"/>
  <c r="C409" i="1"/>
  <c r="J408" i="1"/>
  <c r="I408" i="1"/>
  <c r="D408" i="1"/>
  <c r="C408" i="1"/>
  <c r="J407" i="1"/>
  <c r="I407" i="1"/>
  <c r="D407" i="1"/>
  <c r="C407" i="1"/>
  <c r="J406" i="1"/>
  <c r="I406" i="1"/>
  <c r="D406" i="1"/>
  <c r="C406" i="1"/>
  <c r="J405" i="1"/>
  <c r="I405" i="1"/>
  <c r="D405" i="1"/>
  <c r="C405" i="1"/>
  <c r="J404" i="1"/>
  <c r="I404" i="1"/>
  <c r="D404" i="1"/>
  <c r="C404" i="1"/>
  <c r="J403" i="1"/>
  <c r="I403" i="1"/>
  <c r="D403" i="1"/>
  <c r="C403" i="1"/>
  <c r="J402" i="1"/>
  <c r="I402" i="1"/>
  <c r="D402" i="1"/>
  <c r="C402" i="1"/>
  <c r="J401" i="1"/>
  <c r="I401" i="1"/>
  <c r="D401" i="1"/>
  <c r="C401" i="1"/>
  <c r="J400" i="1"/>
  <c r="I400" i="1"/>
  <c r="D400" i="1"/>
  <c r="C400" i="1"/>
  <c r="J399" i="1"/>
  <c r="I399" i="1"/>
  <c r="D399" i="1"/>
  <c r="C399" i="1"/>
  <c r="J398" i="1"/>
  <c r="I398" i="1"/>
  <c r="D398" i="1"/>
  <c r="C398" i="1"/>
  <c r="J397" i="1"/>
  <c r="I397" i="1"/>
  <c r="D397" i="1"/>
  <c r="C397" i="1"/>
  <c r="J396" i="1"/>
  <c r="I396" i="1"/>
  <c r="D396" i="1"/>
  <c r="C396" i="1"/>
  <c r="J395" i="1"/>
  <c r="I395" i="1"/>
  <c r="D395" i="1"/>
  <c r="C395" i="1"/>
  <c r="J394" i="1"/>
  <c r="I394" i="1"/>
  <c r="D394" i="1"/>
  <c r="C394" i="1"/>
  <c r="J393" i="1"/>
  <c r="I393" i="1"/>
  <c r="D393" i="1"/>
  <c r="C393" i="1"/>
  <c r="J392" i="1"/>
  <c r="I392" i="1"/>
  <c r="D392" i="1"/>
  <c r="C392" i="1"/>
  <c r="J391" i="1"/>
  <c r="I391" i="1"/>
  <c r="D391" i="1"/>
  <c r="C391" i="1"/>
  <c r="J390" i="1"/>
  <c r="I390" i="1"/>
  <c r="D390" i="1"/>
  <c r="C390" i="1"/>
  <c r="J389" i="1"/>
  <c r="I389" i="1"/>
  <c r="D389" i="1"/>
  <c r="C389" i="1"/>
  <c r="J388" i="1"/>
  <c r="I388" i="1"/>
  <c r="D388" i="1"/>
  <c r="C388" i="1"/>
  <c r="J387" i="1"/>
  <c r="I387" i="1"/>
  <c r="D387" i="1"/>
  <c r="C387" i="1"/>
  <c r="J386" i="1"/>
  <c r="I386" i="1"/>
  <c r="D386" i="1"/>
  <c r="C386" i="1"/>
  <c r="J385" i="1"/>
  <c r="I385" i="1"/>
  <c r="D385" i="1"/>
  <c r="C385" i="1"/>
  <c r="J384" i="1"/>
  <c r="I384" i="1"/>
  <c r="D384" i="1"/>
  <c r="C384" i="1"/>
  <c r="J383" i="1"/>
  <c r="I383" i="1"/>
  <c r="D383" i="1"/>
  <c r="C383" i="1"/>
  <c r="J382" i="1"/>
  <c r="I382" i="1"/>
  <c r="D382" i="1"/>
  <c r="C382" i="1"/>
  <c r="J381" i="1"/>
  <c r="I381" i="1"/>
  <c r="D381" i="1"/>
  <c r="C381" i="1"/>
  <c r="J380" i="1"/>
  <c r="I380" i="1"/>
  <c r="D380" i="1"/>
  <c r="C380" i="1"/>
  <c r="J379" i="1"/>
  <c r="I379" i="1"/>
  <c r="D379" i="1"/>
  <c r="C379" i="1"/>
  <c r="J378" i="1"/>
  <c r="I378" i="1"/>
  <c r="D378" i="1"/>
  <c r="C378" i="1"/>
  <c r="J377" i="1"/>
  <c r="I377" i="1"/>
  <c r="D377" i="1"/>
  <c r="C377" i="1"/>
  <c r="J376" i="1"/>
  <c r="I376" i="1"/>
  <c r="D376" i="1"/>
  <c r="C376" i="1"/>
  <c r="J375" i="1"/>
  <c r="I375" i="1"/>
  <c r="D375" i="1"/>
  <c r="C375" i="1"/>
  <c r="J374" i="1"/>
  <c r="I374" i="1"/>
  <c r="D374" i="1"/>
  <c r="C374" i="1"/>
  <c r="J373" i="1"/>
  <c r="I373" i="1"/>
  <c r="D373" i="1"/>
  <c r="C373" i="1"/>
  <c r="J372" i="1"/>
  <c r="I372" i="1"/>
  <c r="D372" i="1"/>
  <c r="C372" i="1"/>
  <c r="J371" i="1"/>
  <c r="I371" i="1"/>
  <c r="D371" i="1"/>
  <c r="C371" i="1"/>
  <c r="J370" i="1"/>
  <c r="I370" i="1"/>
  <c r="D370" i="1"/>
  <c r="C370" i="1"/>
  <c r="J369" i="1"/>
  <c r="I369" i="1"/>
  <c r="D369" i="1"/>
  <c r="C369" i="1"/>
  <c r="J368" i="1"/>
  <c r="I368" i="1"/>
  <c r="D368" i="1"/>
  <c r="C368" i="1"/>
  <c r="J367" i="1"/>
  <c r="I367" i="1"/>
  <c r="D367" i="1"/>
  <c r="C367" i="1"/>
  <c r="J366" i="1"/>
  <c r="I366" i="1"/>
  <c r="D366" i="1"/>
  <c r="C366" i="1"/>
  <c r="J365" i="1"/>
  <c r="I365" i="1"/>
  <c r="D365" i="1"/>
  <c r="C365" i="1"/>
  <c r="J364" i="1"/>
  <c r="I364" i="1"/>
  <c r="D364" i="1"/>
  <c r="C364" i="1"/>
  <c r="J363" i="1"/>
  <c r="I363" i="1"/>
  <c r="D363" i="1"/>
  <c r="C363" i="1"/>
  <c r="J362" i="1"/>
  <c r="I362" i="1"/>
  <c r="D362" i="1"/>
  <c r="C362" i="1"/>
  <c r="J361" i="1"/>
  <c r="I361" i="1"/>
  <c r="D361" i="1"/>
  <c r="C361" i="1"/>
  <c r="J360" i="1"/>
  <c r="I360" i="1"/>
  <c r="D360" i="1"/>
  <c r="C360" i="1"/>
  <c r="J359" i="1"/>
  <c r="I359" i="1"/>
  <c r="D359" i="1"/>
  <c r="C359" i="1"/>
  <c r="J358" i="1"/>
  <c r="I358" i="1"/>
  <c r="D358" i="1"/>
  <c r="C358" i="1"/>
  <c r="J357" i="1"/>
  <c r="I357" i="1"/>
  <c r="D357" i="1"/>
  <c r="C357" i="1"/>
  <c r="J356" i="1"/>
  <c r="I356" i="1"/>
  <c r="D356" i="1"/>
  <c r="C356" i="1"/>
  <c r="J355" i="1"/>
  <c r="I355" i="1"/>
  <c r="D355" i="1"/>
  <c r="C355" i="1"/>
  <c r="J354" i="1"/>
  <c r="I354" i="1"/>
  <c r="D354" i="1"/>
  <c r="C354" i="1"/>
  <c r="J353" i="1"/>
  <c r="I353" i="1"/>
  <c r="D353" i="1"/>
  <c r="C353" i="1"/>
  <c r="J352" i="1"/>
  <c r="I352" i="1"/>
  <c r="D352" i="1"/>
  <c r="C352" i="1"/>
  <c r="J351" i="1"/>
  <c r="I351" i="1"/>
  <c r="D351" i="1"/>
  <c r="C351" i="1"/>
  <c r="J350" i="1"/>
  <c r="I350" i="1"/>
  <c r="D350" i="1"/>
  <c r="C350" i="1"/>
  <c r="J349" i="1"/>
  <c r="I349" i="1"/>
  <c r="D349" i="1"/>
  <c r="C349" i="1"/>
  <c r="J348" i="1"/>
  <c r="I348" i="1"/>
  <c r="D348" i="1"/>
  <c r="C348" i="1"/>
  <c r="J347" i="1"/>
  <c r="I347" i="1"/>
  <c r="D347" i="1"/>
  <c r="C347" i="1"/>
  <c r="J346" i="1"/>
  <c r="I346" i="1"/>
  <c r="D346" i="1"/>
  <c r="C346" i="1"/>
  <c r="J345" i="1"/>
  <c r="I345" i="1"/>
  <c r="D345" i="1"/>
  <c r="C345" i="1"/>
  <c r="J344" i="1"/>
  <c r="I344" i="1"/>
  <c r="D344" i="1"/>
  <c r="C344" i="1"/>
  <c r="J343" i="1"/>
  <c r="I343" i="1"/>
  <c r="D343" i="1"/>
  <c r="C343" i="1"/>
  <c r="J342" i="1"/>
  <c r="I342" i="1"/>
  <c r="D342" i="1"/>
  <c r="C342" i="1"/>
  <c r="J341" i="1"/>
  <c r="I341" i="1"/>
  <c r="D341" i="1"/>
  <c r="C341" i="1"/>
  <c r="J340" i="1"/>
  <c r="I340" i="1"/>
  <c r="D340" i="1"/>
  <c r="C340" i="1"/>
  <c r="J339" i="1"/>
  <c r="I339" i="1"/>
  <c r="D339" i="1"/>
  <c r="C339" i="1"/>
  <c r="J338" i="1"/>
  <c r="I338" i="1"/>
  <c r="D338" i="1"/>
  <c r="C338" i="1"/>
  <c r="J337" i="1"/>
  <c r="I337" i="1"/>
  <c r="D337" i="1"/>
  <c r="C337" i="1"/>
  <c r="J336" i="1"/>
  <c r="I336" i="1"/>
  <c r="D336" i="1"/>
  <c r="C336" i="1"/>
  <c r="J335" i="1"/>
  <c r="I335" i="1"/>
  <c r="D335" i="1"/>
  <c r="C335" i="1"/>
  <c r="J334" i="1"/>
  <c r="I334" i="1"/>
  <c r="D334" i="1"/>
  <c r="C334" i="1"/>
  <c r="J333" i="1"/>
  <c r="I333" i="1"/>
  <c r="D333" i="1"/>
  <c r="C333" i="1"/>
  <c r="J332" i="1"/>
  <c r="I332" i="1"/>
  <c r="D332" i="1"/>
  <c r="C332" i="1"/>
  <c r="J331" i="1"/>
  <c r="I331" i="1"/>
  <c r="D331" i="1"/>
  <c r="C331" i="1"/>
  <c r="J330" i="1"/>
  <c r="I330" i="1"/>
  <c r="D330" i="1"/>
  <c r="C330" i="1"/>
  <c r="J329" i="1"/>
  <c r="I329" i="1"/>
  <c r="D329" i="1"/>
  <c r="C329" i="1"/>
  <c r="J328" i="1"/>
  <c r="I328" i="1"/>
  <c r="D328" i="1"/>
  <c r="C328" i="1"/>
  <c r="J327" i="1"/>
  <c r="I327" i="1"/>
  <c r="D327" i="1"/>
  <c r="C327" i="1"/>
  <c r="J326" i="1"/>
  <c r="I326" i="1"/>
  <c r="D326" i="1"/>
  <c r="C326" i="1"/>
  <c r="J325" i="1"/>
  <c r="I325" i="1"/>
  <c r="D325" i="1"/>
  <c r="C325" i="1"/>
  <c r="J324" i="1"/>
  <c r="I324" i="1"/>
  <c r="D324" i="1"/>
  <c r="C324" i="1"/>
  <c r="J323" i="1"/>
  <c r="I323" i="1"/>
  <c r="D323" i="1"/>
  <c r="C323" i="1"/>
  <c r="J322" i="1"/>
  <c r="I322" i="1"/>
  <c r="D322" i="1"/>
  <c r="C322" i="1"/>
  <c r="J321" i="1"/>
  <c r="I321" i="1"/>
  <c r="D321" i="1"/>
  <c r="C321" i="1"/>
  <c r="J320" i="1"/>
  <c r="I320" i="1"/>
  <c r="D320" i="1"/>
  <c r="C320" i="1"/>
  <c r="J319" i="1"/>
  <c r="I319" i="1"/>
  <c r="D319" i="1"/>
  <c r="C319" i="1"/>
  <c r="J318" i="1"/>
  <c r="I318" i="1"/>
  <c r="D318" i="1"/>
  <c r="C318" i="1"/>
  <c r="J317" i="1"/>
  <c r="I317" i="1"/>
  <c r="D317" i="1"/>
  <c r="C317" i="1"/>
  <c r="J316" i="1"/>
  <c r="I316" i="1"/>
  <c r="D316" i="1"/>
  <c r="C316" i="1"/>
  <c r="J315" i="1"/>
  <c r="I315" i="1"/>
  <c r="D315" i="1"/>
  <c r="C315" i="1"/>
  <c r="J314" i="1"/>
  <c r="I314" i="1"/>
  <c r="D314" i="1"/>
  <c r="C314" i="1"/>
  <c r="J313" i="1"/>
  <c r="I313" i="1"/>
  <c r="D313" i="1"/>
  <c r="C313" i="1"/>
  <c r="J312" i="1"/>
  <c r="I312" i="1"/>
  <c r="D312" i="1"/>
  <c r="C312" i="1"/>
  <c r="J311" i="1"/>
  <c r="I311" i="1"/>
  <c r="D311" i="1"/>
  <c r="C311" i="1"/>
  <c r="J310" i="1"/>
  <c r="I310" i="1"/>
  <c r="D310" i="1"/>
  <c r="C310" i="1"/>
  <c r="J309" i="1"/>
  <c r="I309" i="1"/>
  <c r="D309" i="1"/>
  <c r="C309" i="1"/>
  <c r="J308" i="1"/>
  <c r="I308" i="1"/>
  <c r="D308" i="1"/>
  <c r="C308" i="1"/>
  <c r="J307" i="1"/>
  <c r="I307" i="1"/>
  <c r="D307" i="1"/>
  <c r="C307" i="1"/>
  <c r="J306" i="1"/>
  <c r="I306" i="1"/>
  <c r="D306" i="1"/>
  <c r="C306" i="1"/>
  <c r="J305" i="1"/>
  <c r="I305" i="1"/>
  <c r="D305" i="1"/>
  <c r="C305" i="1"/>
  <c r="J304" i="1"/>
  <c r="I304" i="1"/>
  <c r="D304" i="1"/>
  <c r="C304" i="1"/>
  <c r="J303" i="1"/>
  <c r="I303" i="1"/>
  <c r="D303" i="1"/>
  <c r="C303" i="1"/>
  <c r="J302" i="1"/>
  <c r="I302" i="1"/>
  <c r="D302" i="1"/>
  <c r="C302" i="1"/>
  <c r="J301" i="1"/>
  <c r="I301" i="1"/>
  <c r="D301" i="1"/>
  <c r="C301" i="1"/>
  <c r="J300" i="1"/>
  <c r="I300" i="1"/>
  <c r="D300" i="1"/>
  <c r="C300" i="1"/>
  <c r="J299" i="1"/>
  <c r="I299" i="1"/>
  <c r="D299" i="1"/>
  <c r="C299" i="1"/>
  <c r="J298" i="1"/>
  <c r="I298" i="1"/>
  <c r="D298" i="1"/>
  <c r="C298" i="1"/>
  <c r="J297" i="1"/>
  <c r="I297" i="1"/>
  <c r="D297" i="1"/>
  <c r="C297" i="1"/>
  <c r="J296" i="1"/>
  <c r="I296" i="1"/>
  <c r="D296" i="1"/>
  <c r="C296" i="1"/>
  <c r="J295" i="1"/>
  <c r="I295" i="1"/>
  <c r="D295" i="1"/>
  <c r="C295" i="1"/>
  <c r="J294" i="1"/>
  <c r="I294" i="1"/>
  <c r="D294" i="1"/>
  <c r="C294" i="1"/>
  <c r="J293" i="1"/>
  <c r="I293" i="1"/>
  <c r="D293" i="1"/>
  <c r="C293" i="1"/>
  <c r="J292" i="1"/>
  <c r="I292" i="1"/>
  <c r="D292" i="1"/>
  <c r="C292" i="1"/>
  <c r="J291" i="1"/>
  <c r="I291" i="1"/>
  <c r="D291" i="1"/>
  <c r="C291" i="1"/>
  <c r="J290" i="1"/>
  <c r="I290" i="1"/>
  <c r="D290" i="1"/>
  <c r="C290" i="1"/>
  <c r="J289" i="1"/>
  <c r="I289" i="1"/>
  <c r="D289" i="1"/>
  <c r="C289" i="1"/>
  <c r="J288" i="1"/>
  <c r="I288" i="1"/>
  <c r="D288" i="1"/>
  <c r="C288" i="1"/>
  <c r="J287" i="1"/>
  <c r="I287" i="1"/>
  <c r="D287" i="1"/>
  <c r="C287" i="1"/>
  <c r="J286" i="1"/>
  <c r="I286" i="1"/>
  <c r="D286" i="1"/>
  <c r="C286" i="1"/>
  <c r="J285" i="1"/>
  <c r="I285" i="1"/>
  <c r="D285" i="1"/>
  <c r="C285" i="1"/>
  <c r="J284" i="1"/>
  <c r="I284" i="1"/>
  <c r="D284" i="1"/>
  <c r="C284" i="1"/>
  <c r="J283" i="1"/>
  <c r="I283" i="1"/>
  <c r="D283" i="1"/>
  <c r="C283" i="1"/>
  <c r="J282" i="1"/>
  <c r="I282" i="1"/>
  <c r="D282" i="1"/>
  <c r="C282" i="1"/>
  <c r="J281" i="1"/>
  <c r="I281" i="1"/>
  <c r="D281" i="1"/>
  <c r="C281" i="1"/>
  <c r="J280" i="1"/>
  <c r="I280" i="1"/>
  <c r="D280" i="1"/>
  <c r="C280" i="1"/>
  <c r="J279" i="1"/>
  <c r="I279" i="1"/>
  <c r="D279" i="1"/>
  <c r="C279" i="1"/>
  <c r="J278" i="1"/>
  <c r="I278" i="1"/>
  <c r="D278" i="1"/>
  <c r="C278" i="1"/>
  <c r="J277" i="1"/>
  <c r="I277" i="1"/>
  <c r="D277" i="1"/>
  <c r="C277" i="1"/>
  <c r="J276" i="1"/>
  <c r="I276" i="1"/>
  <c r="D276" i="1"/>
  <c r="C276" i="1"/>
  <c r="J275" i="1"/>
  <c r="I275" i="1"/>
  <c r="D275" i="1"/>
  <c r="C275" i="1"/>
  <c r="J274" i="1"/>
  <c r="I274" i="1"/>
  <c r="D274" i="1"/>
  <c r="C274" i="1"/>
  <c r="J273" i="1"/>
  <c r="I273" i="1"/>
  <c r="D273" i="1"/>
  <c r="C273" i="1"/>
  <c r="J272" i="1"/>
  <c r="I272" i="1"/>
  <c r="D272" i="1"/>
  <c r="C272" i="1"/>
  <c r="J271" i="1"/>
  <c r="I271" i="1"/>
  <c r="D271" i="1"/>
  <c r="C271" i="1"/>
  <c r="J270" i="1"/>
  <c r="I270" i="1"/>
  <c r="D270" i="1"/>
  <c r="C270" i="1"/>
  <c r="J269" i="1"/>
  <c r="I269" i="1"/>
  <c r="D269" i="1"/>
  <c r="C269" i="1"/>
  <c r="J268" i="1"/>
  <c r="I268" i="1"/>
  <c r="D268" i="1"/>
  <c r="C268" i="1"/>
  <c r="J267" i="1"/>
  <c r="I267" i="1"/>
  <c r="D267" i="1"/>
  <c r="C267" i="1"/>
  <c r="J266" i="1"/>
  <c r="I266" i="1"/>
  <c r="D266" i="1"/>
  <c r="C266" i="1"/>
  <c r="J265" i="1"/>
  <c r="I265" i="1"/>
  <c r="D265" i="1"/>
  <c r="C265" i="1"/>
  <c r="J264" i="1"/>
  <c r="I264" i="1"/>
  <c r="D264" i="1"/>
  <c r="C264" i="1"/>
  <c r="J263" i="1"/>
  <c r="I263" i="1"/>
  <c r="D263" i="1"/>
  <c r="C263" i="1"/>
  <c r="J262" i="1"/>
  <c r="I262" i="1"/>
  <c r="D262" i="1"/>
  <c r="C262" i="1"/>
  <c r="J261" i="1"/>
  <c r="I261" i="1"/>
  <c r="D261" i="1"/>
  <c r="C261" i="1"/>
  <c r="J260" i="1"/>
  <c r="I260" i="1"/>
  <c r="D260" i="1"/>
  <c r="C260" i="1"/>
  <c r="J259" i="1"/>
  <c r="I259" i="1"/>
  <c r="D259" i="1"/>
  <c r="C259" i="1"/>
  <c r="J258" i="1"/>
  <c r="I258" i="1"/>
  <c r="D258" i="1"/>
  <c r="C258" i="1"/>
  <c r="J257" i="1"/>
  <c r="I257" i="1"/>
  <c r="D257" i="1"/>
  <c r="C257" i="1"/>
  <c r="J256" i="1"/>
  <c r="I256" i="1"/>
  <c r="D256" i="1"/>
  <c r="C256" i="1"/>
  <c r="J255" i="1"/>
  <c r="I255" i="1"/>
  <c r="D255" i="1"/>
  <c r="C255" i="1"/>
  <c r="J254" i="1"/>
  <c r="I254" i="1"/>
  <c r="D254" i="1"/>
  <c r="C254" i="1"/>
  <c r="J253" i="1"/>
  <c r="I253" i="1"/>
  <c r="D253" i="1"/>
  <c r="C253" i="1"/>
  <c r="J252" i="1"/>
  <c r="I252" i="1"/>
  <c r="D252" i="1"/>
  <c r="C252" i="1"/>
  <c r="J251" i="1"/>
  <c r="I251" i="1"/>
  <c r="D251" i="1"/>
  <c r="C251" i="1"/>
  <c r="J250" i="1"/>
  <c r="I250" i="1"/>
  <c r="D250" i="1"/>
  <c r="C250" i="1"/>
  <c r="J249" i="1"/>
  <c r="I249" i="1"/>
  <c r="D249" i="1"/>
  <c r="C249" i="1"/>
  <c r="J248" i="1"/>
  <c r="I248" i="1"/>
  <c r="D248" i="1"/>
  <c r="C248" i="1"/>
  <c r="J247" i="1"/>
  <c r="I247" i="1"/>
  <c r="D247" i="1"/>
  <c r="C247" i="1"/>
  <c r="J246" i="1"/>
  <c r="I246" i="1"/>
  <c r="D246" i="1"/>
  <c r="C246" i="1"/>
  <c r="J245" i="1"/>
  <c r="I245" i="1"/>
  <c r="D245" i="1"/>
  <c r="C245" i="1"/>
  <c r="J244" i="1"/>
  <c r="I244" i="1"/>
  <c r="D244" i="1"/>
  <c r="C244" i="1"/>
  <c r="J243" i="1"/>
  <c r="I243" i="1"/>
  <c r="D243" i="1"/>
  <c r="C243" i="1"/>
  <c r="J242" i="1"/>
  <c r="I242" i="1"/>
  <c r="D242" i="1"/>
  <c r="C242" i="1"/>
  <c r="J241" i="1"/>
  <c r="I241" i="1"/>
  <c r="D241" i="1"/>
  <c r="C241" i="1"/>
  <c r="J240" i="1"/>
  <c r="I240" i="1"/>
  <c r="D240" i="1"/>
  <c r="C240" i="1"/>
  <c r="J239" i="1"/>
  <c r="I239" i="1"/>
  <c r="D239" i="1"/>
  <c r="C239" i="1"/>
  <c r="J238" i="1"/>
  <c r="I238" i="1"/>
  <c r="D238" i="1"/>
  <c r="C238" i="1"/>
  <c r="J237" i="1"/>
  <c r="I237" i="1"/>
  <c r="D237" i="1"/>
  <c r="C237" i="1"/>
  <c r="J236" i="1"/>
  <c r="I236" i="1"/>
  <c r="D236" i="1"/>
  <c r="C236" i="1"/>
  <c r="J235" i="1"/>
  <c r="I235" i="1"/>
  <c r="D235" i="1"/>
  <c r="C235" i="1"/>
  <c r="J234" i="1"/>
  <c r="I234" i="1"/>
  <c r="D234" i="1"/>
  <c r="C234" i="1"/>
  <c r="J233" i="1"/>
  <c r="I233" i="1"/>
  <c r="D233" i="1"/>
  <c r="C233" i="1"/>
  <c r="J232" i="1"/>
  <c r="I232" i="1"/>
  <c r="D232" i="1"/>
  <c r="C232" i="1"/>
  <c r="J231" i="1"/>
  <c r="I231" i="1"/>
  <c r="D231" i="1"/>
  <c r="C231" i="1"/>
  <c r="J230" i="1"/>
  <c r="I230" i="1"/>
  <c r="D230" i="1"/>
  <c r="C230" i="1"/>
  <c r="J229" i="1"/>
  <c r="I229" i="1"/>
  <c r="D229" i="1"/>
  <c r="C229" i="1"/>
  <c r="J228" i="1"/>
  <c r="I228" i="1"/>
  <c r="D228" i="1"/>
  <c r="C228" i="1"/>
  <c r="J227" i="1"/>
  <c r="I227" i="1"/>
  <c r="C227" i="1"/>
  <c r="D227" i="1" s="1"/>
  <c r="J226" i="1"/>
  <c r="I226" i="1"/>
  <c r="D226" i="1"/>
  <c r="C226" i="1"/>
  <c r="J225" i="1"/>
  <c r="I225" i="1"/>
  <c r="D225" i="1"/>
  <c r="C225" i="1"/>
  <c r="J224" i="1"/>
  <c r="I224" i="1"/>
  <c r="D224" i="1"/>
  <c r="C224" i="1"/>
  <c r="J223" i="1"/>
  <c r="I223" i="1"/>
  <c r="D223" i="1"/>
  <c r="C223" i="1"/>
  <c r="J222" i="1"/>
  <c r="I222" i="1"/>
  <c r="D222" i="1"/>
  <c r="C222" i="1"/>
  <c r="J221" i="1"/>
  <c r="I221" i="1"/>
  <c r="D221" i="1"/>
  <c r="C221" i="1"/>
  <c r="J220" i="1"/>
  <c r="I220" i="1"/>
  <c r="D220" i="1"/>
  <c r="C220" i="1"/>
  <c r="J219" i="1"/>
  <c r="I219" i="1"/>
  <c r="D219" i="1"/>
  <c r="C219" i="1"/>
  <c r="J218" i="1"/>
  <c r="I218" i="1"/>
  <c r="D218" i="1"/>
  <c r="C218" i="1"/>
  <c r="J217" i="1"/>
  <c r="I217" i="1"/>
  <c r="D217" i="1"/>
  <c r="C217" i="1"/>
  <c r="J216" i="1"/>
  <c r="I216" i="1"/>
  <c r="D216" i="1"/>
  <c r="C216" i="1"/>
  <c r="J215" i="1"/>
  <c r="I215" i="1"/>
  <c r="D215" i="1"/>
  <c r="C215" i="1"/>
  <c r="J214" i="1"/>
  <c r="I214" i="1"/>
  <c r="D214" i="1"/>
  <c r="C214" i="1"/>
  <c r="J213" i="1"/>
  <c r="I213" i="1"/>
  <c r="D213" i="1"/>
  <c r="C213" i="1"/>
  <c r="J212" i="1"/>
  <c r="I212" i="1"/>
  <c r="D212" i="1"/>
  <c r="C212" i="1"/>
  <c r="J211" i="1"/>
  <c r="I211" i="1"/>
  <c r="D211" i="1"/>
  <c r="C211" i="1"/>
  <c r="J210" i="1"/>
  <c r="I210" i="1"/>
  <c r="D210" i="1"/>
  <c r="C210" i="1"/>
  <c r="J209" i="1"/>
  <c r="I209" i="1"/>
  <c r="D209" i="1"/>
  <c r="C209" i="1"/>
  <c r="J208" i="1"/>
  <c r="I208" i="1"/>
  <c r="D208" i="1"/>
  <c r="C208" i="1"/>
  <c r="J207" i="1"/>
  <c r="I207" i="1"/>
  <c r="D207" i="1"/>
  <c r="C207" i="1"/>
  <c r="J206" i="1"/>
  <c r="I206" i="1"/>
  <c r="D206" i="1"/>
  <c r="C206" i="1"/>
  <c r="J205" i="1"/>
  <c r="I205" i="1"/>
  <c r="D205" i="1"/>
  <c r="C205" i="1"/>
  <c r="J204" i="1"/>
  <c r="I204" i="1"/>
  <c r="D204" i="1"/>
  <c r="C204" i="1"/>
  <c r="J203" i="1"/>
  <c r="I203" i="1"/>
  <c r="D203" i="1"/>
  <c r="C203" i="1"/>
  <c r="J202" i="1"/>
  <c r="I202" i="1"/>
  <c r="D202" i="1"/>
  <c r="C202" i="1"/>
  <c r="J201" i="1"/>
  <c r="I201" i="1"/>
  <c r="D201" i="1"/>
  <c r="C201" i="1"/>
  <c r="J200" i="1"/>
  <c r="I200" i="1"/>
  <c r="D200" i="1"/>
  <c r="C200" i="1"/>
  <c r="J199" i="1"/>
  <c r="I199" i="1"/>
  <c r="D199" i="1"/>
  <c r="C199" i="1"/>
  <c r="J198" i="1"/>
  <c r="I198" i="1"/>
  <c r="D198" i="1"/>
  <c r="C198" i="1"/>
  <c r="J197" i="1"/>
  <c r="I197" i="1"/>
  <c r="D197" i="1"/>
  <c r="C197" i="1"/>
  <c r="J196" i="1"/>
  <c r="I196" i="1"/>
  <c r="D196" i="1"/>
  <c r="C196" i="1"/>
  <c r="J195" i="1"/>
  <c r="I195" i="1"/>
  <c r="D195" i="1"/>
  <c r="C195" i="1"/>
  <c r="J194" i="1"/>
  <c r="I194" i="1"/>
  <c r="D194" i="1"/>
  <c r="C194" i="1"/>
  <c r="J193" i="1"/>
  <c r="I193" i="1"/>
  <c r="D193" i="1"/>
  <c r="C193" i="1"/>
  <c r="J192" i="1"/>
  <c r="I192" i="1"/>
  <c r="D192" i="1"/>
  <c r="C192" i="1"/>
  <c r="J191" i="1"/>
  <c r="I191" i="1"/>
  <c r="D191" i="1"/>
  <c r="C191" i="1"/>
  <c r="J190" i="1"/>
  <c r="I190" i="1"/>
  <c r="D190" i="1"/>
  <c r="C190" i="1"/>
  <c r="J189" i="1"/>
  <c r="I189" i="1"/>
  <c r="D189" i="1"/>
  <c r="C189" i="1"/>
  <c r="J188" i="1"/>
  <c r="I188" i="1"/>
  <c r="D188" i="1"/>
  <c r="C188" i="1"/>
  <c r="J187" i="1"/>
  <c r="I187" i="1"/>
  <c r="D187" i="1"/>
  <c r="C187" i="1"/>
  <c r="J186" i="1"/>
  <c r="I186" i="1"/>
  <c r="D186" i="1"/>
  <c r="C186" i="1"/>
  <c r="J185" i="1"/>
  <c r="I185" i="1"/>
  <c r="D185" i="1"/>
  <c r="C185" i="1"/>
  <c r="J184" i="1"/>
  <c r="I184" i="1"/>
  <c r="D184" i="1"/>
  <c r="C184" i="1"/>
  <c r="J183" i="1"/>
  <c r="I183" i="1"/>
  <c r="D183" i="1"/>
  <c r="C183" i="1"/>
  <c r="J182" i="1"/>
  <c r="I182" i="1"/>
  <c r="D182" i="1"/>
  <c r="C182" i="1"/>
  <c r="J181" i="1"/>
  <c r="I181" i="1"/>
  <c r="D181" i="1"/>
  <c r="C181" i="1"/>
  <c r="J180" i="1"/>
  <c r="I180" i="1"/>
  <c r="D180" i="1"/>
  <c r="C180" i="1"/>
  <c r="J179" i="1"/>
  <c r="I179" i="1"/>
  <c r="D179" i="1"/>
  <c r="C179" i="1"/>
  <c r="J178" i="1"/>
  <c r="I178" i="1"/>
  <c r="D178" i="1"/>
  <c r="C178" i="1"/>
  <c r="J177" i="1"/>
  <c r="I177" i="1"/>
  <c r="D177" i="1"/>
  <c r="C177" i="1"/>
  <c r="J176" i="1"/>
  <c r="I176" i="1"/>
  <c r="D176" i="1"/>
  <c r="C176" i="1"/>
  <c r="J175" i="1"/>
  <c r="I175" i="1"/>
  <c r="D175" i="1"/>
  <c r="C175" i="1"/>
  <c r="J174" i="1"/>
  <c r="I174" i="1"/>
  <c r="D174" i="1"/>
  <c r="C174" i="1"/>
  <c r="J173" i="1"/>
  <c r="I173" i="1"/>
  <c r="D173" i="1"/>
  <c r="C173" i="1"/>
  <c r="J172" i="1"/>
  <c r="I172" i="1"/>
  <c r="D172" i="1"/>
  <c r="C172" i="1"/>
  <c r="J171" i="1"/>
  <c r="I171" i="1"/>
  <c r="D171" i="1"/>
  <c r="C171" i="1"/>
  <c r="J170" i="1"/>
  <c r="I170" i="1"/>
  <c r="D170" i="1"/>
  <c r="C170" i="1"/>
  <c r="J169" i="1"/>
  <c r="I169" i="1"/>
  <c r="D169" i="1"/>
  <c r="C169" i="1"/>
  <c r="J168" i="1"/>
  <c r="I168" i="1"/>
  <c r="D168" i="1"/>
  <c r="C168" i="1"/>
  <c r="J167" i="1"/>
  <c r="I167" i="1"/>
  <c r="D167" i="1"/>
  <c r="C167" i="1"/>
  <c r="J166" i="1"/>
  <c r="I166" i="1"/>
  <c r="D166" i="1"/>
  <c r="C166" i="1"/>
  <c r="J165" i="1"/>
  <c r="I165" i="1"/>
  <c r="D165" i="1"/>
  <c r="C165" i="1"/>
  <c r="J164" i="1"/>
  <c r="I164" i="1"/>
  <c r="D164" i="1"/>
  <c r="C164" i="1"/>
  <c r="J163" i="1"/>
  <c r="I163" i="1"/>
  <c r="D163" i="1"/>
  <c r="C163" i="1"/>
  <c r="J162" i="1"/>
  <c r="I162" i="1"/>
  <c r="D162" i="1"/>
  <c r="C162" i="1"/>
  <c r="J161" i="1"/>
  <c r="I161" i="1"/>
  <c r="D161" i="1"/>
  <c r="C161" i="1"/>
  <c r="J160" i="1"/>
  <c r="I160" i="1"/>
  <c r="D160" i="1"/>
  <c r="C160" i="1"/>
  <c r="J159" i="1"/>
  <c r="I159" i="1"/>
  <c r="D159" i="1"/>
  <c r="C159" i="1"/>
  <c r="J158" i="1"/>
  <c r="I158" i="1"/>
  <c r="D158" i="1"/>
  <c r="C158" i="1"/>
  <c r="J157" i="1"/>
  <c r="I157" i="1"/>
  <c r="D157" i="1"/>
  <c r="C157" i="1"/>
  <c r="J156" i="1"/>
  <c r="I156" i="1"/>
  <c r="D156" i="1"/>
  <c r="C156" i="1"/>
  <c r="J155" i="1"/>
  <c r="I155" i="1"/>
  <c r="D155" i="1"/>
  <c r="C155" i="1"/>
  <c r="J154" i="1"/>
  <c r="I154" i="1"/>
  <c r="D154" i="1"/>
  <c r="C154" i="1"/>
  <c r="J153" i="1"/>
  <c r="I153" i="1"/>
  <c r="D153" i="1"/>
  <c r="C153" i="1"/>
  <c r="J152" i="1"/>
  <c r="I152" i="1"/>
  <c r="D152" i="1"/>
  <c r="C152" i="1"/>
  <c r="J151" i="1"/>
  <c r="I151" i="1"/>
  <c r="D151" i="1"/>
  <c r="C151" i="1"/>
  <c r="J150" i="1"/>
  <c r="I150" i="1"/>
  <c r="D150" i="1"/>
  <c r="C150" i="1"/>
  <c r="J149" i="1"/>
  <c r="I149" i="1"/>
  <c r="D149" i="1"/>
  <c r="C149" i="1"/>
  <c r="J148" i="1"/>
  <c r="I148" i="1"/>
  <c r="D148" i="1"/>
  <c r="C148" i="1"/>
  <c r="J147" i="1"/>
  <c r="I147" i="1"/>
  <c r="D147" i="1"/>
  <c r="C147" i="1"/>
  <c r="J146" i="1"/>
  <c r="I146" i="1"/>
  <c r="D146" i="1"/>
  <c r="C146" i="1"/>
  <c r="J145" i="1"/>
  <c r="I145" i="1"/>
  <c r="D145" i="1"/>
  <c r="C145" i="1"/>
  <c r="J144" i="1"/>
  <c r="I144" i="1"/>
  <c r="D144" i="1"/>
  <c r="C144" i="1"/>
  <c r="J143" i="1"/>
  <c r="I143" i="1"/>
  <c r="D143" i="1"/>
  <c r="C143" i="1"/>
  <c r="J142" i="1"/>
  <c r="I142" i="1"/>
  <c r="D142" i="1"/>
  <c r="C142" i="1"/>
  <c r="J141" i="1"/>
  <c r="I141" i="1"/>
  <c r="D141" i="1"/>
  <c r="C141" i="1"/>
  <c r="J140" i="1"/>
  <c r="I140" i="1"/>
  <c r="D140" i="1"/>
  <c r="C140" i="1"/>
  <c r="J139" i="1"/>
  <c r="I139" i="1"/>
  <c r="D139" i="1"/>
  <c r="C139" i="1"/>
  <c r="J138" i="1"/>
  <c r="I138" i="1"/>
  <c r="D138" i="1"/>
  <c r="C138" i="1"/>
  <c r="J137" i="1"/>
  <c r="I137" i="1"/>
  <c r="D137" i="1"/>
  <c r="C137" i="1"/>
  <c r="J136" i="1"/>
  <c r="I136" i="1"/>
  <c r="D136" i="1"/>
  <c r="C136" i="1"/>
  <c r="J135" i="1"/>
  <c r="I135" i="1"/>
  <c r="D135" i="1"/>
  <c r="C135" i="1"/>
  <c r="J134" i="1"/>
  <c r="I134" i="1"/>
  <c r="D134" i="1"/>
  <c r="C134" i="1"/>
  <c r="J133" i="1"/>
  <c r="I133" i="1"/>
  <c r="D133" i="1"/>
  <c r="C133" i="1"/>
  <c r="J132" i="1"/>
  <c r="I132" i="1"/>
  <c r="D132" i="1"/>
  <c r="C132" i="1"/>
  <c r="J131" i="1"/>
  <c r="I131" i="1"/>
  <c r="D131" i="1"/>
  <c r="C131" i="1"/>
  <c r="J130" i="1"/>
  <c r="I130" i="1"/>
  <c r="D130" i="1"/>
  <c r="C130" i="1"/>
  <c r="J129" i="1"/>
  <c r="I129" i="1"/>
  <c r="D129" i="1"/>
  <c r="C129" i="1"/>
  <c r="J128" i="1"/>
  <c r="I128" i="1"/>
  <c r="D128" i="1"/>
  <c r="C128" i="1"/>
  <c r="J127" i="1"/>
  <c r="I127" i="1"/>
  <c r="D127" i="1"/>
  <c r="C127" i="1"/>
  <c r="J126" i="1"/>
  <c r="I126" i="1"/>
  <c r="D126" i="1"/>
  <c r="C126" i="1"/>
  <c r="J125" i="1"/>
  <c r="I125" i="1"/>
  <c r="D125" i="1"/>
  <c r="C125" i="1"/>
  <c r="J124" i="1"/>
  <c r="I124" i="1"/>
  <c r="D124" i="1"/>
  <c r="C124" i="1"/>
  <c r="J123" i="1"/>
  <c r="I123" i="1"/>
  <c r="D123" i="1"/>
  <c r="C123" i="1"/>
  <c r="J122" i="1"/>
  <c r="I122" i="1"/>
  <c r="D122" i="1"/>
  <c r="C122" i="1"/>
  <c r="J121" i="1"/>
  <c r="I121" i="1"/>
  <c r="D121" i="1"/>
  <c r="C121" i="1"/>
  <c r="J120" i="1"/>
  <c r="I120" i="1"/>
  <c r="D120" i="1"/>
  <c r="C120" i="1"/>
  <c r="J119" i="1"/>
  <c r="I119" i="1"/>
  <c r="D119" i="1"/>
  <c r="C119" i="1"/>
  <c r="J118" i="1"/>
  <c r="I118" i="1"/>
  <c r="D118" i="1"/>
  <c r="C118" i="1"/>
  <c r="J117" i="1"/>
  <c r="I117" i="1"/>
  <c r="D117" i="1"/>
  <c r="C117" i="1"/>
  <c r="J116" i="1"/>
  <c r="I116" i="1"/>
  <c r="D116" i="1"/>
  <c r="C116" i="1"/>
  <c r="J115" i="1"/>
  <c r="I115" i="1"/>
  <c r="D115" i="1"/>
  <c r="C115" i="1"/>
  <c r="J114" i="1"/>
  <c r="I114" i="1"/>
  <c r="D114" i="1"/>
  <c r="C114" i="1"/>
  <c r="J113" i="1"/>
  <c r="I113" i="1"/>
  <c r="D113" i="1"/>
  <c r="C113" i="1"/>
  <c r="J112" i="1"/>
  <c r="I112" i="1"/>
  <c r="D112" i="1"/>
  <c r="C112" i="1"/>
  <c r="J111" i="1"/>
  <c r="I111" i="1"/>
  <c r="D111" i="1"/>
  <c r="C111" i="1"/>
  <c r="J110" i="1"/>
  <c r="I110" i="1"/>
  <c r="D110" i="1"/>
  <c r="C110" i="1"/>
  <c r="J109" i="1"/>
  <c r="I109" i="1"/>
  <c r="D109" i="1"/>
  <c r="C109" i="1"/>
  <c r="J108" i="1"/>
  <c r="I108" i="1"/>
  <c r="D108" i="1"/>
  <c r="C108" i="1"/>
  <c r="J107" i="1"/>
  <c r="I107" i="1"/>
  <c r="D107" i="1"/>
  <c r="C107" i="1"/>
  <c r="J106" i="1"/>
  <c r="I106" i="1"/>
  <c r="D106" i="1"/>
  <c r="C106" i="1"/>
  <c r="J105" i="1"/>
  <c r="I105" i="1"/>
  <c r="D105" i="1"/>
  <c r="C105" i="1"/>
  <c r="J104" i="1"/>
  <c r="I104" i="1"/>
  <c r="D104" i="1"/>
  <c r="C104" i="1"/>
  <c r="J103" i="1"/>
  <c r="I103" i="1"/>
  <c r="D103" i="1"/>
  <c r="C103" i="1"/>
  <c r="J102" i="1"/>
  <c r="I102" i="1"/>
  <c r="D102" i="1"/>
  <c r="C102" i="1"/>
  <c r="J101" i="1"/>
  <c r="I101" i="1"/>
  <c r="D101" i="1"/>
  <c r="C101" i="1"/>
  <c r="J100" i="1"/>
  <c r="I100" i="1"/>
  <c r="D100" i="1"/>
  <c r="C100" i="1"/>
  <c r="J99" i="1"/>
  <c r="I99" i="1"/>
  <c r="D99" i="1"/>
  <c r="C99" i="1"/>
  <c r="J98" i="1"/>
  <c r="I98" i="1"/>
  <c r="D98" i="1"/>
  <c r="C98" i="1"/>
  <c r="J97" i="1"/>
  <c r="I97" i="1"/>
  <c r="D97" i="1"/>
  <c r="C97" i="1"/>
  <c r="J96" i="1"/>
  <c r="I96" i="1"/>
  <c r="D96" i="1"/>
  <c r="C96" i="1"/>
  <c r="J95" i="1"/>
  <c r="I95" i="1"/>
  <c r="D95" i="1"/>
  <c r="C95" i="1"/>
  <c r="J94" i="1"/>
  <c r="I94" i="1"/>
  <c r="D94" i="1"/>
  <c r="C94" i="1"/>
  <c r="J93" i="1"/>
  <c r="I93" i="1"/>
  <c r="D93" i="1"/>
  <c r="C93" i="1"/>
  <c r="J92" i="1"/>
  <c r="I92" i="1"/>
  <c r="D92" i="1"/>
  <c r="C92" i="1"/>
  <c r="J91" i="1"/>
  <c r="I91" i="1"/>
  <c r="D91" i="1"/>
  <c r="C91" i="1"/>
  <c r="J90" i="1"/>
  <c r="I90" i="1"/>
  <c r="D90" i="1"/>
  <c r="C90" i="1"/>
  <c r="J89" i="1"/>
  <c r="I89" i="1"/>
  <c r="D89" i="1"/>
  <c r="C89" i="1"/>
  <c r="J88" i="1"/>
  <c r="I88" i="1"/>
  <c r="D88" i="1"/>
  <c r="C88" i="1"/>
  <c r="J87" i="1"/>
  <c r="I87" i="1"/>
  <c r="D87" i="1"/>
  <c r="C87" i="1"/>
  <c r="J86" i="1"/>
  <c r="I86" i="1"/>
  <c r="D86" i="1"/>
  <c r="C86" i="1"/>
  <c r="J85" i="1"/>
  <c r="I85" i="1"/>
  <c r="D85" i="1"/>
  <c r="C85" i="1"/>
  <c r="J84" i="1"/>
  <c r="I84" i="1"/>
  <c r="D84" i="1"/>
  <c r="C84" i="1"/>
  <c r="J83" i="1"/>
  <c r="I83" i="1"/>
  <c r="D83" i="1"/>
  <c r="C83" i="1"/>
  <c r="J82" i="1"/>
  <c r="I82" i="1"/>
  <c r="D82" i="1"/>
  <c r="C82" i="1"/>
  <c r="J81" i="1"/>
  <c r="I81" i="1"/>
  <c r="D81" i="1"/>
  <c r="C81" i="1"/>
  <c r="J80" i="1"/>
  <c r="I80" i="1"/>
  <c r="D80" i="1"/>
  <c r="C80" i="1"/>
  <c r="J79" i="1"/>
  <c r="I79" i="1"/>
  <c r="D79" i="1"/>
  <c r="C79" i="1"/>
  <c r="J78" i="1"/>
  <c r="I78" i="1"/>
  <c r="D78" i="1"/>
  <c r="C78" i="1"/>
  <c r="J77" i="1"/>
  <c r="I77" i="1"/>
  <c r="D77" i="1"/>
  <c r="C77" i="1"/>
  <c r="J76" i="1"/>
  <c r="I76" i="1"/>
  <c r="D76" i="1"/>
  <c r="C76" i="1"/>
  <c r="J75" i="1"/>
  <c r="I75" i="1"/>
  <c r="D75" i="1"/>
  <c r="C75" i="1"/>
  <c r="J74" i="1"/>
  <c r="I74" i="1"/>
  <c r="D74" i="1"/>
  <c r="C74" i="1"/>
  <c r="J73" i="1"/>
  <c r="I73" i="1"/>
  <c r="D73" i="1"/>
  <c r="C73" i="1"/>
  <c r="J72" i="1"/>
  <c r="I72" i="1"/>
  <c r="D72" i="1"/>
  <c r="C72" i="1"/>
  <c r="J71" i="1"/>
  <c r="I71" i="1"/>
  <c r="D71" i="1"/>
  <c r="C71" i="1"/>
  <c r="J70" i="1"/>
  <c r="I70" i="1"/>
  <c r="D70" i="1"/>
  <c r="C70" i="1"/>
  <c r="J69" i="1"/>
  <c r="I69" i="1"/>
  <c r="D69" i="1"/>
  <c r="C69" i="1"/>
  <c r="J68" i="1"/>
  <c r="I68" i="1"/>
  <c r="D68" i="1"/>
  <c r="C68" i="1"/>
  <c r="J67" i="1"/>
  <c r="I67" i="1"/>
  <c r="D67" i="1"/>
  <c r="C67" i="1"/>
  <c r="J66" i="1"/>
  <c r="I66" i="1"/>
  <c r="D66" i="1"/>
  <c r="C66" i="1"/>
  <c r="J65" i="1"/>
  <c r="I65" i="1"/>
  <c r="D65" i="1"/>
  <c r="C65" i="1"/>
  <c r="J64" i="1"/>
  <c r="I64" i="1"/>
  <c r="D64" i="1"/>
  <c r="C64" i="1"/>
  <c r="J63" i="1"/>
  <c r="I63" i="1"/>
  <c r="D63" i="1"/>
  <c r="C63" i="1"/>
  <c r="J62" i="1"/>
  <c r="I62" i="1"/>
  <c r="D62" i="1"/>
  <c r="C62" i="1"/>
  <c r="J61" i="1"/>
  <c r="I61" i="1"/>
  <c r="D61" i="1"/>
  <c r="C61" i="1"/>
  <c r="J60" i="1"/>
  <c r="I60" i="1"/>
  <c r="D60" i="1"/>
  <c r="C60" i="1"/>
  <c r="J59" i="1"/>
  <c r="I59" i="1"/>
  <c r="D59" i="1"/>
  <c r="C59" i="1"/>
  <c r="J58" i="1"/>
  <c r="I58" i="1"/>
  <c r="D58" i="1"/>
  <c r="C58" i="1"/>
  <c r="J57" i="1"/>
  <c r="I57" i="1"/>
  <c r="D57" i="1"/>
  <c r="C57" i="1"/>
  <c r="J56" i="1"/>
  <c r="I56" i="1"/>
  <c r="D56" i="1"/>
  <c r="C56" i="1"/>
  <c r="J55" i="1"/>
  <c r="I55" i="1"/>
  <c r="D55" i="1"/>
  <c r="C55" i="1"/>
  <c r="J54" i="1"/>
  <c r="I54" i="1"/>
  <c r="D54" i="1"/>
  <c r="C54" i="1"/>
  <c r="J53" i="1"/>
  <c r="I53" i="1"/>
  <c r="D53" i="1"/>
  <c r="C53" i="1"/>
  <c r="J52" i="1"/>
  <c r="I52" i="1"/>
  <c r="D52" i="1"/>
  <c r="C52" i="1"/>
  <c r="J51" i="1"/>
  <c r="I51" i="1"/>
  <c r="D51" i="1"/>
  <c r="C51" i="1"/>
  <c r="J50" i="1"/>
  <c r="I50" i="1"/>
  <c r="D50" i="1"/>
  <c r="C50" i="1"/>
  <c r="J49" i="1"/>
  <c r="I49" i="1"/>
  <c r="D49" i="1"/>
  <c r="C49" i="1"/>
  <c r="J48" i="1"/>
  <c r="I48" i="1"/>
  <c r="D48" i="1"/>
  <c r="C48" i="1"/>
  <c r="J47" i="1"/>
  <c r="I47" i="1"/>
  <c r="D47" i="1"/>
  <c r="C47" i="1"/>
  <c r="J46" i="1"/>
  <c r="I46" i="1"/>
  <c r="D46" i="1"/>
  <c r="C46" i="1"/>
  <c r="J45" i="1"/>
  <c r="I45" i="1"/>
  <c r="D45" i="1"/>
  <c r="C45" i="1"/>
  <c r="J44" i="1"/>
  <c r="I44" i="1"/>
  <c r="D44" i="1"/>
  <c r="C44" i="1"/>
  <c r="J43" i="1"/>
  <c r="I43" i="1"/>
  <c r="D43" i="1"/>
  <c r="C43" i="1"/>
  <c r="J42" i="1"/>
  <c r="I42" i="1"/>
  <c r="D42" i="1"/>
  <c r="C42" i="1"/>
  <c r="J41" i="1"/>
  <c r="I41" i="1"/>
  <c r="D41" i="1"/>
  <c r="C41" i="1"/>
  <c r="J40" i="1"/>
  <c r="I40" i="1"/>
  <c r="D40" i="1"/>
  <c r="C40" i="1"/>
  <c r="J39" i="1"/>
  <c r="I39" i="1"/>
  <c r="D39" i="1"/>
  <c r="C39" i="1"/>
  <c r="J38" i="1"/>
  <c r="I38" i="1"/>
  <c r="D38" i="1"/>
  <c r="C38" i="1"/>
  <c r="J37" i="1"/>
  <c r="I37" i="1"/>
  <c r="D37" i="1"/>
  <c r="C37" i="1"/>
  <c r="J36" i="1"/>
  <c r="I36" i="1"/>
  <c r="D36" i="1"/>
  <c r="C36" i="1"/>
  <c r="J35" i="1"/>
  <c r="I35" i="1"/>
  <c r="D35" i="1"/>
  <c r="C35" i="1"/>
  <c r="J34" i="1"/>
  <c r="I34" i="1"/>
  <c r="D34" i="1"/>
  <c r="C34" i="1"/>
  <c r="J33" i="1"/>
  <c r="I33" i="1"/>
  <c r="D33" i="1"/>
  <c r="C33" i="1"/>
  <c r="J32" i="1"/>
  <c r="I32" i="1"/>
  <c r="D32" i="1"/>
  <c r="C32" i="1"/>
  <c r="J31" i="1"/>
  <c r="I31" i="1"/>
  <c r="D31" i="1"/>
  <c r="C31" i="1"/>
  <c r="J30" i="1"/>
  <c r="I30" i="1"/>
  <c r="D30" i="1"/>
  <c r="C30" i="1"/>
  <c r="J29" i="1"/>
  <c r="I29" i="1"/>
  <c r="D29" i="1"/>
  <c r="C29" i="1"/>
  <c r="J28" i="1"/>
  <c r="I28" i="1"/>
  <c r="D28" i="1"/>
  <c r="C28" i="1"/>
  <c r="J27" i="1"/>
  <c r="I27" i="1"/>
  <c r="D27" i="1"/>
  <c r="C27" i="1"/>
  <c r="J26" i="1"/>
  <c r="I26" i="1"/>
  <c r="D26" i="1"/>
  <c r="C26" i="1"/>
  <c r="J25" i="1"/>
  <c r="I25" i="1"/>
  <c r="D25" i="1"/>
  <c r="C25" i="1"/>
  <c r="J24" i="1"/>
  <c r="I24" i="1"/>
  <c r="D24" i="1"/>
  <c r="C24" i="1"/>
  <c r="J23" i="1"/>
  <c r="I23" i="1"/>
  <c r="D23" i="1"/>
  <c r="C23" i="1"/>
  <c r="J22" i="1"/>
  <c r="I22" i="1"/>
  <c r="D22" i="1"/>
  <c r="C22" i="1"/>
  <c r="J21" i="1"/>
  <c r="I21" i="1"/>
  <c r="D21" i="1"/>
  <c r="C21" i="1"/>
  <c r="J20" i="1"/>
  <c r="I20" i="1"/>
  <c r="D20" i="1"/>
  <c r="C20" i="1"/>
  <c r="J19" i="1"/>
  <c r="I19" i="1"/>
  <c r="D19" i="1"/>
  <c r="C19" i="1"/>
  <c r="J18" i="1"/>
  <c r="I18" i="1"/>
  <c r="D18" i="1"/>
  <c r="C18" i="1"/>
  <c r="J17" i="1"/>
  <c r="I17" i="1"/>
  <c r="D17" i="1"/>
  <c r="C17" i="1"/>
  <c r="J16" i="1"/>
  <c r="I16" i="1"/>
  <c r="D16" i="1"/>
  <c r="C16" i="1"/>
  <c r="J15" i="1"/>
  <c r="I15" i="1"/>
  <c r="D15" i="1"/>
  <c r="C15" i="1"/>
  <c r="J14" i="1"/>
  <c r="I14" i="1"/>
  <c r="D14" i="1"/>
  <c r="C14" i="1"/>
  <c r="J13" i="1"/>
  <c r="I13" i="1"/>
  <c r="D13" i="1"/>
  <c r="C13" i="1"/>
  <c r="J12" i="1"/>
  <c r="I12" i="1"/>
  <c r="D12" i="1"/>
  <c r="C12" i="1"/>
  <c r="J11" i="1"/>
  <c r="I11" i="1"/>
  <c r="D11" i="1"/>
  <c r="C11" i="1"/>
  <c r="J10" i="1"/>
  <c r="I10" i="1"/>
  <c r="D10" i="1"/>
  <c r="C10" i="1"/>
  <c r="J9" i="1"/>
  <c r="I9" i="1"/>
  <c r="D9" i="1"/>
  <c r="C9" i="1"/>
  <c r="J8" i="1"/>
  <c r="I8" i="1"/>
  <c r="D8" i="1"/>
  <c r="C8" i="1"/>
  <c r="J7" i="1"/>
  <c r="I7" i="1"/>
  <c r="D7" i="1"/>
  <c r="C7" i="1"/>
  <c r="J6" i="1"/>
  <c r="I6" i="1"/>
  <c r="D6" i="1"/>
  <c r="C6" i="1"/>
  <c r="J5" i="1"/>
  <c r="I5" i="1"/>
  <c r="D5" i="1"/>
  <c r="C5" i="1"/>
  <c r="J4" i="1"/>
  <c r="I4" i="1"/>
  <c r="D4" i="1"/>
  <c r="C4" i="1"/>
  <c r="J3" i="1"/>
  <c r="I3" i="1"/>
  <c r="D3" i="1"/>
  <c r="C3" i="1"/>
  <c r="J2" i="1"/>
  <c r="I2" i="1"/>
  <c r="D2" i="1"/>
  <c r="C2" i="1"/>
  <c r="B52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<sst xmlns="http://schemas.openxmlformats.org/spreadsheetml/2006/main" count="1065" uniqueCount="637">
  <si>
    <t>Date</t>
  </si>
  <si>
    <t>Run Distance</t>
  </si>
  <si>
    <t>Time in Seconds</t>
  </si>
  <si>
    <t>Pace (in seconds)</t>
  </si>
  <si>
    <t>Elevation (in feet)</t>
  </si>
  <si>
    <t>Route</t>
  </si>
  <si>
    <t>Link:</t>
  </si>
  <si>
    <t>Streak #:</t>
  </si>
  <si>
    <t>Elevation (in ft) Per Mile</t>
  </si>
  <si>
    <t>Georgetown to Jefferson Memorial</t>
  </si>
  <si>
    <t>https://www.strava.com/activities/3848082495</t>
  </si>
  <si>
    <t>Rosslyn to DC</t>
  </si>
  <si>
    <t>https://www.strava.com/activities/3852990056</t>
  </si>
  <si>
    <t>Joggers &amp; Lagers 5 Mile Route</t>
  </si>
  <si>
    <t>https://www.strava.com/activities/3860614082</t>
  </si>
  <si>
    <t>Dudley's Summer Route</t>
  </si>
  <si>
    <t>https://www.strava.com/activities/3865545383</t>
  </si>
  <si>
    <t>Murphy's Summer Route</t>
  </si>
  <si>
    <t>https://www.strava.com/activities/3870690820</t>
  </si>
  <si>
    <t>New District Summer Route</t>
  </si>
  <si>
    <t>https://www.strava.com/activities/3875612244</t>
  </si>
  <si>
    <t>https://www.strava.com/activities/3880088257</t>
  </si>
  <si>
    <t>Rock Creek Park</t>
  </si>
  <si>
    <t>https://www.strava.com/activities/3882700631</t>
  </si>
  <si>
    <t>College Park Long Run</t>
  </si>
  <si>
    <t>https://www.strava.com/activities/3889118606</t>
  </si>
  <si>
    <t>https://www.strava.com/activities/3894844075</t>
  </si>
  <si>
    <t>Hains Point</t>
  </si>
  <si>
    <t>https://www.strava.com/activities/3899886795</t>
  </si>
  <si>
    <t>https://www.strava.com/activities/3904692920</t>
  </si>
  <si>
    <t>https://www.strava.com/activities/3909356895</t>
  </si>
  <si>
    <t>https://www.strava.com/activities/3913740869</t>
  </si>
  <si>
    <t>C &amp; O Canal</t>
  </si>
  <si>
    <t>https://www.strava.com/activities/3916444375</t>
  </si>
  <si>
    <t>Berwyn Heights Run</t>
  </si>
  <si>
    <t>https://www.strava.com/activities/3924273465</t>
  </si>
  <si>
    <t>https://www.strava.com/activities/3928452708</t>
  </si>
  <si>
    <t>https://www.strava.com/activities/3933455350</t>
  </si>
  <si>
    <t>https://www.strava.com/activities/3938211598</t>
  </si>
  <si>
    <t>https://www.strava.com/activities/3942945141</t>
  </si>
  <si>
    <t>https://www.strava.com/activities/3946989554</t>
  </si>
  <si>
    <t>Murphy's Long Run</t>
  </si>
  <si>
    <t>https://www.strava.com/activities/3949638142'</t>
  </si>
  <si>
    <t>National Mall Route (half)</t>
  </si>
  <si>
    <t>https://www.strava.com/activities/3954365523</t>
  </si>
  <si>
    <t>Joggers &amp; Lagers 6 Mile Route</t>
  </si>
  <si>
    <t>https://www.strava.com/activities/3961452711</t>
  </si>
  <si>
    <t>USPS Headquarters Loop</t>
  </si>
  <si>
    <t>https://www.strava.com/activities/3964602073</t>
  </si>
  <si>
    <t>https://www.strava.com/activities/3970823032</t>
  </si>
  <si>
    <t>https://www.strava.com/activities/3975311616</t>
  </si>
  <si>
    <t>https://www.strava.com/activities/3978727030</t>
  </si>
  <si>
    <t>https://www.strava.com/activities/3982683857</t>
  </si>
  <si>
    <t>Rosslyn to Georgetown</t>
  </si>
  <si>
    <t>https://www.strava.com/activities/3985992166</t>
  </si>
  <si>
    <t>https://www.strava.com/activities/3993598515</t>
  </si>
  <si>
    <t>https://www.strava.com/activities/3998456589</t>
  </si>
  <si>
    <t>https://www.strava.com/activities/4003305927</t>
  </si>
  <si>
    <t>https://www.strava.com/activities/4007865423</t>
  </si>
  <si>
    <t>https://www.strava.com/activities/4011162166</t>
  </si>
  <si>
    <t>https://www.strava.com/activities/4015193908</t>
  </si>
  <si>
    <t>https://www.strava.com/activities/4020152812</t>
  </si>
  <si>
    <t>https://www.strava.com/activities/4027692423</t>
  </si>
  <si>
    <t>https://www.strava.com/activities/4032352688</t>
  </si>
  <si>
    <t>https://www.strava.com/activities/4037134403</t>
  </si>
  <si>
    <t>https://www.strava.com/activities/4041678061</t>
  </si>
  <si>
    <t>DC to Pentagon City</t>
  </si>
  <si>
    <t>https://www.strava.com/activities/4045677900</t>
  </si>
  <si>
    <t>Mt. Vernon Trail</t>
  </si>
  <si>
    <t>https://www.strava.com/activities/4048444391</t>
  </si>
  <si>
    <t>Burke Lake</t>
  </si>
  <si>
    <t>https://www.strava.com/activities/4053666246</t>
  </si>
  <si>
    <t>https://www.strava.com/activities/4060716660</t>
  </si>
  <si>
    <t>https://www.strava.com/activities/4064157258</t>
  </si>
  <si>
    <t>https://www.strava.com/activities/4070785572</t>
  </si>
  <si>
    <t>https://www.strava.com/activities/4075309885</t>
  </si>
  <si>
    <t>Route 1</t>
  </si>
  <si>
    <t>https://www.strava.com/activities/4079672874</t>
  </si>
  <si>
    <t>Theodore Roosevelt Island</t>
  </si>
  <si>
    <t>https://www.strava.com/activities/4082066767</t>
  </si>
  <si>
    <t>https://www.strava.com/activities/4090396074</t>
  </si>
  <si>
    <t>https://www.strava.com/activities/4094293359</t>
  </si>
  <si>
    <t>https://www.strava.com/activities/4099186064</t>
  </si>
  <si>
    <t>https://www.strava.com/activities/4103867920</t>
  </si>
  <si>
    <t>https://www.strava.com/activities/4108172487</t>
  </si>
  <si>
    <t>https://www.strava.com/activities/4110873764</t>
  </si>
  <si>
    <t>https://www.strava.com/activities/4114368911</t>
  </si>
  <si>
    <t>https://www.strava.com/activities/4119311068</t>
  </si>
  <si>
    <t>https://www.strava.com/activities/4125612453</t>
  </si>
  <si>
    <t>https://www.strava.com/activities/4130374255</t>
  </si>
  <si>
    <t>Murphy's Winter Route</t>
  </si>
  <si>
    <t>https://www.strava.com/activities/4135018569</t>
  </si>
  <si>
    <t>https://www.strava.com/activities/4139249774</t>
  </si>
  <si>
    <t>https://www.strava.com/activities/4143119218</t>
  </si>
  <si>
    <t>https://www.strava.com/activities/4145249696</t>
  </si>
  <si>
    <t>Del Ray Long Run</t>
  </si>
  <si>
    <t>https://www.strava.com/activities/4150411346</t>
  </si>
  <si>
    <t>https://www.strava.com/activities/4156732637</t>
  </si>
  <si>
    <t>Wakefield High School Track</t>
  </si>
  <si>
    <t>https://www.strava.com/activities/4161090054</t>
  </si>
  <si>
    <t>https://www.strava.com/activities/4165576619</t>
  </si>
  <si>
    <t>New District Winter Route</t>
  </si>
  <si>
    <t>https://www.strava.com/activities/4169743559</t>
  </si>
  <si>
    <t>https://www.strava.com/activities/4172425653</t>
  </si>
  <si>
    <t>Mammoth Cave</t>
  </si>
  <si>
    <t>https://www.strava.com/activities/4178527136</t>
  </si>
  <si>
    <t>Cave City</t>
  </si>
  <si>
    <t>https://www.strava.com/activities/4183679740</t>
  </si>
  <si>
    <t>https://www.strava.com/activities/4187910645</t>
  </si>
  <si>
    <t>Dudley's Winter Route</t>
  </si>
  <si>
    <t>https://www.strava.com/activities/4191694829</t>
  </si>
  <si>
    <t>https://www.strava.com/activities/4196162537</t>
  </si>
  <si>
    <t>https://www.strava.com/activities/4200269274</t>
  </si>
  <si>
    <t>https://www.strava.com/activities/4203980957</t>
  </si>
  <si>
    <t>https://www.strava.com/activities/4206157544</t>
  </si>
  <si>
    <t>https://www.strava.com/activities/4211792372</t>
  </si>
  <si>
    <t>https://www.strava.com/activities/4217749250</t>
  </si>
  <si>
    <t>https://www.strava.com/activities/4222214550</t>
  </si>
  <si>
    <t>https://www.strava.com/activities/4226519733</t>
  </si>
  <si>
    <t>https://www.strava.com/activities/4230715181</t>
  </si>
  <si>
    <t>https://www.strava.com/activities/4234531100</t>
  </si>
  <si>
    <t>https://www.strava.com/activities/4236914263</t>
  </si>
  <si>
    <t>https://www.strava.com/activities/4244185963</t>
  </si>
  <si>
    <t>https://www.strava.com/activities/4247822874</t>
  </si>
  <si>
    <t>https://www.strava.com/activities/4252138181</t>
  </si>
  <si>
    <t>https://www.strava.com/activities/4255142862</t>
  </si>
  <si>
    <t>https://www.strava.com/activities/4260338717</t>
  </si>
  <si>
    <t>https://www.strava.com/activities/4262272045</t>
  </si>
  <si>
    <t>https://www.strava.com/activities/4268598858</t>
  </si>
  <si>
    <t>https://www.strava.com/activities/4273809044</t>
  </si>
  <si>
    <t>https://www.strava.com/activities/4278409016</t>
  </si>
  <si>
    <t>https://www.strava.com/activities/4282969123</t>
  </si>
  <si>
    <t>Murphy's National Harbor Route</t>
  </si>
  <si>
    <t>https://www.strava.com/activities/4287637149</t>
  </si>
  <si>
    <t>https://www.strava.com/activities/4292167702</t>
  </si>
  <si>
    <t>https://www.strava.com/activities/4299125751</t>
  </si>
  <si>
    <t>https://www.strava.com/activities/4302030178</t>
  </si>
  <si>
    <t>https://www.strava.com/activities/4308402052</t>
  </si>
  <si>
    <t>https://www.strava.com/activities/4315123661</t>
  </si>
  <si>
    <t>Great Smoky Mountains National Park</t>
  </si>
  <si>
    <t>https://www.strava.com/activities/4320472267</t>
  </si>
  <si>
    <t>Gatlinburg, TN</t>
  </si>
  <si>
    <t>https://www.strava.com/activities/4325380189</t>
  </si>
  <si>
    <t>https://www.strava.com/activities/4333859121</t>
  </si>
  <si>
    <t>https://www.strava.com/activities/4336406658</t>
  </si>
  <si>
    <t>https://www.strava.com/activities/4342942710</t>
  </si>
  <si>
    <t>https://www.strava.com/activities/4348412974</t>
  </si>
  <si>
    <t>https://www.strava.com/activities/4353418213</t>
  </si>
  <si>
    <t>https://www.strava.com/activities/4358244475</t>
  </si>
  <si>
    <t>Pacers Alexandria Winter Route</t>
  </si>
  <si>
    <t>https://www.strava.com/activities/4362528662</t>
  </si>
  <si>
    <t>https://www.strava.com/activities/4365743362</t>
  </si>
  <si>
    <t>Georgetown to National Mall</t>
  </si>
  <si>
    <t>https://www.strava.com/activities/4369446049</t>
  </si>
  <si>
    <t>https://www.strava.com/activities/4375929046</t>
  </si>
  <si>
    <t>https://www.strava.com/activities/4381959860</t>
  </si>
  <si>
    <t>https://www.strava.com/activities/4386645081</t>
  </si>
  <si>
    <t>https://www.strava.com/activities/4391311781</t>
  </si>
  <si>
    <t>Kingstowne Striders Panera Route</t>
  </si>
  <si>
    <t>https://www.strava.com/activities/4393344969</t>
  </si>
  <si>
    <t>College Park to Beltsville</t>
  </si>
  <si>
    <t>https://www.strava.com/activities/4399889653</t>
  </si>
  <si>
    <t>https://www.strava.com/activities/4402223660</t>
  </si>
  <si>
    <t>https://www.strava.com/activities/4407633383</t>
  </si>
  <si>
    <t>Joggers &amp; Lagers 4 Mile Route</t>
  </si>
  <si>
    <t>https://www.strava.com/activities/4413876315</t>
  </si>
  <si>
    <t>https://www.strava.com/activities/4418440681</t>
  </si>
  <si>
    <t>https://www.strava.com/activities/4422851086</t>
  </si>
  <si>
    <t>https://www.strava.com/activities/4426758310</t>
  </si>
  <si>
    <t>Old Town Alexandria</t>
  </si>
  <si>
    <t>https://www.strava.com/activities/4430342873</t>
  </si>
  <si>
    <t>https://www.strava.com/activities/4432858801</t>
  </si>
  <si>
    <t>Del Ray to DC Long Run</t>
  </si>
  <si>
    <t>https://www.strava.com/activities/4438185548</t>
  </si>
  <si>
    <t>https://www.strava.com/activities/4443890511</t>
  </si>
  <si>
    <t>https://www.strava.com/activities/4448274227</t>
  </si>
  <si>
    <t>https://www.strava.com/activities/4452527883</t>
  </si>
  <si>
    <t>https://www.strava.com/activities/4456512509</t>
  </si>
  <si>
    <t>https://www.strava.com/activities/4459578851</t>
  </si>
  <si>
    <t>https://www.strava.com/activities/4462520609</t>
  </si>
  <si>
    <t>https://www.strava.com/activities/4467900848</t>
  </si>
  <si>
    <t>https://www.strava.com/activities/4473261313</t>
  </si>
  <si>
    <t>https://www.strava.com/activities/4477439914</t>
  </si>
  <si>
    <t>https://www.strava.com/activities/4481477245</t>
  </si>
  <si>
    <t>https://www.strava.com/activities/4485294696</t>
  </si>
  <si>
    <t>https://www.strava.com/activities/4487910580</t>
  </si>
  <si>
    <t>Custis Trail</t>
  </si>
  <si>
    <t>https://www.strava.com/activities/4491171799</t>
  </si>
  <si>
    <t>Del Ray to Alexandria Long Run</t>
  </si>
  <si>
    <t>https://www.strava.com/activities/4496543753</t>
  </si>
  <si>
    <t>https://www.strava.com/activities/4502054124</t>
  </si>
  <si>
    <t>https://www.strava.com/activities/4506513439</t>
  </si>
  <si>
    <t>https://www.strava.com/activities/4510325091</t>
  </si>
  <si>
    <t>https://www.strava.com/activities/4513371888</t>
  </si>
  <si>
    <t>Donaldson Run</t>
  </si>
  <si>
    <t>https://www.strava.com/activities/4516351029</t>
  </si>
  <si>
    <t>https://www.strava.com/activities/4520036617</t>
  </si>
  <si>
    <t>https://www.strava.com/activities/4526500355</t>
  </si>
  <si>
    <t>Jeff Bezos Route</t>
  </si>
  <si>
    <t>https://www.strava.com/activities/4531916872</t>
  </si>
  <si>
    <t>https://www.strava.com/activities/4536827225</t>
  </si>
  <si>
    <t>https://www.strava.com/activities/4541897336</t>
  </si>
  <si>
    <t>https://www.strava.com/activities/4546241353</t>
  </si>
  <si>
    <t>https://www.strava.com/activities/4551924496</t>
  </si>
  <si>
    <t>Georgetown to Calvert Hill</t>
  </si>
  <si>
    <t>https://www.strava.com/activities/4554273054</t>
  </si>
  <si>
    <t>https://www.strava.com/activities/4561861704</t>
  </si>
  <si>
    <t>https://www.strava.com/activities/4568549090</t>
  </si>
  <si>
    <t>https://www.strava.com/activities/4573994170</t>
  </si>
  <si>
    <t>https://www.strava.com/activities/4579681372</t>
  </si>
  <si>
    <t>https://www.strava.com/activities/4584668867</t>
  </si>
  <si>
    <t>https://www.strava.com/activities/4587791726</t>
  </si>
  <si>
    <t>https://www.strava.com/activities/4592007904</t>
  </si>
  <si>
    <t>https://www.strava.com/activities/4599903983</t>
  </si>
  <si>
    <t>https://www.strava.com/activities/4606352534</t>
  </si>
  <si>
    <t>https://www.strava.com/activities/4611767804</t>
  </si>
  <si>
    <t>https://www.strava.com/activities/4617121700</t>
  </si>
  <si>
    <t>https://www.strava.com/activities/4621977921</t>
  </si>
  <si>
    <t>https://www.strava.com/activities/4624126459</t>
  </si>
  <si>
    <t>https://www.strava.com/activities/4631488228</t>
  </si>
  <si>
    <t>https://www.strava.com/activities/4636997238</t>
  </si>
  <si>
    <t>https://www.strava.com/activities/4644130656</t>
  </si>
  <si>
    <t>https://www.strava.com/activities/4649454490</t>
  </si>
  <si>
    <t>https://www.strava.com/activities/4654759464</t>
  </si>
  <si>
    <t>https://www.strava.com/activities/4659903812</t>
  </si>
  <si>
    <t>https://www.strava.com/activities/4663350856</t>
  </si>
  <si>
    <t>https://www.strava.com/activities/4667652636</t>
  </si>
  <si>
    <t>https://www.strava.com/activities/4675094101</t>
  </si>
  <si>
    <t>https://www.strava.com/activities/4681326821</t>
  </si>
  <si>
    <t>https://www.strava.com/activities/4687166857</t>
  </si>
  <si>
    <t>https://www.strava.com/activities/4692590084</t>
  </si>
  <si>
    <t>https://www.strava.com/activities/4697548501</t>
  </si>
  <si>
    <t>https://www.strava.com/activities/4700838552</t>
  </si>
  <si>
    <t>https://www.strava.com/activities/4705226085</t>
  </si>
  <si>
    <t>https://www.strava.com/activities/4713024785</t>
  </si>
  <si>
    <t>https://www.strava.com/activities/4719485798</t>
  </si>
  <si>
    <t>https://www.strava.com/activities/4724994548</t>
  </si>
  <si>
    <t>https://www.strava.com/activities/4730583781</t>
  </si>
  <si>
    <t>https://www.strava.com/activities/4736074815</t>
  </si>
  <si>
    <t>https://www.strava.com/activities/4741383162</t>
  </si>
  <si>
    <t>https://www.strava.com/activities/4744203471</t>
  </si>
  <si>
    <t>https://www.strava.com/activities/4751401788</t>
  </si>
  <si>
    <t>https://www.strava.com/activities/4757743623</t>
  </si>
  <si>
    <t>https://www.strava.com/activities/4762830134</t>
  </si>
  <si>
    <t>https://www.strava.com/activities/4768128355</t>
  </si>
  <si>
    <t>https://www.strava.com/activities/4773004615</t>
  </si>
  <si>
    <t>https://www.strava.com/activities/4773644744</t>
  </si>
  <si>
    <t>Oak Island Marathon</t>
  </si>
  <si>
    <t>https://www.strava.com/activities/4780996375</t>
  </si>
  <si>
    <t>https://www.strava.com/activities/4789027911</t>
  </si>
  <si>
    <t>https://www.strava.com/activities/4794030450</t>
  </si>
  <si>
    <t>https://www.strava.com/activities/4799209448</t>
  </si>
  <si>
    <t>https://www.strava.com/activities/4802990080</t>
  </si>
  <si>
    <t>https://www.strava.com/activities/4809544425</t>
  </si>
  <si>
    <t>https://www.strava.com/activities/4813222359</t>
  </si>
  <si>
    <t>https://www.strava.com/activities/4817753130</t>
  </si>
  <si>
    <t>Wakefield/Accotink Trail</t>
  </si>
  <si>
    <t>https://www.strava.com/activities/4824381435</t>
  </si>
  <si>
    <t>https://www.strava.com/activities/4832777505</t>
  </si>
  <si>
    <t>https://www.strava.com/activities/4838796611</t>
  </si>
  <si>
    <t>https://www.strava.com/activities/4844971505</t>
  </si>
  <si>
    <t>https://www.strava.com/activities/4850744411</t>
  </si>
  <si>
    <t>https://www.strava.com/activities/4854861123</t>
  </si>
  <si>
    <t>https://www.strava.com/activities/4859148407</t>
  </si>
  <si>
    <t>https://www.strava.com/activities/4869359387</t>
  </si>
  <si>
    <t>https://www.strava.com/activities/4874384829</t>
  </si>
  <si>
    <t>https://www.strava.com/activities/4880489465</t>
  </si>
  <si>
    <t>https://www.strava.com/activities/4886619101</t>
  </si>
  <si>
    <t>H St to Eastern Market</t>
  </si>
  <si>
    <t>https://www.strava.com/activities/4891535708</t>
  </si>
  <si>
    <t>https://www.strava.com/activities/4896156283</t>
  </si>
  <si>
    <t>Georgetown to National Zoo</t>
  </si>
  <si>
    <t>https://www.strava.com/activities/4900154548</t>
  </si>
  <si>
    <t>https://www.strava.com/activities/4909611416</t>
  </si>
  <si>
    <t>https://www.strava.com/activities/4915481993</t>
  </si>
  <si>
    <t>https://www.strava.com/activities/4921283198</t>
  </si>
  <si>
    <t>https://www.strava.com/activities/4926850972</t>
  </si>
  <si>
    <t>https://www.strava.com/activities/4931711327</t>
  </si>
  <si>
    <t>https://www.strava.com/activities/4936518053</t>
  </si>
  <si>
    <t>https://www.strava.com/activities/4939382503</t>
  </si>
  <si>
    <t>https://www.strava.com/activities/4945963334</t>
  </si>
  <si>
    <t>Joggers &amp; Lagers 3 Mile Route</t>
  </si>
  <si>
    <t>https://www.strava.com/activities/4953429385</t>
  </si>
  <si>
    <t>https://www.strava.com/activities/4959082786</t>
  </si>
  <si>
    <t>https://www.strava.com/activities/4964492534</t>
  </si>
  <si>
    <t>https://www.strava.com/activities/4970318913</t>
  </si>
  <si>
    <t>https://www.strava.com/activities/4975043061</t>
  </si>
  <si>
    <t>Supreme Court to Wharf</t>
  </si>
  <si>
    <t>https://www.strava.com/activities/4978554940</t>
  </si>
  <si>
    <t>https://www.strava.com/activities/4984471625</t>
  </si>
  <si>
    <t>https://www.strava.com/activities/4993130360</t>
  </si>
  <si>
    <t>https://www.strava.com/activities/4999226657</t>
  </si>
  <si>
    <t>https://www.strava.com/activities/5005425880</t>
  </si>
  <si>
    <t>https://www.strava.com/activities/5010891936</t>
  </si>
  <si>
    <t>https://www.strava.com/activities/5016138151</t>
  </si>
  <si>
    <t>https://www.strava.com/activities/5018707887</t>
  </si>
  <si>
    <t>https://www.strava.com/activities/5027449440</t>
  </si>
  <si>
    <t>https://www.strava.com/activities/5034044437</t>
  </si>
  <si>
    <t>https://www.strava.com/activities/5040667864</t>
  </si>
  <si>
    <t>https://www.strava.com/activities/5046822626</t>
  </si>
  <si>
    <t>https://www.strava.com/activities/5052259720</t>
  </si>
  <si>
    <t>https://www.strava.com/activities/5058119832</t>
  </si>
  <si>
    <t>https://www.strava.com/activities/5063231469</t>
  </si>
  <si>
    <t>https://www.strava.com/activities/5067417935</t>
  </si>
  <si>
    <t>https://www.strava.com/activities/5076352450</t>
  </si>
  <si>
    <t>Astro Lab 3 Mile Route</t>
  </si>
  <si>
    <t>https://www.strava.com/activities/5081843169</t>
  </si>
  <si>
    <t>https://www.strava.com/activities/5088076294</t>
  </si>
  <si>
    <t>https://www.strava.com/activities/5093433663</t>
  </si>
  <si>
    <t>https://www.strava.com/activities/5098320332</t>
  </si>
  <si>
    <t>Manassas National Battlefield Park</t>
  </si>
  <si>
    <t>https://www.strava.com/activities/5102221299</t>
  </si>
  <si>
    <t>https://www.strava.com/activities/5108426334</t>
  </si>
  <si>
    <t>https://www.strava.com/activities/5116690678</t>
  </si>
  <si>
    <t>https://www.strava.com/activities/5122446621</t>
  </si>
  <si>
    <t>Murphy's Winter 3 Mile Route</t>
  </si>
  <si>
    <t>https://www.strava.com/activities/5128601040</t>
  </si>
  <si>
    <t>https://www.strava.com/activities/5133976462</t>
  </si>
  <si>
    <t>https://www.strava.com/activities/5137315671</t>
  </si>
  <si>
    <t>Georgetown to Capitol Building</t>
  </si>
  <si>
    <t>https://www.strava.com/activities/5142230977</t>
  </si>
  <si>
    <t>https://www.strava.com/activities/5152217373</t>
  </si>
  <si>
    <t>https://www.strava.com/activities/5157497187</t>
  </si>
  <si>
    <t>https://www.strava.com/activities/5163448776</t>
  </si>
  <si>
    <t>https://www.strava.com/activities/5169582997</t>
  </si>
  <si>
    <t>https://www.strava.com/activities/5175025489</t>
  </si>
  <si>
    <t>https://www.strava.com/activities/5179331969</t>
  </si>
  <si>
    <t>https://www.strava.com/activities/5185496719</t>
  </si>
  <si>
    <t>https://www.strava.com/activities/5189925598</t>
  </si>
  <si>
    <t>https://www.strava.com/activities/5198481623</t>
  </si>
  <si>
    <t>https://www.strava.com/activities/5204299976</t>
  </si>
  <si>
    <t>https://www.strava.com/activities/5210620690</t>
  </si>
  <si>
    <t>https://www.strava.com/activities/5212849866</t>
  </si>
  <si>
    <t>https://www.strava.com/activities/5218921395</t>
  </si>
  <si>
    <t>https://www.strava.com/activities/5223462062</t>
  </si>
  <si>
    <t>https://www.strava.com/activities/5227202145</t>
  </si>
  <si>
    <t>https://www.strava.com/activities/5237989791</t>
  </si>
  <si>
    <t>https://www.strava.com/activities/5243206050</t>
  </si>
  <si>
    <t>https://www.strava.com/activities/5248950411</t>
  </si>
  <si>
    <t>https://www.strava.com/activities/5253966824</t>
  </si>
  <si>
    <t>Georgetown to Arlington Cemetery</t>
  </si>
  <si>
    <t>https://www.strava.com/activities/5257935382</t>
  </si>
  <si>
    <t>https://www.strava.com/activities/5262135604</t>
  </si>
  <si>
    <t>https://www.strava.com/activities/5267851540</t>
  </si>
  <si>
    <t>North Point High School</t>
  </si>
  <si>
    <t>https://www.strava.com/activities/5275615743</t>
  </si>
  <si>
    <t>https://www.strava.com/activities/5281458286</t>
  </si>
  <si>
    <t>https://www.strava.com/activities/5287028802</t>
  </si>
  <si>
    <t>https://www.strava.com/activities/5292725864</t>
  </si>
  <si>
    <t>https://www.strava.com/activities/5297006388</t>
  </si>
  <si>
    <t>https://www.strava.com/activities/5300766407</t>
  </si>
  <si>
    <t>https://www.strava.com/activities/5306924034</t>
  </si>
  <si>
    <t>https://www.strava.com/activities/5314702610</t>
  </si>
  <si>
    <t>Astro Lab 5 Mile Route</t>
  </si>
  <si>
    <t>https://www.strava.com/activities/5320455451</t>
  </si>
  <si>
    <t>https://www.strava.com/activities/5326138574</t>
  </si>
  <si>
    <t>https://www.strava.com/activities/5331417475</t>
  </si>
  <si>
    <t>L'Enfant Plaza to Georgetown</t>
  </si>
  <si>
    <t>https://www.strava.com/activities/5334049482</t>
  </si>
  <si>
    <t>https://www.strava.com/activities/5340028736</t>
  </si>
  <si>
    <t>https://www.strava.com/activities/5347950372</t>
  </si>
  <si>
    <t>https://www.strava.com/activities/5352864794</t>
  </si>
  <si>
    <t>https://www.strava.com/activities/5358493048</t>
  </si>
  <si>
    <t>https://www.strava.com/activities/5363934801</t>
  </si>
  <si>
    <t>https://www.strava.com/activities/5369971163</t>
  </si>
  <si>
    <t>University of Maryland Perimeter</t>
  </si>
  <si>
    <t>https://www.strava.com/activities/5373170057</t>
  </si>
  <si>
    <t>https://www.strava.com/activities/5376815650</t>
  </si>
  <si>
    <t>https://www.strava.com/activities/5386210273</t>
  </si>
  <si>
    <t>https://www.strava.com/activities/5391815862</t>
  </si>
  <si>
    <t>https://www.strava.com/activities/5397450046</t>
  </si>
  <si>
    <t>https://www.strava.com/activities/5403586814</t>
  </si>
  <si>
    <t>Banneker Track</t>
  </si>
  <si>
    <t>https://www.strava.com/activities/5409469517</t>
  </si>
  <si>
    <t>https://www.strava.com/activities/5410139706</t>
  </si>
  <si>
    <t>https://www.strava.com/activities/5416725753</t>
  </si>
  <si>
    <t>Lost Boy Cider 5 Mile Route</t>
  </si>
  <si>
    <t>https://www.strava.com/activities/5425142779</t>
  </si>
  <si>
    <t>https://www.strava.com/activities/5431909244</t>
  </si>
  <si>
    <t>https://www.strava.com/activities/5437645146</t>
  </si>
  <si>
    <t>https://www.strava.com/activities/5443712729</t>
  </si>
  <si>
    <t>https://www.strava.com/activities/5449115434</t>
  </si>
  <si>
    <t>https://www.strava.com/activities/5453028266</t>
  </si>
  <si>
    <t>Laurel Hills</t>
  </si>
  <si>
    <t>https://www.strava.com/activities/5459803850</t>
  </si>
  <si>
    <t>Lost Boy Cider 3 Mile Route</t>
  </si>
  <si>
    <t>https://www.strava.com/activities/5463791924</t>
  </si>
  <si>
    <t>https://www.strava.com/activities/5471055962</t>
  </si>
  <si>
    <t>https://www.strava.com/activities/5476729832</t>
  </si>
  <si>
    <t>https://www.strava.com/activities/5482616579</t>
  </si>
  <si>
    <t>https://www.strava.com/activities/5487728861</t>
  </si>
  <si>
    <t>https://www.strava.com/activities/5488651693</t>
  </si>
  <si>
    <t>https://www.strava.com/activities/5501932325</t>
  </si>
  <si>
    <t>https://www.strava.com/activities/5503117708</t>
  </si>
  <si>
    <t>https://www.strava.com/activities/5508219446</t>
  </si>
  <si>
    <t>https://www.strava.com/activities/5513645414</t>
  </si>
  <si>
    <t>https://www.strava.com/activities/5514497023</t>
  </si>
  <si>
    <t>https://www.strava.com/activities/5527557099</t>
  </si>
  <si>
    <t>https://www.strava.com/activities/5529466922</t>
  </si>
  <si>
    <t>https://www.strava.com/activities/5540991791</t>
  </si>
  <si>
    <t>https://www.strava.com/activities/5545228289</t>
  </si>
  <si>
    <t>https://www.strava.com/activities/5550433318</t>
  </si>
  <si>
    <t>https://www.strava.com/activities/5555590411</t>
  </si>
  <si>
    <t>https://www.strava.com/activities/5560717646</t>
  </si>
  <si>
    <t>https://www.strava.com/activities/5564086024</t>
  </si>
  <si>
    <t>Dupont Circle to C &amp; O Canal</t>
  </si>
  <si>
    <t>https://www.strava.com/activities/5570820626</t>
  </si>
  <si>
    <t>https://www.strava.com/activities/5571380633</t>
  </si>
  <si>
    <t>https://www.strava.com/activities/5580877435</t>
  </si>
  <si>
    <t>https://www.strava.com/activities/5587446489</t>
  </si>
  <si>
    <t>https://www.strava.com/activities/5592164042</t>
  </si>
  <si>
    <t>https://www.strava.com/activities/5597174548</t>
  </si>
  <si>
    <t>https://www.strava.com/activities/5601913802</t>
  </si>
  <si>
    <t>https://www.strava.com/activities/5607962081</t>
  </si>
  <si>
    <t>https://www.strava.com/activities/5611632752</t>
  </si>
  <si>
    <t>https://www.strava.com/activities/5618170829</t>
  </si>
  <si>
    <t>https://www.strava.com/activities/5624006055</t>
  </si>
  <si>
    <t>https://www.strava.com/activities/5628917942</t>
  </si>
  <si>
    <t>https://www.strava.com/activities/5633938289</t>
  </si>
  <si>
    <t>https://www.strava.com/activities/5638446290</t>
  </si>
  <si>
    <t>https://www.strava.com/activities/5641486912</t>
  </si>
  <si>
    <t>https://www.strava.com/activities/5647372671</t>
  </si>
  <si>
    <t>https://www.strava.com/activities/5655040874</t>
  </si>
  <si>
    <t>https://www.strava.com/activities/5660528961</t>
  </si>
  <si>
    <t>https://www.strava.com/activities/5666091547</t>
  </si>
  <si>
    <t>https://www.strava.com/activities/5671432415</t>
  </si>
  <si>
    <t>Lake Mercer</t>
  </si>
  <si>
    <t>https://www.strava.com/activities/5679506537</t>
  </si>
  <si>
    <t>Lorton Route 1</t>
  </si>
  <si>
    <t>https://www.strava.com/activities/5679601082</t>
  </si>
  <si>
    <t>https://www.strava.com/activities/5684859422</t>
  </si>
  <si>
    <t>https://www.strava.com/activities/5692562577</t>
  </si>
  <si>
    <t>https://www.strava.com/activities/5698090423</t>
  </si>
  <si>
    <t>https://www.strava.com/activities/5703272673</t>
  </si>
  <si>
    <t>https://www.strava.com/activities/5708861834</t>
  </si>
  <si>
    <t>Foggy Bottom to Georgetown</t>
  </si>
  <si>
    <t>https://www.strava.com/activities/5710395975</t>
  </si>
  <si>
    <t>https://www.strava.com/activities/5715454057</t>
  </si>
  <si>
    <t>https://www.strava.com/activities/5721600994</t>
  </si>
  <si>
    <t>https://www.strava.com/activities/5728996420</t>
  </si>
  <si>
    <t>https://www.strava.com/activities/5729807492</t>
  </si>
  <si>
    <t>https://www.strava.com/activities/5740332657</t>
  </si>
  <si>
    <t>https://www.strava.com/activities/5745680858</t>
  </si>
  <si>
    <t>https://www.strava.com/activities/5749307233</t>
  </si>
  <si>
    <t>Paint Branch Trail</t>
  </si>
  <si>
    <t>https://www.strava.com/activities/5753196870</t>
  </si>
  <si>
    <t>https://www.strava.com/activities/5758691157</t>
  </si>
  <si>
    <t>https://www.strava.com/activities/5766472836</t>
  </si>
  <si>
    <t>https://www.strava.com/activities/5772928821</t>
  </si>
  <si>
    <t>https://www.strava.com/activities/5777992996</t>
  </si>
  <si>
    <t>https://www.strava.com/activities/5783332202</t>
  </si>
  <si>
    <t>https://www.strava.com/activities/5788293520</t>
  </si>
  <si>
    <t>https://www.strava.com/activities/5791874024</t>
  </si>
  <si>
    <t>https://www.strava.com/activities/5796729036</t>
  </si>
  <si>
    <t>https://www.strava.com/activities/5804644640</t>
  </si>
  <si>
    <t>https://www.strava.com/activities/5810439128</t>
  </si>
  <si>
    <t>https://www.strava.com/activities/5815553135</t>
  </si>
  <si>
    <t>https://www.strava.com/activities/5821445535</t>
  </si>
  <si>
    <t>https://www.strava.com/activities/5825784210</t>
  </si>
  <si>
    <t>https://www.strava.com/activities/5829113301</t>
  </si>
  <si>
    <t>https://www.strava.com/activities/5834690726</t>
  </si>
  <si>
    <t>https://www.strava.com/activities/5842123798</t>
  </si>
  <si>
    <t>Team RWB Alexandria Old Town Run</t>
  </si>
  <si>
    <t>https://www.strava.com/activities/5848346013</t>
  </si>
  <si>
    <t>https://www.strava.com/activities/5853736317</t>
  </si>
  <si>
    <t>https://www.strava.com/activities/5857426859</t>
  </si>
  <si>
    <t>Queens, NY</t>
  </si>
  <si>
    <t>https://www.strava.com/activities/5864012121</t>
  </si>
  <si>
    <t>Central Park</t>
  </si>
  <si>
    <t>https://www.strava.com/activities/5867205252</t>
  </si>
  <si>
    <t>Ft. Belvoir Track</t>
  </si>
  <si>
    <t>https://www.strava.com/activities/5879396452</t>
  </si>
  <si>
    <t>https://www.strava.com/activities/5879647750</t>
  </si>
  <si>
    <t>https://www.strava.com/activities/5884420099</t>
  </si>
  <si>
    <t>https://www.strava.com/activities/5890701858</t>
  </si>
  <si>
    <t>https://www.strava.com/activities/5895397928</t>
  </si>
  <si>
    <t>Buckroe to Hampton</t>
  </si>
  <si>
    <t>https://www.strava.com/activities/5901141779</t>
  </si>
  <si>
    <t>Virginia Beach</t>
  </si>
  <si>
    <t>https://www.strava.com/activities/5903365635</t>
  </si>
  <si>
    <t>https://www.strava.com/activities/5913147676</t>
  </si>
  <si>
    <t>Frederick Douglass Memorial Bridge</t>
  </si>
  <si>
    <t>https://www.strava.com/activities/5915288908</t>
  </si>
  <si>
    <t>Mark Twain Middle School Track</t>
  </si>
  <si>
    <t>https://www.strava.com/activities/5923814482</t>
  </si>
  <si>
    <t>https://www.strava.com/activities/5929359515</t>
  </si>
  <si>
    <t>https://www.strava.com/activities/5934603832</t>
  </si>
  <si>
    <t>https://www.strava.com/activities/5935331999</t>
  </si>
  <si>
    <t>https://www.strava.com/activities/5943478393</t>
  </si>
  <si>
    <t>https://www.strava.com/activities/5951705284</t>
  </si>
  <si>
    <t>https://www.strava.com/activities/5956187322</t>
  </si>
  <si>
    <t>L'Enfant Plaza to Washington Monument</t>
  </si>
  <si>
    <t>https://www.strava.com/activities/5960884009</t>
  </si>
  <si>
    <t>https://www.strava.com/activities/5967717894</t>
  </si>
  <si>
    <t>https://www.strava.com/activities/5972146045</t>
  </si>
  <si>
    <t>https://www.strava.com/activities/5976343448</t>
  </si>
  <si>
    <t>https://www.strava.com/activities/5979784538</t>
  </si>
  <si>
    <t>https://www.strava.com/activities/5988740569</t>
  </si>
  <si>
    <t>https://www.strava.com/activities/5993255759</t>
  </si>
  <si>
    <t>https://www.strava.com/activities/5996487627</t>
  </si>
  <si>
    <t>https://www.strava.com/activities/6004478866</t>
  </si>
  <si>
    <t>https://www.strava.com/activities/6007735197</t>
  </si>
  <si>
    <t>https://www.strava.com/activities/6012948665</t>
  </si>
  <si>
    <t>https://www.strava.com/activities/6016432301</t>
  </si>
  <si>
    <t>Takoma Park</t>
  </si>
  <si>
    <t>https://www.strava.com/activities/6023438928</t>
  </si>
  <si>
    <t>https://www.strava.com/activities/6029896602</t>
  </si>
  <si>
    <t>https://www.strava.com/activities/6035211080</t>
  </si>
  <si>
    <t>https://www.strava.com/activities/6041089124</t>
  </si>
  <si>
    <t>https://www.strava.com/activities/6045110148</t>
  </si>
  <si>
    <t>https://www.strava.com/activities/6048664851</t>
  </si>
  <si>
    <t>https://www.strava.com/activities/6052104270</t>
  </si>
  <si>
    <t>Rhode Island Ave Trolley Trail</t>
  </si>
  <si>
    <t>https://www.strava.com/activities/6060275609</t>
  </si>
  <si>
    <t>https://www.strava.com/activities/6063699274</t>
  </si>
  <si>
    <t>Hollywood, College Park, MD</t>
  </si>
  <si>
    <t>https://www.strava.com/activities/6068045223</t>
  </si>
  <si>
    <t>https://www.strava.com/activities/6074761868</t>
  </si>
  <si>
    <t>https://www.strava.com/activities/6078432816</t>
  </si>
  <si>
    <t>https://www.strava.com/activities/6080816977</t>
  </si>
  <si>
    <t>https://www.strava.com/activities/6084865524</t>
  </si>
  <si>
    <t>Innovation Office Park</t>
  </si>
  <si>
    <t>https://www.strava.com/activities/6095536286</t>
  </si>
  <si>
    <t>La Jolla Cove</t>
  </si>
  <si>
    <t>https://www.strava.com/activities/6099908075</t>
  </si>
  <si>
    <t>Duke St</t>
  </si>
  <si>
    <t>https://www.strava.com/activities/6104900976</t>
  </si>
  <si>
    <t>https://www.strava.com/activities/6109518369</t>
  </si>
  <si>
    <t>https://www.strava.com/activities/6114361950</t>
  </si>
  <si>
    <t>L'Enfant Plaza to Capitol Hill</t>
  </si>
  <si>
    <t>https://www.strava.com/activities/6122698914</t>
  </si>
  <si>
    <t>https://www.strava.com/activities/6122852127</t>
  </si>
  <si>
    <t>https://www.strava.com/activities/6129561486</t>
  </si>
  <si>
    <t>https://www.strava.com/activities/6133617402</t>
  </si>
  <si>
    <t>https://www.strava.com/activities/6137965735</t>
  </si>
  <si>
    <t>https://www.strava.com/activities/6147234699</t>
  </si>
  <si>
    <t>https://www.strava.com/activities/6147434470</t>
  </si>
  <si>
    <t>https://www.strava.com/activities/6151563178</t>
  </si>
  <si>
    <t>https://www.strava.com/activities/6154267656</t>
  </si>
  <si>
    <t>https://www.strava.com/activities/6162695454</t>
  </si>
  <si>
    <t>https://www.strava.com/activities/6166837578</t>
  </si>
  <si>
    <t>Shepherd Hills</t>
  </si>
  <si>
    <t>https://www.strava.com/activities/6173687208</t>
  </si>
  <si>
    <t>https://www.strava.com/activities/6176314750</t>
  </si>
  <si>
    <t>https://www.strava.com/activities/6179720218</t>
  </si>
  <si>
    <t>Daniels Park</t>
  </si>
  <si>
    <t>https://www.strava.com/activities/6184931549</t>
  </si>
  <si>
    <t>Occoquan Regional Park</t>
  </si>
  <si>
    <t>https://www.strava.com/activities/6188878938</t>
  </si>
  <si>
    <t>https://www.strava.com/activities/6195112403</t>
  </si>
  <si>
    <t>https://www.strava.com/activities/6199145661</t>
  </si>
  <si>
    <t>Woodrow Wilson Memorial Bridge</t>
  </si>
  <si>
    <t>https://www.strava.com/activities/6204322651</t>
  </si>
  <si>
    <t>https://www.strava.com/activities/6208486973</t>
  </si>
  <si>
    <t>https://www.strava.com/activities/6211698767</t>
  </si>
  <si>
    <t>https://www.strava.com/activities/6215675536</t>
  </si>
  <si>
    <t>https://www.strava.com/activities/6219264538</t>
  </si>
  <si>
    <t>https://www.strava.com/activities/6227103337</t>
  </si>
  <si>
    <t>https://www.strava.com/activities/6231748738</t>
  </si>
  <si>
    <t>https://www.strava.com/activities/6234748466</t>
  </si>
  <si>
    <t>https://www.strava.com/activities/6240952776</t>
  </si>
  <si>
    <t>https://www.strava.com/activities/6245770145</t>
  </si>
  <si>
    <t>https://www.strava.com/activities/6248419087</t>
  </si>
  <si>
    <t>https://www.strava.com/activities/6253803478</t>
  </si>
  <si>
    <t>Edison High School Track</t>
  </si>
  <si>
    <t>https://www.strava.com/activities/6258079726</t>
  </si>
  <si>
    <t>https://www.strava.com/activities/6263634451</t>
  </si>
  <si>
    <t>Lorton Station</t>
  </si>
  <si>
    <t>https://www.strava.com/activities/6268237278</t>
  </si>
  <si>
    <t>https://www.strava.com/activities/6272876239</t>
  </si>
  <si>
    <t>https://www.strava.com/activities/6275734071</t>
  </si>
  <si>
    <t>https://www.strava.com/activities/6279665855</t>
  </si>
  <si>
    <t>James Madison University</t>
  </si>
  <si>
    <t>https://www.strava.com/activities/6286008268</t>
  </si>
  <si>
    <t>https://www.strava.com/activities/6290564255</t>
  </si>
  <si>
    <t>https://www.strava.com/activities/6294619843</t>
  </si>
  <si>
    <t>https://www.strava.com/activities/6297850612</t>
  </si>
  <si>
    <t>https://www.strava.com/activities/6303543644</t>
  </si>
  <si>
    <t>Del Ray</t>
  </si>
  <si>
    <t>https://www.strava.com/activities/6306821673</t>
  </si>
  <si>
    <t>https://www.strava.com/activities/6311372691</t>
  </si>
  <si>
    <t>https://www.strava.com/activities/6313258229</t>
  </si>
  <si>
    <t>https://www.strava.com/activities/6317692528</t>
  </si>
  <si>
    <t>https://www.strava.com/activities/6323821972</t>
  </si>
  <si>
    <t>https://www.strava.com/activities/6332091963</t>
  </si>
  <si>
    <t>https://www.strava.com/activities/6332164467</t>
  </si>
  <si>
    <t>https://www.strava.com/activities/6335484347</t>
  </si>
  <si>
    <t>https://www.strava.com/activities/6339985516</t>
  </si>
  <si>
    <t>https://www.strava.com/activities/6340558452</t>
  </si>
  <si>
    <t>https://www.strava.com/activities/6347022566</t>
  </si>
  <si>
    <t>https://www.strava.com/activities/6351618017</t>
  </si>
  <si>
    <t>https://www.strava.com/activities/6356229886</t>
  </si>
  <si>
    <t>https://www.strava.com/activities/6360882304</t>
  </si>
  <si>
    <t>https://www.strava.com/activities/6364259395</t>
  </si>
  <si>
    <t>https://www.strava.com/activities/6368171125</t>
  </si>
  <si>
    <t>Greenbelt Park</t>
  </si>
  <si>
    <t>https://www.strava.com/activities/6370320331</t>
  </si>
  <si>
    <t>https://www.strava.com/activities/6375202417</t>
  </si>
  <si>
    <t>https://www.strava.com/activities/6380863472</t>
  </si>
  <si>
    <t>https://www.strava.com/activities/6385337528</t>
  </si>
  <si>
    <t>https://www.strava.com/activities/6389084747</t>
  </si>
  <si>
    <t>https://www.strava.com/activities/6392920215</t>
  </si>
  <si>
    <t>https://www.strava.com/activities/6396128065</t>
  </si>
  <si>
    <t>https://www.strava.com/activities/6400890165</t>
  </si>
  <si>
    <t>https://www.strava.com/activities/6403358197</t>
  </si>
  <si>
    <t>https://www.strava.com/activities/6408794283</t>
  </si>
  <si>
    <t>https://www.strava.com/activities/6412620550</t>
  </si>
  <si>
    <t>https://www.strava.com/activities/6416887968</t>
  </si>
  <si>
    <t>https://www.strava.com/activities/6420145157</t>
  </si>
  <si>
    <t>https://www.strava.com/activities/6420927218</t>
  </si>
  <si>
    <t>https://www.strava.com/activities/6427316265</t>
  </si>
  <si>
    <t>https://www.strava.com/activities/6431978757</t>
  </si>
  <si>
    <t>https://www.strava.com/activities/6435755544</t>
  </si>
  <si>
    <t>https://www.strava.com/activities/6438854950</t>
  </si>
  <si>
    <t>https://www.strava.com/activities/6444658374</t>
  </si>
  <si>
    <t>https://www.strava.com/activities/6447941504</t>
  </si>
  <si>
    <t>Loisdale Rd</t>
  </si>
  <si>
    <t>https://www.strava.com/activities/6452353181</t>
  </si>
  <si>
    <t>Occurrences of Extra Miles:</t>
  </si>
  <si>
    <t>Formatted Pace</t>
  </si>
  <si>
    <t>Distance</t>
  </si>
  <si>
    <t>Pace</t>
  </si>
  <si>
    <t>3 Mile Record</t>
  </si>
  <si>
    <t>5K Record</t>
  </si>
  <si>
    <t>4 Mile Record</t>
  </si>
  <si>
    <t>5 Mile Record</t>
  </si>
  <si>
    <t>10K Record</t>
  </si>
  <si>
    <t>15K Record (9.32057 miles)</t>
  </si>
  <si>
    <t>10 Mile Record</t>
  </si>
  <si>
    <t>13.1 Mile Record</t>
  </si>
  <si>
    <t>15 Mile Record</t>
  </si>
  <si>
    <t>20 Mile Record</t>
  </si>
  <si>
    <t>Marathon Record</t>
  </si>
  <si>
    <t>50K Record</t>
  </si>
  <si>
    <t>Total Miles:</t>
  </si>
  <si>
    <t>Total Days:</t>
  </si>
  <si>
    <t>Average Miles/Day: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</si>
</sst>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left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2" fontId="0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b/>
      </font>
      <numFmt numFmtId="2" formatCode="0.00"/>
    </dxf>
    <dxf>
      <numFmt numFmtId="164" formatCode="m/d/yy;@"/>
      <alignment horizontal="left" vertical="bottom" textRotation="0" wrapText="0" indent="0" justifyLastLine="0" shrinkToFit="0" readingOrder="0"/>
    </dxf>
    <dxf>
      <font>
        <b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Paces</a:t>
            </a:r>
            <a:r>
              <a:rPr lang="en-US" baseline="0"/>
              <a:t> at Run Clubs</a:t>
            </a:r>
            <a:endParaRPr lang="en-US"/>
          </a:p>
        </c:rich>
      </c:tx>
      <c:layout>
        <c:manualLayout>
          <c:xMode val="edge"/>
          <c:yMode val="edge"/>
          <c:x val="0.40046340361300992"/>
          <c:y val="2.19670811617956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998370994871429E-2"/>
          <c:y val="4.4149282426060539E-2"/>
          <c:w val="0.94926856785999403"/>
          <c:h val="0.88416094877841256"/>
        </c:manualLayout>
      </c:layout>
      <c:lineChart>
        <c:grouping val="standard"/>
        <c:varyColors val="0"/>
        <c:ser>
          <c:idx val="1"/>
          <c:order val="0"/>
          <c:tx>
            <c:v>Port City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'[1]Port City'!$F$2:$F$104</c:f>
              <c:numCache>
                <c:formatCode>General</c:formatCode>
                <c:ptCount val="103"/>
                <c:pt idx="0">
                  <c:v>444</c:v>
                </c:pt>
                <c:pt idx="1">
                  <c:v>480</c:v>
                </c:pt>
                <c:pt idx="2">
                  <c:v>464</c:v>
                </c:pt>
                <c:pt idx="3">
                  <c:v>441</c:v>
                </c:pt>
                <c:pt idx="4">
                  <c:v>487</c:v>
                </c:pt>
                <c:pt idx="5">
                  <c:v>492</c:v>
                </c:pt>
                <c:pt idx="6">
                  <c:v>472</c:v>
                </c:pt>
                <c:pt idx="7">
                  <c:v>457</c:v>
                </c:pt>
                <c:pt idx="8">
                  <c:v>473</c:v>
                </c:pt>
                <c:pt idx="9">
                  <c:v>456</c:v>
                </c:pt>
                <c:pt idx="10">
                  <c:v>509</c:v>
                </c:pt>
                <c:pt idx="11">
                  <c:v>521</c:v>
                </c:pt>
                <c:pt idx="12">
                  <c:v>491</c:v>
                </c:pt>
                <c:pt idx="13">
                  <c:v>492</c:v>
                </c:pt>
                <c:pt idx="14">
                  <c:v>469</c:v>
                </c:pt>
                <c:pt idx="15">
                  <c:v>652</c:v>
                </c:pt>
                <c:pt idx="16">
                  <c:v>508</c:v>
                </c:pt>
                <c:pt idx="17">
                  <c:v>483</c:v>
                </c:pt>
                <c:pt idx="18">
                  <c:v>486</c:v>
                </c:pt>
                <c:pt idx="19">
                  <c:v>484</c:v>
                </c:pt>
                <c:pt idx="20">
                  <c:v>525</c:v>
                </c:pt>
                <c:pt idx="21">
                  <c:v>477</c:v>
                </c:pt>
                <c:pt idx="22">
                  <c:v>512</c:v>
                </c:pt>
                <c:pt idx="23">
                  <c:v>489</c:v>
                </c:pt>
                <c:pt idx="24">
                  <c:v>459</c:v>
                </c:pt>
                <c:pt idx="25">
                  <c:v>493</c:v>
                </c:pt>
                <c:pt idx="26">
                  <c:v>525</c:v>
                </c:pt>
                <c:pt idx="27">
                  <c:v>560</c:v>
                </c:pt>
                <c:pt idx="28">
                  <c:v>497</c:v>
                </c:pt>
                <c:pt idx="29">
                  <c:v>616</c:v>
                </c:pt>
                <c:pt idx="30">
                  <c:v>592</c:v>
                </c:pt>
                <c:pt idx="31">
                  <c:v>586</c:v>
                </c:pt>
                <c:pt idx="32">
                  <c:v>559</c:v>
                </c:pt>
                <c:pt idx="33">
                  <c:v>568</c:v>
                </c:pt>
                <c:pt idx="34">
                  <c:v>529</c:v>
                </c:pt>
                <c:pt idx="35">
                  <c:v>521</c:v>
                </c:pt>
                <c:pt idx="36">
                  <c:v>587</c:v>
                </c:pt>
                <c:pt idx="37">
                  <c:v>535</c:v>
                </c:pt>
                <c:pt idx="38">
                  <c:v>542</c:v>
                </c:pt>
                <c:pt idx="39">
                  <c:v>553</c:v>
                </c:pt>
                <c:pt idx="40">
                  <c:v>533</c:v>
                </c:pt>
                <c:pt idx="41">
                  <c:v>567</c:v>
                </c:pt>
                <c:pt idx="42">
                  <c:v>607</c:v>
                </c:pt>
                <c:pt idx="43">
                  <c:v>583</c:v>
                </c:pt>
                <c:pt idx="44">
                  <c:v>543</c:v>
                </c:pt>
                <c:pt idx="45">
                  <c:v>598</c:v>
                </c:pt>
                <c:pt idx="46">
                  <c:v>479</c:v>
                </c:pt>
                <c:pt idx="47">
                  <c:v>451</c:v>
                </c:pt>
                <c:pt idx="48">
                  <c:v>436</c:v>
                </c:pt>
                <c:pt idx="49">
                  <c:v>579</c:v>
                </c:pt>
                <c:pt idx="50">
                  <c:v>452</c:v>
                </c:pt>
                <c:pt idx="51">
                  <c:v>470</c:v>
                </c:pt>
                <c:pt idx="52">
                  <c:v>532</c:v>
                </c:pt>
                <c:pt idx="53">
                  <c:v>434</c:v>
                </c:pt>
                <c:pt idx="54">
                  <c:v>539</c:v>
                </c:pt>
                <c:pt idx="55">
                  <c:v>464</c:v>
                </c:pt>
                <c:pt idx="56">
                  <c:v>594</c:v>
                </c:pt>
                <c:pt idx="57">
                  <c:v>492</c:v>
                </c:pt>
                <c:pt idx="58">
                  <c:v>574</c:v>
                </c:pt>
                <c:pt idx="59">
                  <c:v>497</c:v>
                </c:pt>
                <c:pt idx="60">
                  <c:v>497</c:v>
                </c:pt>
                <c:pt idx="61">
                  <c:v>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23-473B-956D-E420DC08B04E}"/>
            </c:ext>
          </c:extLst>
        </c:ser>
        <c:ser>
          <c:idx val="0"/>
          <c:order val="1"/>
          <c:tx>
            <c:v>Shirlington Run Club</c:v>
          </c:tx>
          <c:spPr>
            <a:ln w="28575" cap="rnd">
              <a:solidFill>
                <a:srgbClr val="993300"/>
              </a:solidFill>
              <a:round/>
            </a:ln>
            <a:effectLst/>
          </c:spPr>
          <c:marker>
            <c:symbol val="none"/>
          </c:marker>
          <c:val>
            <c:numRef>
              <c:f>'[1]Dudley''s'!$F$2:$F$79</c:f>
              <c:numCache>
                <c:formatCode>General</c:formatCode>
                <c:ptCount val="78"/>
                <c:pt idx="0">
                  <c:v>431</c:v>
                </c:pt>
                <c:pt idx="1">
                  <c:v>411</c:v>
                </c:pt>
                <c:pt idx="2">
                  <c:v>424</c:v>
                </c:pt>
                <c:pt idx="3">
                  <c:v>415</c:v>
                </c:pt>
                <c:pt idx="4">
                  <c:v>423</c:v>
                </c:pt>
                <c:pt idx="5">
                  <c:v>438</c:v>
                </c:pt>
                <c:pt idx="6">
                  <c:v>406</c:v>
                </c:pt>
                <c:pt idx="7">
                  <c:v>422</c:v>
                </c:pt>
                <c:pt idx="8">
                  <c:v>423</c:v>
                </c:pt>
                <c:pt idx="9">
                  <c:v>413</c:v>
                </c:pt>
                <c:pt idx="10">
                  <c:v>423</c:v>
                </c:pt>
                <c:pt idx="11">
                  <c:v>455</c:v>
                </c:pt>
                <c:pt idx="12">
                  <c:v>439</c:v>
                </c:pt>
                <c:pt idx="13">
                  <c:v>424</c:v>
                </c:pt>
                <c:pt idx="14">
                  <c:v>456</c:v>
                </c:pt>
                <c:pt idx="15">
                  <c:v>433</c:v>
                </c:pt>
                <c:pt idx="16">
                  <c:v>409</c:v>
                </c:pt>
                <c:pt idx="17">
                  <c:v>419</c:v>
                </c:pt>
                <c:pt idx="18">
                  <c:v>473</c:v>
                </c:pt>
                <c:pt idx="19">
                  <c:v>467</c:v>
                </c:pt>
                <c:pt idx="20">
                  <c:v>439</c:v>
                </c:pt>
                <c:pt idx="21">
                  <c:v>418</c:v>
                </c:pt>
                <c:pt idx="22">
                  <c:v>434</c:v>
                </c:pt>
                <c:pt idx="23">
                  <c:v>441</c:v>
                </c:pt>
                <c:pt idx="24">
                  <c:v>490</c:v>
                </c:pt>
                <c:pt idx="25">
                  <c:v>449</c:v>
                </c:pt>
                <c:pt idx="26">
                  <c:v>467</c:v>
                </c:pt>
                <c:pt idx="27">
                  <c:v>413</c:v>
                </c:pt>
                <c:pt idx="28">
                  <c:v>583</c:v>
                </c:pt>
                <c:pt idx="29">
                  <c:v>445</c:v>
                </c:pt>
                <c:pt idx="30">
                  <c:v>592</c:v>
                </c:pt>
                <c:pt idx="31">
                  <c:v>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23-473B-956D-E420DC08B04E}"/>
            </c:ext>
          </c:extLst>
        </c:ser>
        <c:ser>
          <c:idx val="2"/>
          <c:order val="2"/>
          <c:tx>
            <c:v>Murphy's Run Club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'[1]Murphy''s'!$F$2:$F$112</c:f>
              <c:numCache>
                <c:formatCode>General</c:formatCode>
                <c:ptCount val="111"/>
                <c:pt idx="0">
                  <c:v>424</c:v>
                </c:pt>
                <c:pt idx="1">
                  <c:v>444</c:v>
                </c:pt>
                <c:pt idx="2">
                  <c:v>438</c:v>
                </c:pt>
                <c:pt idx="3">
                  <c:v>437</c:v>
                </c:pt>
                <c:pt idx="4">
                  <c:v>444</c:v>
                </c:pt>
                <c:pt idx="5">
                  <c:v>426</c:v>
                </c:pt>
                <c:pt idx="6">
                  <c:v>437</c:v>
                </c:pt>
                <c:pt idx="7">
                  <c:v>423</c:v>
                </c:pt>
                <c:pt idx="8">
                  <c:v>429</c:v>
                </c:pt>
                <c:pt idx="9">
                  <c:v>451</c:v>
                </c:pt>
                <c:pt idx="10">
                  <c:v>435</c:v>
                </c:pt>
                <c:pt idx="11">
                  <c:v>440</c:v>
                </c:pt>
                <c:pt idx="12">
                  <c:v>439</c:v>
                </c:pt>
                <c:pt idx="13">
                  <c:v>456</c:v>
                </c:pt>
                <c:pt idx="14">
                  <c:v>460</c:v>
                </c:pt>
                <c:pt idx="15">
                  <c:v>452</c:v>
                </c:pt>
                <c:pt idx="16">
                  <c:v>444</c:v>
                </c:pt>
                <c:pt idx="17">
                  <c:v>486</c:v>
                </c:pt>
                <c:pt idx="18">
                  <c:v>456</c:v>
                </c:pt>
                <c:pt idx="19">
                  <c:v>562</c:v>
                </c:pt>
                <c:pt idx="20">
                  <c:v>438</c:v>
                </c:pt>
                <c:pt idx="21">
                  <c:v>451</c:v>
                </c:pt>
                <c:pt idx="22">
                  <c:v>451</c:v>
                </c:pt>
                <c:pt idx="23">
                  <c:v>470</c:v>
                </c:pt>
                <c:pt idx="24">
                  <c:v>496</c:v>
                </c:pt>
                <c:pt idx="25">
                  <c:v>495</c:v>
                </c:pt>
                <c:pt idx="26">
                  <c:v>513</c:v>
                </c:pt>
                <c:pt idx="27">
                  <c:v>536</c:v>
                </c:pt>
                <c:pt idx="28">
                  <c:v>537</c:v>
                </c:pt>
                <c:pt idx="29">
                  <c:v>550</c:v>
                </c:pt>
                <c:pt idx="30">
                  <c:v>496</c:v>
                </c:pt>
                <c:pt idx="31">
                  <c:v>468</c:v>
                </c:pt>
                <c:pt idx="32">
                  <c:v>472</c:v>
                </c:pt>
                <c:pt idx="33">
                  <c:v>533</c:v>
                </c:pt>
                <c:pt idx="34">
                  <c:v>441</c:v>
                </c:pt>
                <c:pt idx="35">
                  <c:v>446</c:v>
                </c:pt>
                <c:pt idx="36">
                  <c:v>434</c:v>
                </c:pt>
                <c:pt idx="37">
                  <c:v>444</c:v>
                </c:pt>
                <c:pt idx="38">
                  <c:v>435</c:v>
                </c:pt>
                <c:pt idx="39">
                  <c:v>472</c:v>
                </c:pt>
                <c:pt idx="40">
                  <c:v>434</c:v>
                </c:pt>
                <c:pt idx="41">
                  <c:v>609</c:v>
                </c:pt>
                <c:pt idx="42">
                  <c:v>468</c:v>
                </c:pt>
                <c:pt idx="43">
                  <c:v>446</c:v>
                </c:pt>
                <c:pt idx="44">
                  <c:v>441</c:v>
                </c:pt>
                <c:pt idx="45">
                  <c:v>448</c:v>
                </c:pt>
                <c:pt idx="46">
                  <c:v>447</c:v>
                </c:pt>
                <c:pt idx="47">
                  <c:v>416</c:v>
                </c:pt>
                <c:pt idx="48">
                  <c:v>449</c:v>
                </c:pt>
                <c:pt idx="49">
                  <c:v>437</c:v>
                </c:pt>
                <c:pt idx="50">
                  <c:v>613</c:v>
                </c:pt>
                <c:pt idx="51">
                  <c:v>433</c:v>
                </c:pt>
                <c:pt idx="52">
                  <c:v>466</c:v>
                </c:pt>
                <c:pt idx="53">
                  <c:v>435</c:v>
                </c:pt>
                <c:pt idx="54">
                  <c:v>438</c:v>
                </c:pt>
                <c:pt idx="55">
                  <c:v>555</c:v>
                </c:pt>
                <c:pt idx="56">
                  <c:v>430</c:v>
                </c:pt>
                <c:pt idx="57">
                  <c:v>454</c:v>
                </c:pt>
                <c:pt idx="58">
                  <c:v>501</c:v>
                </c:pt>
                <c:pt idx="59">
                  <c:v>409</c:v>
                </c:pt>
                <c:pt idx="60">
                  <c:v>440</c:v>
                </c:pt>
                <c:pt idx="61">
                  <c:v>475</c:v>
                </c:pt>
                <c:pt idx="62">
                  <c:v>463</c:v>
                </c:pt>
                <c:pt idx="63">
                  <c:v>450</c:v>
                </c:pt>
                <c:pt idx="64">
                  <c:v>448</c:v>
                </c:pt>
                <c:pt idx="65">
                  <c:v>440</c:v>
                </c:pt>
                <c:pt idx="66">
                  <c:v>434</c:v>
                </c:pt>
                <c:pt idx="67">
                  <c:v>472</c:v>
                </c:pt>
                <c:pt idx="68">
                  <c:v>470</c:v>
                </c:pt>
                <c:pt idx="69">
                  <c:v>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23-473B-956D-E420DC08B04E}"/>
            </c:ext>
          </c:extLst>
        </c:ser>
        <c:ser>
          <c:idx val="3"/>
          <c:order val="3"/>
          <c:tx>
            <c:v>New District Brewing Co.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'[1]New District'!$E$2:$E$87</c:f>
              <c:numCache>
                <c:formatCode>General</c:formatCode>
                <c:ptCount val="86"/>
                <c:pt idx="0">
                  <c:v>440</c:v>
                </c:pt>
                <c:pt idx="1">
                  <c:v>421</c:v>
                </c:pt>
                <c:pt idx="2">
                  <c:v>408</c:v>
                </c:pt>
                <c:pt idx="3">
                  <c:v>439</c:v>
                </c:pt>
                <c:pt idx="4">
                  <c:v>433</c:v>
                </c:pt>
                <c:pt idx="5">
                  <c:v>413</c:v>
                </c:pt>
                <c:pt idx="6">
                  <c:v>413</c:v>
                </c:pt>
                <c:pt idx="7">
                  <c:v>403</c:v>
                </c:pt>
                <c:pt idx="8">
                  <c:v>423</c:v>
                </c:pt>
                <c:pt idx="9">
                  <c:v>459</c:v>
                </c:pt>
                <c:pt idx="10">
                  <c:v>435</c:v>
                </c:pt>
                <c:pt idx="11">
                  <c:v>413</c:v>
                </c:pt>
                <c:pt idx="12">
                  <c:v>461</c:v>
                </c:pt>
                <c:pt idx="13">
                  <c:v>449</c:v>
                </c:pt>
                <c:pt idx="14">
                  <c:v>438</c:v>
                </c:pt>
                <c:pt idx="15">
                  <c:v>458</c:v>
                </c:pt>
                <c:pt idx="16">
                  <c:v>445</c:v>
                </c:pt>
                <c:pt idx="17">
                  <c:v>480</c:v>
                </c:pt>
                <c:pt idx="18">
                  <c:v>470</c:v>
                </c:pt>
                <c:pt idx="19">
                  <c:v>490</c:v>
                </c:pt>
                <c:pt idx="20">
                  <c:v>478</c:v>
                </c:pt>
                <c:pt idx="21">
                  <c:v>470</c:v>
                </c:pt>
                <c:pt idx="22">
                  <c:v>436</c:v>
                </c:pt>
                <c:pt idx="23">
                  <c:v>475</c:v>
                </c:pt>
                <c:pt idx="24">
                  <c:v>525</c:v>
                </c:pt>
                <c:pt idx="25">
                  <c:v>468</c:v>
                </c:pt>
                <c:pt idx="26">
                  <c:v>475</c:v>
                </c:pt>
                <c:pt idx="27">
                  <c:v>491</c:v>
                </c:pt>
                <c:pt idx="28">
                  <c:v>550</c:v>
                </c:pt>
                <c:pt idx="29">
                  <c:v>491</c:v>
                </c:pt>
                <c:pt idx="30">
                  <c:v>437</c:v>
                </c:pt>
                <c:pt idx="31">
                  <c:v>551</c:v>
                </c:pt>
                <c:pt idx="32">
                  <c:v>477</c:v>
                </c:pt>
                <c:pt idx="33">
                  <c:v>459</c:v>
                </c:pt>
                <c:pt idx="34">
                  <c:v>528</c:v>
                </c:pt>
                <c:pt idx="35">
                  <c:v>458</c:v>
                </c:pt>
                <c:pt idx="36">
                  <c:v>574</c:v>
                </c:pt>
                <c:pt idx="37">
                  <c:v>579</c:v>
                </c:pt>
                <c:pt idx="38">
                  <c:v>427</c:v>
                </c:pt>
                <c:pt idx="39">
                  <c:v>489</c:v>
                </c:pt>
                <c:pt idx="40">
                  <c:v>557</c:v>
                </c:pt>
                <c:pt idx="41">
                  <c:v>554</c:v>
                </c:pt>
                <c:pt idx="42">
                  <c:v>591</c:v>
                </c:pt>
                <c:pt idx="43">
                  <c:v>516</c:v>
                </c:pt>
                <c:pt idx="44">
                  <c:v>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23-473B-956D-E420DC08B04E}"/>
            </c:ext>
          </c:extLst>
        </c:ser>
        <c:ser>
          <c:idx val="4"/>
          <c:order val="4"/>
          <c:tx>
            <c:v>Georgetown Running Company</c:v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val>
            <c:numRef>
              <c:f>'[1]Georgetown Running Company'!$E$2:$E$85</c:f>
              <c:numCache>
                <c:formatCode>General</c:formatCode>
                <c:ptCount val="84"/>
                <c:pt idx="0">
                  <c:v>495</c:v>
                </c:pt>
                <c:pt idx="1">
                  <c:v>536</c:v>
                </c:pt>
                <c:pt idx="2">
                  <c:v>535</c:v>
                </c:pt>
                <c:pt idx="3">
                  <c:v>432</c:v>
                </c:pt>
                <c:pt idx="4">
                  <c:v>540</c:v>
                </c:pt>
                <c:pt idx="5">
                  <c:v>557</c:v>
                </c:pt>
                <c:pt idx="6">
                  <c:v>546</c:v>
                </c:pt>
                <c:pt idx="7">
                  <c:v>530</c:v>
                </c:pt>
                <c:pt idx="8">
                  <c:v>501</c:v>
                </c:pt>
                <c:pt idx="9">
                  <c:v>470</c:v>
                </c:pt>
                <c:pt idx="10">
                  <c:v>463</c:v>
                </c:pt>
                <c:pt idx="11">
                  <c:v>472</c:v>
                </c:pt>
                <c:pt idx="12">
                  <c:v>536</c:v>
                </c:pt>
                <c:pt idx="13">
                  <c:v>514</c:v>
                </c:pt>
                <c:pt idx="14">
                  <c:v>478</c:v>
                </c:pt>
                <c:pt idx="15">
                  <c:v>457</c:v>
                </c:pt>
                <c:pt idx="16">
                  <c:v>534</c:v>
                </c:pt>
                <c:pt idx="17">
                  <c:v>492</c:v>
                </c:pt>
                <c:pt idx="18">
                  <c:v>501</c:v>
                </c:pt>
                <c:pt idx="19">
                  <c:v>484</c:v>
                </c:pt>
                <c:pt idx="20">
                  <c:v>499</c:v>
                </c:pt>
                <c:pt idx="21">
                  <c:v>510</c:v>
                </c:pt>
                <c:pt idx="22">
                  <c:v>495</c:v>
                </c:pt>
                <c:pt idx="23">
                  <c:v>494</c:v>
                </c:pt>
                <c:pt idx="24">
                  <c:v>492</c:v>
                </c:pt>
                <c:pt idx="25">
                  <c:v>528</c:v>
                </c:pt>
                <c:pt idx="26">
                  <c:v>524</c:v>
                </c:pt>
                <c:pt idx="27">
                  <c:v>476</c:v>
                </c:pt>
                <c:pt idx="28">
                  <c:v>521</c:v>
                </c:pt>
                <c:pt idx="29">
                  <c:v>490</c:v>
                </c:pt>
                <c:pt idx="30">
                  <c:v>503</c:v>
                </c:pt>
                <c:pt idx="31">
                  <c:v>467</c:v>
                </c:pt>
                <c:pt idx="32">
                  <c:v>532</c:v>
                </c:pt>
                <c:pt idx="33">
                  <c:v>487</c:v>
                </c:pt>
                <c:pt idx="34">
                  <c:v>469</c:v>
                </c:pt>
                <c:pt idx="35">
                  <c:v>489</c:v>
                </c:pt>
                <c:pt idx="36">
                  <c:v>451</c:v>
                </c:pt>
                <c:pt idx="37">
                  <c:v>455</c:v>
                </c:pt>
                <c:pt idx="38">
                  <c:v>496</c:v>
                </c:pt>
                <c:pt idx="39">
                  <c:v>435</c:v>
                </c:pt>
                <c:pt idx="40">
                  <c:v>524</c:v>
                </c:pt>
                <c:pt idx="41">
                  <c:v>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23-473B-956D-E420DC08B04E}"/>
            </c:ext>
          </c:extLst>
        </c:ser>
        <c:ser>
          <c:idx val="5"/>
          <c:order val="5"/>
          <c:tx>
            <c:v>Astro Lab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'[1]Astro Lab'!$F$2:$F$40</c:f>
              <c:numCache>
                <c:formatCode>General</c:formatCode>
                <c:ptCount val="39"/>
                <c:pt idx="0">
                  <c:v>543</c:v>
                </c:pt>
                <c:pt idx="1">
                  <c:v>527</c:v>
                </c:pt>
                <c:pt idx="2">
                  <c:v>477</c:v>
                </c:pt>
                <c:pt idx="3">
                  <c:v>522</c:v>
                </c:pt>
                <c:pt idx="4">
                  <c:v>482</c:v>
                </c:pt>
                <c:pt idx="5">
                  <c:v>529</c:v>
                </c:pt>
                <c:pt idx="6">
                  <c:v>466</c:v>
                </c:pt>
                <c:pt idx="7">
                  <c:v>493</c:v>
                </c:pt>
                <c:pt idx="8">
                  <c:v>457</c:v>
                </c:pt>
                <c:pt idx="9">
                  <c:v>574</c:v>
                </c:pt>
                <c:pt idx="10">
                  <c:v>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23-473B-956D-E420DC08B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8939840"/>
        <c:axId val="722198560"/>
      </c:lineChart>
      <c:catAx>
        <c:axId val="27893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#</a:t>
                </a:r>
              </a:p>
            </c:rich>
          </c:tx>
          <c:layout>
            <c:manualLayout>
              <c:xMode val="edge"/>
              <c:yMode val="edge"/>
              <c:x val="0.47964122645392337"/>
              <c:y val="0.9606147953061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198560"/>
        <c:crosses val="autoZero"/>
        <c:auto val="1"/>
        <c:lblAlgn val="ctr"/>
        <c:lblOffset val="100"/>
        <c:noMultiLvlLbl val="0"/>
      </c:catAx>
      <c:valAx>
        <c:axId val="722198560"/>
        <c:scaling>
          <c:orientation val="minMax"/>
          <c:max val="660"/>
          <c:min val="3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Pace (in seconds)</a:t>
                </a:r>
              </a:p>
            </c:rich>
          </c:tx>
          <c:layout>
            <c:manualLayout>
              <c:xMode val="edge"/>
              <c:yMode val="edge"/>
              <c:x val="8.953688384793708E-4"/>
              <c:y val="0.396384228034651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939840"/>
        <c:crosses val="autoZero"/>
        <c:crossBetween val="between"/>
        <c:majorUnit val="30"/>
        <c:min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9529982420981"/>
          <c:y val="0.18150772359855125"/>
          <c:w val="0.16973029233414788"/>
          <c:h val="0.32497375839378234"/>
        </c:manualLayout>
      </c:layout>
      <c:overlay val="0"/>
      <c:spPr>
        <a:solidFill>
          <a:schemeClr val="bg1"/>
        </a:solidFill>
        <a:ln>
          <a:solidFill>
            <a:srgbClr val="0070C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Mileage Per Month</a:t>
            </a:r>
          </a:p>
        </c:rich>
      </c:tx>
      <c:layout>
        <c:manualLayout>
          <c:xMode val="edge"/>
          <c:yMode val="edge"/>
          <c:x val="0.37728507017576429"/>
          <c:y val="6.897465842247426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197756223040586E-2"/>
          <c:y val="7.5936945319769494E-2"/>
          <c:w val="0.94827714469751356"/>
          <c:h val="0.7325026650715333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833065D-1321-4DF5-8372-5D9511BAA6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1E7-4C63-B51E-90E0F92ADBB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136B430-51BD-47E4-B577-1237176021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1E7-4C63-B51E-90E0F92ADBB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1612613-A555-4C05-A5CC-DE6D81890E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1E7-4C63-B51E-90E0F92ADBB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B0CF09E-C932-42C3-BE92-3EEB60D2CE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1E7-4C63-B51E-90E0F92ADBB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98F092D-84B0-424A-B0CD-E659C23377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1E7-4C63-B51E-90E0F92ADBB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76A507C-B71C-4A5A-A7C5-F2E1B22833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1E7-4C63-B51E-90E0F92ADBB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6063C75-FC96-4A3C-913E-5BC12F2A85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1E7-4C63-B51E-90E0F92ADBB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03B5197-BF73-464C-B741-1EDE3B0930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1E7-4C63-B51E-90E0F92ADBB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9F996EF-4D7D-4EF7-B9BF-9F85DDDA44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1E7-4C63-B51E-90E0F92ADBB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6DDB72E-01AB-45D3-87EB-4B69D53C91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1E7-4C63-B51E-90E0F92ADBB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672D5AF-D801-4664-9CFD-C8EE5725DC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1E7-4C63-B51E-90E0F92ADBB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528272D-2E10-4571-B901-656A0F0603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1E7-4C63-B51E-90E0F92ADBB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FE4ED47-FD50-4972-B98B-8FBD63F3B6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1E7-4C63-B51E-90E0F92ADBB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2178C34-EB66-4C0E-BC24-A34AEFE1A8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1E7-4C63-B51E-90E0F92ADBB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B40AE3A-FA5A-4089-B5FF-5D768FBFF6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1E7-4C63-B51E-90E0F92ADBB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0897C48-1ECD-491B-BD6B-060C47DF48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1E7-4C63-B51E-90E0F92ADBB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933F165-980A-4907-B4CA-655D86790F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1E7-4C63-B51E-90E0F92ADB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'[1]Runs by Month'!$A$2:$A$18</c:f>
              <c:strCache>
                <c:ptCount val="17"/>
                <c:pt idx="0">
                  <c:v>August 2020</c:v>
                </c:pt>
                <c:pt idx="1">
                  <c:v>September 2020</c:v>
                </c:pt>
                <c:pt idx="2">
                  <c:v>October 2020</c:v>
                </c:pt>
                <c:pt idx="3">
                  <c:v>November 2020</c:v>
                </c:pt>
                <c:pt idx="4">
                  <c:v>December 2020</c:v>
                </c:pt>
                <c:pt idx="5">
                  <c:v>January 2021</c:v>
                </c:pt>
                <c:pt idx="6">
                  <c:v>February 2021</c:v>
                </c:pt>
                <c:pt idx="7">
                  <c:v>March 2021</c:v>
                </c:pt>
                <c:pt idx="8">
                  <c:v>April 2021</c:v>
                </c:pt>
                <c:pt idx="9">
                  <c:v>May 2021</c:v>
                </c:pt>
                <c:pt idx="10">
                  <c:v>June 2021</c:v>
                </c:pt>
                <c:pt idx="11">
                  <c:v>July 2021</c:v>
                </c:pt>
                <c:pt idx="12">
                  <c:v>August 2021</c:v>
                </c:pt>
                <c:pt idx="13">
                  <c:v>September 2021</c:v>
                </c:pt>
                <c:pt idx="14">
                  <c:v>October 2021</c:v>
                </c:pt>
                <c:pt idx="15">
                  <c:v>November 2021</c:v>
                </c:pt>
                <c:pt idx="16">
                  <c:v>December 2021</c:v>
                </c:pt>
              </c:strCache>
            </c:strRef>
          </c:cat>
          <c:val>
            <c:numRef>
              <c:f>'[1]Runs by Month'!$B$2:$B$18</c:f>
              <c:numCache>
                <c:formatCode>General</c:formatCode>
                <c:ptCount val="17"/>
                <c:pt idx="0">
                  <c:v>147.29000000000002</c:v>
                </c:pt>
                <c:pt idx="1">
                  <c:v>140.57</c:v>
                </c:pt>
                <c:pt idx="2">
                  <c:v>161.79</c:v>
                </c:pt>
                <c:pt idx="3">
                  <c:v>195.79000000000005</c:v>
                </c:pt>
                <c:pt idx="4">
                  <c:v>195.92000000000002</c:v>
                </c:pt>
                <c:pt idx="5">
                  <c:v>196.92</c:v>
                </c:pt>
                <c:pt idx="6">
                  <c:v>147.59000000000003</c:v>
                </c:pt>
                <c:pt idx="7">
                  <c:v>128.34</c:v>
                </c:pt>
                <c:pt idx="8">
                  <c:v>116.22000000000001</c:v>
                </c:pt>
                <c:pt idx="9">
                  <c:v>139.39999999999998</c:v>
                </c:pt>
                <c:pt idx="10">
                  <c:v>152.98000000000002</c:v>
                </c:pt>
                <c:pt idx="11">
                  <c:v>108.9</c:v>
                </c:pt>
                <c:pt idx="12">
                  <c:v>134</c:v>
                </c:pt>
                <c:pt idx="13">
                  <c:v>106.13</c:v>
                </c:pt>
                <c:pt idx="14">
                  <c:v>104.55</c:v>
                </c:pt>
                <c:pt idx="15">
                  <c:v>112.14</c:v>
                </c:pt>
                <c:pt idx="16">
                  <c:v>105.83999999999999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'[1]Runs by Month'!$B$2:$B$18</c15:f>
                <c15:dlblRangeCache>
                  <c:ptCount val="17"/>
                  <c:pt idx="0">
                    <c:v>147.29</c:v>
                  </c:pt>
                  <c:pt idx="1">
                    <c:v>140.57</c:v>
                  </c:pt>
                  <c:pt idx="2">
                    <c:v>161.79</c:v>
                  </c:pt>
                  <c:pt idx="3">
                    <c:v>195.79</c:v>
                  </c:pt>
                  <c:pt idx="4">
                    <c:v>195.92</c:v>
                  </c:pt>
                  <c:pt idx="5">
                    <c:v>196.92</c:v>
                  </c:pt>
                  <c:pt idx="6">
                    <c:v>147.59</c:v>
                  </c:pt>
                  <c:pt idx="7">
                    <c:v>128.34</c:v>
                  </c:pt>
                  <c:pt idx="8">
                    <c:v>116.22</c:v>
                  </c:pt>
                  <c:pt idx="9">
                    <c:v>139.4</c:v>
                  </c:pt>
                  <c:pt idx="10">
                    <c:v>152.98</c:v>
                  </c:pt>
                  <c:pt idx="11">
                    <c:v>108.9</c:v>
                  </c:pt>
                  <c:pt idx="12">
                    <c:v>134</c:v>
                  </c:pt>
                  <c:pt idx="13">
                    <c:v>106.13</c:v>
                  </c:pt>
                  <c:pt idx="14">
                    <c:v>104.55</c:v>
                  </c:pt>
                  <c:pt idx="15">
                    <c:v>112.14</c:v>
                  </c:pt>
                  <c:pt idx="16">
                    <c:v>105.84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71E7-4C63-B51E-90E0F92AD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741400"/>
        <c:axId val="750742384"/>
      </c:barChart>
      <c:catAx>
        <c:axId val="750741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742384"/>
        <c:crosses val="autoZero"/>
        <c:auto val="1"/>
        <c:lblAlgn val="ctr"/>
        <c:lblOffset val="100"/>
        <c:noMultiLvlLbl val="0"/>
      </c:catAx>
      <c:valAx>
        <c:axId val="750742384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741400"/>
        <c:crosses val="autoZero"/>
        <c:crossBetween val="between"/>
        <c:majorUnit val="50"/>
        <c:minorUnit val="10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Pace per Mile by Month</a:t>
            </a:r>
          </a:p>
        </c:rich>
      </c:tx>
      <c:layout>
        <c:manualLayout>
          <c:xMode val="edge"/>
          <c:yMode val="edge"/>
          <c:x val="0.3753626996674370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63215554554939E-2"/>
          <c:y val="3.4363843798604569E-2"/>
          <c:w val="0.94924353125983552"/>
          <c:h val="0.9157309702378315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8EC7BFF-DA8F-4B45-AB95-08CF2F81CC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72E-4DEC-8AEA-6E469B884AB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F4B1D67-92B3-4893-955C-9A71687B81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72E-4DEC-8AEA-6E469B884AB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4228CE8-C458-4C61-99CF-94ABA40610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2E-4DEC-8AEA-6E469B884AB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DBB73E5-EE63-49A4-B9F1-090D3D086B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2E-4DEC-8AEA-6E469B884AB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40AE90A-2996-4D66-A6BD-536F58CDC2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72E-4DEC-8AEA-6E469B884AB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5450B4C-E65C-474F-A14B-5D792FD0AE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72E-4DEC-8AEA-6E469B884AB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2E5A025-C305-4B22-9E2B-DE33C7ADD7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72E-4DEC-8AEA-6E469B884AB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BBB6773-8F4E-46EE-9B46-85D2BB3732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72E-4DEC-8AEA-6E469B884AB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90B36F9-BADF-4B66-B31B-2DFF18D6C3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72E-4DEC-8AEA-6E469B884AB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DEABCDF-0CF0-4E31-85BC-1C43A4610E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72E-4DEC-8AEA-6E469B884AB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741799C-DF1A-474D-844A-83F46D1FFF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72E-4DEC-8AEA-6E469B884AB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532F22D-6518-4CE9-A027-E0E5602352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72E-4DEC-8AEA-6E469B884AB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71FE02C-8622-4341-94D4-3498E0F941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372E-4DEC-8AEA-6E469B884AB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19F0ADF-EE76-4888-9A09-30BA00D11D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372E-4DEC-8AEA-6E469B884AB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D1E6E4E-4EDD-4A0F-BF8D-64CB47E5C9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372E-4DEC-8AEA-6E469B884AB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5F62766-F21B-452D-AAE8-0D9AC49DFB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372E-4DEC-8AEA-6E469B884AB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1CE9A4C-12C0-40C2-BCC2-51D6766E82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372E-4DEC-8AEA-6E469B884A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'[1]Runs by Month'!$A$2:$A$18</c:f>
              <c:strCache>
                <c:ptCount val="17"/>
                <c:pt idx="0">
                  <c:v>August 2020</c:v>
                </c:pt>
                <c:pt idx="1">
                  <c:v>September 2020</c:v>
                </c:pt>
                <c:pt idx="2">
                  <c:v>October 2020</c:v>
                </c:pt>
                <c:pt idx="3">
                  <c:v>November 2020</c:v>
                </c:pt>
                <c:pt idx="4">
                  <c:v>December 2020</c:v>
                </c:pt>
                <c:pt idx="5">
                  <c:v>January 2021</c:v>
                </c:pt>
                <c:pt idx="6">
                  <c:v>February 2021</c:v>
                </c:pt>
                <c:pt idx="7">
                  <c:v>March 2021</c:v>
                </c:pt>
                <c:pt idx="8">
                  <c:v>April 2021</c:v>
                </c:pt>
                <c:pt idx="9">
                  <c:v>May 2021</c:v>
                </c:pt>
                <c:pt idx="10">
                  <c:v>June 2021</c:v>
                </c:pt>
                <c:pt idx="11">
                  <c:v>July 2021</c:v>
                </c:pt>
                <c:pt idx="12">
                  <c:v>August 2021</c:v>
                </c:pt>
                <c:pt idx="13">
                  <c:v>September 2021</c:v>
                </c:pt>
                <c:pt idx="14">
                  <c:v>October 2021</c:v>
                </c:pt>
                <c:pt idx="15">
                  <c:v>November 2021</c:v>
                </c:pt>
                <c:pt idx="16">
                  <c:v>December 2021</c:v>
                </c:pt>
              </c:strCache>
            </c:strRef>
          </c:cat>
          <c:val>
            <c:numRef>
              <c:f>'[1]Runs by Month'!$D$2:$D$18</c:f>
              <c:numCache>
                <c:formatCode>General</c:formatCode>
                <c:ptCount val="17"/>
                <c:pt idx="0">
                  <c:v>498.01751646411833</c:v>
                </c:pt>
                <c:pt idx="1">
                  <c:v>490.66657181475426</c:v>
                </c:pt>
                <c:pt idx="2">
                  <c:v>491.8041906174671</c:v>
                </c:pt>
                <c:pt idx="3">
                  <c:v>494.87716430869796</c:v>
                </c:pt>
                <c:pt idx="4">
                  <c:v>518.37995100040825</c:v>
                </c:pt>
                <c:pt idx="5">
                  <c:v>504.91570180784078</c:v>
                </c:pt>
                <c:pt idx="6">
                  <c:v>498.17060776475358</c:v>
                </c:pt>
                <c:pt idx="7">
                  <c:v>514.52392083528127</c:v>
                </c:pt>
                <c:pt idx="8">
                  <c:v>532.04267768026148</c:v>
                </c:pt>
                <c:pt idx="9">
                  <c:v>522.69727403156389</c:v>
                </c:pt>
                <c:pt idx="10">
                  <c:v>543.91744233103998</c:v>
                </c:pt>
                <c:pt idx="11">
                  <c:v>523.33333333333326</c:v>
                </c:pt>
                <c:pt idx="12">
                  <c:v>532.47761194029852</c:v>
                </c:pt>
                <c:pt idx="13">
                  <c:v>509.11146706868936</c:v>
                </c:pt>
                <c:pt idx="14">
                  <c:v>518.03921568627447</c:v>
                </c:pt>
                <c:pt idx="15">
                  <c:v>513.62582486177996</c:v>
                </c:pt>
                <c:pt idx="16">
                  <c:v>523.02532123960702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'[1]Runs by Month'!$C$2:$C$18</c15:f>
                <c15:dlblRangeCache>
                  <c:ptCount val="17"/>
                  <c:pt idx="0">
                    <c:v>8:18.0</c:v>
                  </c:pt>
                  <c:pt idx="1">
                    <c:v>8:10.7</c:v>
                  </c:pt>
                  <c:pt idx="2">
                    <c:v>8:11.8</c:v>
                  </c:pt>
                  <c:pt idx="3">
                    <c:v>8:14.9</c:v>
                  </c:pt>
                  <c:pt idx="4">
                    <c:v>8:38.4</c:v>
                  </c:pt>
                  <c:pt idx="5">
                    <c:v>8:24.9</c:v>
                  </c:pt>
                  <c:pt idx="6">
                    <c:v>8:18.2</c:v>
                  </c:pt>
                  <c:pt idx="7">
                    <c:v>8:34.5</c:v>
                  </c:pt>
                  <c:pt idx="8">
                    <c:v>8:52.0</c:v>
                  </c:pt>
                  <c:pt idx="9">
                    <c:v>8:42.7</c:v>
                  </c:pt>
                  <c:pt idx="10">
                    <c:v>9:03.9</c:v>
                  </c:pt>
                  <c:pt idx="11">
                    <c:v>8:43.3</c:v>
                  </c:pt>
                  <c:pt idx="12">
                    <c:v>8:52.5</c:v>
                  </c:pt>
                  <c:pt idx="13">
                    <c:v>8:29.1</c:v>
                  </c:pt>
                  <c:pt idx="14">
                    <c:v>8:38.0</c:v>
                  </c:pt>
                  <c:pt idx="15">
                    <c:v>8:33.6</c:v>
                  </c:pt>
                  <c:pt idx="16">
                    <c:v>8:43.0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372E-4DEC-8AEA-6E469B884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7260824"/>
        <c:axId val="737261152"/>
      </c:barChart>
      <c:catAx>
        <c:axId val="73726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61152"/>
        <c:crosses val="autoZero"/>
        <c:auto val="1"/>
        <c:lblAlgn val="ctr"/>
        <c:lblOffset val="100"/>
        <c:noMultiLvlLbl val="0"/>
      </c:catAx>
      <c:valAx>
        <c:axId val="737261152"/>
        <c:scaling>
          <c:orientation val="minMax"/>
          <c:max val="5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60824"/>
        <c:crosses val="autoZero"/>
        <c:crossBetween val="between"/>
        <c:majorUnit val="60"/>
        <c:minorUnit val="10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Mile</a:t>
            </a:r>
            <a:r>
              <a:rPr lang="en-US" baseline="0"/>
              <a:t> </a:t>
            </a:r>
            <a:r>
              <a:rPr lang="en-US"/>
              <a:t>Pace</a:t>
            </a:r>
            <a:r>
              <a:rPr lang="en-US" baseline="0"/>
              <a:t> Per Run Throughout the Streak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63963500339E-2"/>
          <c:y val="4.8224299065420563E-2"/>
          <c:w val="0.96845262429523582"/>
          <c:h val="0.9104792742028742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'[1]Kris''s Streak'!$A$2:$A$804</c:f>
              <c:numCache>
                <c:formatCode>m/d/yy;@</c:formatCode>
                <c:ptCount val="803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  <c:pt idx="105">
                  <c:v>44149</c:v>
                </c:pt>
                <c:pt idx="106">
                  <c:v>44150</c:v>
                </c:pt>
                <c:pt idx="107">
                  <c:v>44151</c:v>
                </c:pt>
                <c:pt idx="108">
                  <c:v>44152</c:v>
                </c:pt>
                <c:pt idx="109">
                  <c:v>44153</c:v>
                </c:pt>
                <c:pt idx="110">
                  <c:v>44154</c:v>
                </c:pt>
                <c:pt idx="111">
                  <c:v>44155</c:v>
                </c:pt>
                <c:pt idx="112">
                  <c:v>44156</c:v>
                </c:pt>
                <c:pt idx="113">
                  <c:v>44157</c:v>
                </c:pt>
                <c:pt idx="114">
                  <c:v>44158</c:v>
                </c:pt>
                <c:pt idx="115">
                  <c:v>44159</c:v>
                </c:pt>
                <c:pt idx="116">
                  <c:v>44160</c:v>
                </c:pt>
                <c:pt idx="117">
                  <c:v>44161</c:v>
                </c:pt>
                <c:pt idx="118">
                  <c:v>44162</c:v>
                </c:pt>
                <c:pt idx="119">
                  <c:v>44163</c:v>
                </c:pt>
                <c:pt idx="120">
                  <c:v>44164</c:v>
                </c:pt>
                <c:pt idx="121">
                  <c:v>44165</c:v>
                </c:pt>
                <c:pt idx="122">
                  <c:v>44166</c:v>
                </c:pt>
                <c:pt idx="123">
                  <c:v>44167</c:v>
                </c:pt>
                <c:pt idx="124">
                  <c:v>44168</c:v>
                </c:pt>
                <c:pt idx="125">
                  <c:v>44169</c:v>
                </c:pt>
                <c:pt idx="126">
                  <c:v>44170</c:v>
                </c:pt>
                <c:pt idx="127">
                  <c:v>44171</c:v>
                </c:pt>
                <c:pt idx="128">
                  <c:v>44172</c:v>
                </c:pt>
                <c:pt idx="129">
                  <c:v>44173</c:v>
                </c:pt>
                <c:pt idx="130">
                  <c:v>44174</c:v>
                </c:pt>
                <c:pt idx="131">
                  <c:v>44175</c:v>
                </c:pt>
                <c:pt idx="132">
                  <c:v>44176</c:v>
                </c:pt>
                <c:pt idx="133">
                  <c:v>44177</c:v>
                </c:pt>
                <c:pt idx="134">
                  <c:v>44178</c:v>
                </c:pt>
                <c:pt idx="135">
                  <c:v>44179</c:v>
                </c:pt>
                <c:pt idx="136">
                  <c:v>44180</c:v>
                </c:pt>
                <c:pt idx="137">
                  <c:v>44181</c:v>
                </c:pt>
                <c:pt idx="138">
                  <c:v>44182</c:v>
                </c:pt>
                <c:pt idx="139">
                  <c:v>44183</c:v>
                </c:pt>
                <c:pt idx="140">
                  <c:v>44184</c:v>
                </c:pt>
                <c:pt idx="141">
                  <c:v>44185</c:v>
                </c:pt>
                <c:pt idx="142">
                  <c:v>44186</c:v>
                </c:pt>
                <c:pt idx="143">
                  <c:v>44187</c:v>
                </c:pt>
                <c:pt idx="144">
                  <c:v>44188</c:v>
                </c:pt>
                <c:pt idx="145">
                  <c:v>44189</c:v>
                </c:pt>
                <c:pt idx="146">
                  <c:v>44190</c:v>
                </c:pt>
                <c:pt idx="147">
                  <c:v>44191</c:v>
                </c:pt>
                <c:pt idx="148">
                  <c:v>44192</c:v>
                </c:pt>
                <c:pt idx="149">
                  <c:v>44193</c:v>
                </c:pt>
                <c:pt idx="150">
                  <c:v>44194</c:v>
                </c:pt>
                <c:pt idx="151">
                  <c:v>44195</c:v>
                </c:pt>
                <c:pt idx="152">
                  <c:v>44196</c:v>
                </c:pt>
                <c:pt idx="153">
                  <c:v>44197</c:v>
                </c:pt>
                <c:pt idx="154">
                  <c:v>44198</c:v>
                </c:pt>
                <c:pt idx="155">
                  <c:v>44199</c:v>
                </c:pt>
                <c:pt idx="156">
                  <c:v>44200</c:v>
                </c:pt>
                <c:pt idx="157">
                  <c:v>44201</c:v>
                </c:pt>
                <c:pt idx="158">
                  <c:v>44202</c:v>
                </c:pt>
                <c:pt idx="159">
                  <c:v>44203</c:v>
                </c:pt>
                <c:pt idx="160">
                  <c:v>44204</c:v>
                </c:pt>
                <c:pt idx="161">
                  <c:v>44205</c:v>
                </c:pt>
                <c:pt idx="162">
                  <c:v>44206</c:v>
                </c:pt>
                <c:pt idx="163">
                  <c:v>44207</c:v>
                </c:pt>
                <c:pt idx="164">
                  <c:v>44208</c:v>
                </c:pt>
                <c:pt idx="165">
                  <c:v>44209</c:v>
                </c:pt>
                <c:pt idx="166">
                  <c:v>44210</c:v>
                </c:pt>
                <c:pt idx="167">
                  <c:v>44211</c:v>
                </c:pt>
                <c:pt idx="168">
                  <c:v>44212</c:v>
                </c:pt>
                <c:pt idx="169">
                  <c:v>44213</c:v>
                </c:pt>
                <c:pt idx="170">
                  <c:v>44214</c:v>
                </c:pt>
                <c:pt idx="171">
                  <c:v>44215</c:v>
                </c:pt>
                <c:pt idx="172">
                  <c:v>44216</c:v>
                </c:pt>
                <c:pt idx="173">
                  <c:v>44217</c:v>
                </c:pt>
                <c:pt idx="174">
                  <c:v>44218</c:v>
                </c:pt>
                <c:pt idx="175">
                  <c:v>44219</c:v>
                </c:pt>
                <c:pt idx="176">
                  <c:v>44220</c:v>
                </c:pt>
                <c:pt idx="177">
                  <c:v>44221</c:v>
                </c:pt>
                <c:pt idx="178">
                  <c:v>44222</c:v>
                </c:pt>
                <c:pt idx="179">
                  <c:v>44223</c:v>
                </c:pt>
                <c:pt idx="180">
                  <c:v>44224</c:v>
                </c:pt>
                <c:pt idx="181">
                  <c:v>44225</c:v>
                </c:pt>
                <c:pt idx="182">
                  <c:v>44226</c:v>
                </c:pt>
                <c:pt idx="183">
                  <c:v>44227</c:v>
                </c:pt>
                <c:pt idx="184">
                  <c:v>44228</c:v>
                </c:pt>
                <c:pt idx="185">
                  <c:v>44229</c:v>
                </c:pt>
                <c:pt idx="186">
                  <c:v>44230</c:v>
                </c:pt>
                <c:pt idx="187">
                  <c:v>44231</c:v>
                </c:pt>
                <c:pt idx="188">
                  <c:v>44232</c:v>
                </c:pt>
                <c:pt idx="189">
                  <c:v>44233</c:v>
                </c:pt>
                <c:pt idx="190">
                  <c:v>44234</c:v>
                </c:pt>
                <c:pt idx="191">
                  <c:v>44235</c:v>
                </c:pt>
                <c:pt idx="192">
                  <c:v>44236</c:v>
                </c:pt>
                <c:pt idx="193">
                  <c:v>44237</c:v>
                </c:pt>
                <c:pt idx="194">
                  <c:v>44238</c:v>
                </c:pt>
                <c:pt idx="195">
                  <c:v>44239</c:v>
                </c:pt>
                <c:pt idx="196">
                  <c:v>44240</c:v>
                </c:pt>
                <c:pt idx="197">
                  <c:v>44241</c:v>
                </c:pt>
                <c:pt idx="198">
                  <c:v>44242</c:v>
                </c:pt>
                <c:pt idx="199">
                  <c:v>44243</c:v>
                </c:pt>
                <c:pt idx="200">
                  <c:v>44244</c:v>
                </c:pt>
                <c:pt idx="201">
                  <c:v>44245</c:v>
                </c:pt>
                <c:pt idx="202">
                  <c:v>44246</c:v>
                </c:pt>
                <c:pt idx="203">
                  <c:v>44247</c:v>
                </c:pt>
                <c:pt idx="204">
                  <c:v>44248</c:v>
                </c:pt>
                <c:pt idx="205">
                  <c:v>44249</c:v>
                </c:pt>
                <c:pt idx="206">
                  <c:v>44250</c:v>
                </c:pt>
                <c:pt idx="207">
                  <c:v>44251</c:v>
                </c:pt>
                <c:pt idx="208">
                  <c:v>44252</c:v>
                </c:pt>
                <c:pt idx="209">
                  <c:v>44253</c:v>
                </c:pt>
                <c:pt idx="210">
                  <c:v>44254</c:v>
                </c:pt>
                <c:pt idx="211">
                  <c:v>44255</c:v>
                </c:pt>
                <c:pt idx="212">
                  <c:v>44256</c:v>
                </c:pt>
                <c:pt idx="213">
                  <c:v>44257</c:v>
                </c:pt>
                <c:pt idx="214">
                  <c:v>44258</c:v>
                </c:pt>
                <c:pt idx="215">
                  <c:v>44259</c:v>
                </c:pt>
                <c:pt idx="216">
                  <c:v>44260</c:v>
                </c:pt>
                <c:pt idx="217">
                  <c:v>44261</c:v>
                </c:pt>
                <c:pt idx="218">
                  <c:v>44262</c:v>
                </c:pt>
                <c:pt idx="219">
                  <c:v>44263</c:v>
                </c:pt>
                <c:pt idx="220">
                  <c:v>44264</c:v>
                </c:pt>
                <c:pt idx="221">
                  <c:v>44265</c:v>
                </c:pt>
                <c:pt idx="222">
                  <c:v>44266</c:v>
                </c:pt>
                <c:pt idx="223">
                  <c:v>44267</c:v>
                </c:pt>
                <c:pt idx="224">
                  <c:v>44268</c:v>
                </c:pt>
                <c:pt idx="225">
                  <c:v>44269</c:v>
                </c:pt>
                <c:pt idx="226">
                  <c:v>44270</c:v>
                </c:pt>
                <c:pt idx="227">
                  <c:v>44271</c:v>
                </c:pt>
                <c:pt idx="228">
                  <c:v>44272</c:v>
                </c:pt>
                <c:pt idx="229">
                  <c:v>44273</c:v>
                </c:pt>
                <c:pt idx="230">
                  <c:v>44274</c:v>
                </c:pt>
                <c:pt idx="231">
                  <c:v>44275</c:v>
                </c:pt>
                <c:pt idx="232">
                  <c:v>44276</c:v>
                </c:pt>
                <c:pt idx="233">
                  <c:v>44277</c:v>
                </c:pt>
                <c:pt idx="234">
                  <c:v>44278</c:v>
                </c:pt>
                <c:pt idx="235">
                  <c:v>44279</c:v>
                </c:pt>
                <c:pt idx="236">
                  <c:v>44280</c:v>
                </c:pt>
                <c:pt idx="237">
                  <c:v>44281</c:v>
                </c:pt>
                <c:pt idx="238">
                  <c:v>44282</c:v>
                </c:pt>
                <c:pt idx="239">
                  <c:v>44283</c:v>
                </c:pt>
                <c:pt idx="240">
                  <c:v>44284</c:v>
                </c:pt>
                <c:pt idx="241">
                  <c:v>44285</c:v>
                </c:pt>
                <c:pt idx="242">
                  <c:v>44286</c:v>
                </c:pt>
                <c:pt idx="243">
                  <c:v>44287</c:v>
                </c:pt>
                <c:pt idx="244">
                  <c:v>44288</c:v>
                </c:pt>
                <c:pt idx="245">
                  <c:v>44289</c:v>
                </c:pt>
                <c:pt idx="246">
                  <c:v>44290</c:v>
                </c:pt>
                <c:pt idx="247">
                  <c:v>44291</c:v>
                </c:pt>
                <c:pt idx="248">
                  <c:v>44292</c:v>
                </c:pt>
                <c:pt idx="249">
                  <c:v>44293</c:v>
                </c:pt>
                <c:pt idx="250">
                  <c:v>44294</c:v>
                </c:pt>
                <c:pt idx="251">
                  <c:v>44295</c:v>
                </c:pt>
                <c:pt idx="252">
                  <c:v>44296</c:v>
                </c:pt>
                <c:pt idx="253">
                  <c:v>44297</c:v>
                </c:pt>
                <c:pt idx="254">
                  <c:v>44298</c:v>
                </c:pt>
                <c:pt idx="255">
                  <c:v>44299</c:v>
                </c:pt>
                <c:pt idx="256">
                  <c:v>44300</c:v>
                </c:pt>
                <c:pt idx="257">
                  <c:v>44301</c:v>
                </c:pt>
                <c:pt idx="258">
                  <c:v>44302</c:v>
                </c:pt>
                <c:pt idx="259">
                  <c:v>44303</c:v>
                </c:pt>
                <c:pt idx="260">
                  <c:v>44304</c:v>
                </c:pt>
                <c:pt idx="261">
                  <c:v>44305</c:v>
                </c:pt>
                <c:pt idx="262">
                  <c:v>44306</c:v>
                </c:pt>
                <c:pt idx="263">
                  <c:v>44307</c:v>
                </c:pt>
                <c:pt idx="264">
                  <c:v>44308</c:v>
                </c:pt>
                <c:pt idx="265">
                  <c:v>44309</c:v>
                </c:pt>
                <c:pt idx="266">
                  <c:v>44310</c:v>
                </c:pt>
                <c:pt idx="267">
                  <c:v>44311</c:v>
                </c:pt>
                <c:pt idx="268">
                  <c:v>44312</c:v>
                </c:pt>
                <c:pt idx="269">
                  <c:v>44313</c:v>
                </c:pt>
                <c:pt idx="270">
                  <c:v>44314</c:v>
                </c:pt>
                <c:pt idx="271">
                  <c:v>44315</c:v>
                </c:pt>
                <c:pt idx="272">
                  <c:v>44316</c:v>
                </c:pt>
                <c:pt idx="273">
                  <c:v>44317</c:v>
                </c:pt>
                <c:pt idx="274">
                  <c:v>44318</c:v>
                </c:pt>
                <c:pt idx="275">
                  <c:v>44319</c:v>
                </c:pt>
                <c:pt idx="276">
                  <c:v>44320</c:v>
                </c:pt>
                <c:pt idx="277">
                  <c:v>44321</c:v>
                </c:pt>
                <c:pt idx="278">
                  <c:v>44322</c:v>
                </c:pt>
                <c:pt idx="279">
                  <c:v>44323</c:v>
                </c:pt>
                <c:pt idx="280">
                  <c:v>44324</c:v>
                </c:pt>
                <c:pt idx="281">
                  <c:v>44325</c:v>
                </c:pt>
                <c:pt idx="282">
                  <c:v>44326</c:v>
                </c:pt>
                <c:pt idx="283">
                  <c:v>44327</c:v>
                </c:pt>
                <c:pt idx="284">
                  <c:v>44328</c:v>
                </c:pt>
                <c:pt idx="285">
                  <c:v>44329</c:v>
                </c:pt>
                <c:pt idx="286">
                  <c:v>44330</c:v>
                </c:pt>
                <c:pt idx="287">
                  <c:v>44331</c:v>
                </c:pt>
                <c:pt idx="288">
                  <c:v>44332</c:v>
                </c:pt>
                <c:pt idx="289">
                  <c:v>44333</c:v>
                </c:pt>
                <c:pt idx="290">
                  <c:v>44334</c:v>
                </c:pt>
                <c:pt idx="291">
                  <c:v>44335</c:v>
                </c:pt>
                <c:pt idx="292">
                  <c:v>44336</c:v>
                </c:pt>
                <c:pt idx="293">
                  <c:v>44337</c:v>
                </c:pt>
                <c:pt idx="294">
                  <c:v>44338</c:v>
                </c:pt>
                <c:pt idx="295">
                  <c:v>44339</c:v>
                </c:pt>
                <c:pt idx="296">
                  <c:v>44340</c:v>
                </c:pt>
                <c:pt idx="297">
                  <c:v>44341</c:v>
                </c:pt>
                <c:pt idx="298">
                  <c:v>44342</c:v>
                </c:pt>
                <c:pt idx="299">
                  <c:v>44343</c:v>
                </c:pt>
                <c:pt idx="300">
                  <c:v>44344</c:v>
                </c:pt>
                <c:pt idx="301">
                  <c:v>44345</c:v>
                </c:pt>
                <c:pt idx="302">
                  <c:v>44346</c:v>
                </c:pt>
                <c:pt idx="303">
                  <c:v>44347</c:v>
                </c:pt>
                <c:pt idx="304">
                  <c:v>44348</c:v>
                </c:pt>
                <c:pt idx="305">
                  <c:v>44349</c:v>
                </c:pt>
                <c:pt idx="306">
                  <c:v>44350</c:v>
                </c:pt>
                <c:pt idx="307">
                  <c:v>44351</c:v>
                </c:pt>
                <c:pt idx="308">
                  <c:v>44352</c:v>
                </c:pt>
                <c:pt idx="309">
                  <c:v>44353</c:v>
                </c:pt>
                <c:pt idx="310">
                  <c:v>44354</c:v>
                </c:pt>
                <c:pt idx="311">
                  <c:v>44355</c:v>
                </c:pt>
                <c:pt idx="312">
                  <c:v>44356</c:v>
                </c:pt>
                <c:pt idx="313">
                  <c:v>44357</c:v>
                </c:pt>
                <c:pt idx="314">
                  <c:v>44358</c:v>
                </c:pt>
                <c:pt idx="315">
                  <c:v>44359</c:v>
                </c:pt>
                <c:pt idx="316">
                  <c:v>44360</c:v>
                </c:pt>
                <c:pt idx="317">
                  <c:v>44361</c:v>
                </c:pt>
                <c:pt idx="318">
                  <c:v>44362</c:v>
                </c:pt>
                <c:pt idx="319">
                  <c:v>44363</c:v>
                </c:pt>
                <c:pt idx="320">
                  <c:v>44364</c:v>
                </c:pt>
                <c:pt idx="321">
                  <c:v>44365</c:v>
                </c:pt>
                <c:pt idx="322">
                  <c:v>44366</c:v>
                </c:pt>
                <c:pt idx="323">
                  <c:v>44367</c:v>
                </c:pt>
                <c:pt idx="324">
                  <c:v>44368</c:v>
                </c:pt>
                <c:pt idx="325">
                  <c:v>44369</c:v>
                </c:pt>
                <c:pt idx="326">
                  <c:v>44370</c:v>
                </c:pt>
                <c:pt idx="327">
                  <c:v>44371</c:v>
                </c:pt>
                <c:pt idx="328">
                  <c:v>44372</c:v>
                </c:pt>
                <c:pt idx="329">
                  <c:v>44373</c:v>
                </c:pt>
                <c:pt idx="330">
                  <c:v>44374</c:v>
                </c:pt>
                <c:pt idx="331">
                  <c:v>44375</c:v>
                </c:pt>
                <c:pt idx="332">
                  <c:v>44376</c:v>
                </c:pt>
                <c:pt idx="333">
                  <c:v>44377</c:v>
                </c:pt>
                <c:pt idx="334">
                  <c:v>44378</c:v>
                </c:pt>
                <c:pt idx="335">
                  <c:v>44379</c:v>
                </c:pt>
                <c:pt idx="336">
                  <c:v>44380</c:v>
                </c:pt>
                <c:pt idx="337">
                  <c:v>44381</c:v>
                </c:pt>
                <c:pt idx="338">
                  <c:v>44382</c:v>
                </c:pt>
                <c:pt idx="339">
                  <c:v>44383</c:v>
                </c:pt>
                <c:pt idx="340">
                  <c:v>44384</c:v>
                </c:pt>
                <c:pt idx="341">
                  <c:v>44385</c:v>
                </c:pt>
                <c:pt idx="342">
                  <c:v>44386</c:v>
                </c:pt>
                <c:pt idx="343">
                  <c:v>44387</c:v>
                </c:pt>
                <c:pt idx="344">
                  <c:v>44388</c:v>
                </c:pt>
                <c:pt idx="345">
                  <c:v>44389</c:v>
                </c:pt>
                <c:pt idx="346">
                  <c:v>44390</c:v>
                </c:pt>
                <c:pt idx="347">
                  <c:v>44391</c:v>
                </c:pt>
                <c:pt idx="348">
                  <c:v>44392</c:v>
                </c:pt>
                <c:pt idx="349">
                  <c:v>44393</c:v>
                </c:pt>
                <c:pt idx="350">
                  <c:v>44394</c:v>
                </c:pt>
                <c:pt idx="351">
                  <c:v>44395</c:v>
                </c:pt>
                <c:pt idx="352">
                  <c:v>44396</c:v>
                </c:pt>
                <c:pt idx="353">
                  <c:v>44397</c:v>
                </c:pt>
                <c:pt idx="354">
                  <c:v>44398</c:v>
                </c:pt>
                <c:pt idx="355">
                  <c:v>44399</c:v>
                </c:pt>
                <c:pt idx="356">
                  <c:v>44400</c:v>
                </c:pt>
                <c:pt idx="357">
                  <c:v>44401</c:v>
                </c:pt>
                <c:pt idx="358">
                  <c:v>44402</c:v>
                </c:pt>
                <c:pt idx="359">
                  <c:v>44403</c:v>
                </c:pt>
                <c:pt idx="360">
                  <c:v>44404</c:v>
                </c:pt>
                <c:pt idx="361">
                  <c:v>44405</c:v>
                </c:pt>
                <c:pt idx="362">
                  <c:v>44406</c:v>
                </c:pt>
                <c:pt idx="363">
                  <c:v>44407</c:v>
                </c:pt>
                <c:pt idx="364">
                  <c:v>44408</c:v>
                </c:pt>
                <c:pt idx="365">
                  <c:v>44409</c:v>
                </c:pt>
                <c:pt idx="366">
                  <c:v>44410</c:v>
                </c:pt>
                <c:pt idx="367">
                  <c:v>44411</c:v>
                </c:pt>
                <c:pt idx="368">
                  <c:v>44412</c:v>
                </c:pt>
                <c:pt idx="369">
                  <c:v>44413</c:v>
                </c:pt>
                <c:pt idx="370">
                  <c:v>44414</c:v>
                </c:pt>
                <c:pt idx="371">
                  <c:v>44415</c:v>
                </c:pt>
                <c:pt idx="372">
                  <c:v>44416</c:v>
                </c:pt>
                <c:pt idx="373">
                  <c:v>44417</c:v>
                </c:pt>
                <c:pt idx="374">
                  <c:v>44418</c:v>
                </c:pt>
                <c:pt idx="375">
                  <c:v>44419</c:v>
                </c:pt>
                <c:pt idx="376">
                  <c:v>44420</c:v>
                </c:pt>
                <c:pt idx="377">
                  <c:v>44421</c:v>
                </c:pt>
                <c:pt idx="378">
                  <c:v>44422</c:v>
                </c:pt>
                <c:pt idx="379">
                  <c:v>44423</c:v>
                </c:pt>
                <c:pt idx="380">
                  <c:v>44424</c:v>
                </c:pt>
                <c:pt idx="381">
                  <c:v>44425</c:v>
                </c:pt>
                <c:pt idx="382">
                  <c:v>44426</c:v>
                </c:pt>
                <c:pt idx="383">
                  <c:v>44427</c:v>
                </c:pt>
                <c:pt idx="384">
                  <c:v>44428</c:v>
                </c:pt>
                <c:pt idx="385">
                  <c:v>44429</c:v>
                </c:pt>
                <c:pt idx="386">
                  <c:v>44430</c:v>
                </c:pt>
                <c:pt idx="387">
                  <c:v>44431</c:v>
                </c:pt>
                <c:pt idx="388">
                  <c:v>44432</c:v>
                </c:pt>
                <c:pt idx="389">
                  <c:v>44433</c:v>
                </c:pt>
                <c:pt idx="390">
                  <c:v>44434</c:v>
                </c:pt>
                <c:pt idx="391">
                  <c:v>44435</c:v>
                </c:pt>
                <c:pt idx="392">
                  <c:v>44436</c:v>
                </c:pt>
                <c:pt idx="393">
                  <c:v>44437</c:v>
                </c:pt>
                <c:pt idx="394">
                  <c:v>44438</c:v>
                </c:pt>
                <c:pt idx="395">
                  <c:v>44439</c:v>
                </c:pt>
                <c:pt idx="396">
                  <c:v>44440</c:v>
                </c:pt>
                <c:pt idx="397">
                  <c:v>44441</c:v>
                </c:pt>
                <c:pt idx="398">
                  <c:v>44442</c:v>
                </c:pt>
                <c:pt idx="399">
                  <c:v>44443</c:v>
                </c:pt>
                <c:pt idx="400">
                  <c:v>44444</c:v>
                </c:pt>
                <c:pt idx="401">
                  <c:v>44445</c:v>
                </c:pt>
                <c:pt idx="402">
                  <c:v>44446</c:v>
                </c:pt>
                <c:pt idx="403">
                  <c:v>44447</c:v>
                </c:pt>
                <c:pt idx="404">
                  <c:v>44448</c:v>
                </c:pt>
                <c:pt idx="405">
                  <c:v>44449</c:v>
                </c:pt>
                <c:pt idx="406">
                  <c:v>44450</c:v>
                </c:pt>
                <c:pt idx="407">
                  <c:v>44451</c:v>
                </c:pt>
                <c:pt idx="408">
                  <c:v>44452</c:v>
                </c:pt>
                <c:pt idx="409">
                  <c:v>44453</c:v>
                </c:pt>
                <c:pt idx="410">
                  <c:v>44454</c:v>
                </c:pt>
                <c:pt idx="411">
                  <c:v>44455</c:v>
                </c:pt>
                <c:pt idx="412">
                  <c:v>44456</c:v>
                </c:pt>
                <c:pt idx="413">
                  <c:v>44457</c:v>
                </c:pt>
                <c:pt idx="414">
                  <c:v>44458</c:v>
                </c:pt>
                <c:pt idx="415">
                  <c:v>44459</c:v>
                </c:pt>
                <c:pt idx="416">
                  <c:v>44460</c:v>
                </c:pt>
                <c:pt idx="417">
                  <c:v>44461</c:v>
                </c:pt>
                <c:pt idx="418">
                  <c:v>44462</c:v>
                </c:pt>
                <c:pt idx="419">
                  <c:v>44463</c:v>
                </c:pt>
                <c:pt idx="420">
                  <c:v>44464</c:v>
                </c:pt>
                <c:pt idx="421">
                  <c:v>44465</c:v>
                </c:pt>
                <c:pt idx="422">
                  <c:v>44466</c:v>
                </c:pt>
                <c:pt idx="423">
                  <c:v>44467</c:v>
                </c:pt>
                <c:pt idx="424">
                  <c:v>44468</c:v>
                </c:pt>
                <c:pt idx="425">
                  <c:v>44469</c:v>
                </c:pt>
                <c:pt idx="426">
                  <c:v>44470</c:v>
                </c:pt>
                <c:pt idx="427">
                  <c:v>44471</c:v>
                </c:pt>
                <c:pt idx="428">
                  <c:v>44472</c:v>
                </c:pt>
                <c:pt idx="429">
                  <c:v>44473</c:v>
                </c:pt>
                <c:pt idx="430">
                  <c:v>44474</c:v>
                </c:pt>
                <c:pt idx="431">
                  <c:v>44475</c:v>
                </c:pt>
                <c:pt idx="432">
                  <c:v>44476</c:v>
                </c:pt>
                <c:pt idx="433">
                  <c:v>44477</c:v>
                </c:pt>
                <c:pt idx="434">
                  <c:v>44478</c:v>
                </c:pt>
                <c:pt idx="435">
                  <c:v>44479</c:v>
                </c:pt>
                <c:pt idx="436">
                  <c:v>44480</c:v>
                </c:pt>
                <c:pt idx="437">
                  <c:v>44481</c:v>
                </c:pt>
                <c:pt idx="438">
                  <c:v>44482</c:v>
                </c:pt>
                <c:pt idx="439">
                  <c:v>44483</c:v>
                </c:pt>
                <c:pt idx="440">
                  <c:v>44484</c:v>
                </c:pt>
                <c:pt idx="441">
                  <c:v>44485</c:v>
                </c:pt>
                <c:pt idx="442">
                  <c:v>44486</c:v>
                </c:pt>
                <c:pt idx="443">
                  <c:v>44487</c:v>
                </c:pt>
                <c:pt idx="444">
                  <c:v>44488</c:v>
                </c:pt>
                <c:pt idx="445">
                  <c:v>44489</c:v>
                </c:pt>
                <c:pt idx="446">
                  <c:v>44490</c:v>
                </c:pt>
                <c:pt idx="447">
                  <c:v>44491</c:v>
                </c:pt>
                <c:pt idx="448">
                  <c:v>44492</c:v>
                </c:pt>
                <c:pt idx="449">
                  <c:v>44493</c:v>
                </c:pt>
                <c:pt idx="450">
                  <c:v>44494</c:v>
                </c:pt>
                <c:pt idx="451">
                  <c:v>44495</c:v>
                </c:pt>
                <c:pt idx="452">
                  <c:v>44496</c:v>
                </c:pt>
                <c:pt idx="453">
                  <c:v>44497</c:v>
                </c:pt>
                <c:pt idx="454">
                  <c:v>44498</c:v>
                </c:pt>
                <c:pt idx="455">
                  <c:v>44499</c:v>
                </c:pt>
                <c:pt idx="456">
                  <c:v>44500</c:v>
                </c:pt>
                <c:pt idx="457">
                  <c:v>44501</c:v>
                </c:pt>
                <c:pt idx="458">
                  <c:v>44502</c:v>
                </c:pt>
                <c:pt idx="459">
                  <c:v>44503</c:v>
                </c:pt>
                <c:pt idx="460">
                  <c:v>44504</c:v>
                </c:pt>
                <c:pt idx="461">
                  <c:v>44505</c:v>
                </c:pt>
                <c:pt idx="462">
                  <c:v>44506</c:v>
                </c:pt>
                <c:pt idx="463">
                  <c:v>44507</c:v>
                </c:pt>
                <c:pt idx="464">
                  <c:v>44508</c:v>
                </c:pt>
                <c:pt idx="465">
                  <c:v>44509</c:v>
                </c:pt>
                <c:pt idx="466">
                  <c:v>44510</c:v>
                </c:pt>
                <c:pt idx="467">
                  <c:v>44511</c:v>
                </c:pt>
                <c:pt idx="468">
                  <c:v>44512</c:v>
                </c:pt>
                <c:pt idx="469">
                  <c:v>44513</c:v>
                </c:pt>
                <c:pt idx="470">
                  <c:v>44514</c:v>
                </c:pt>
                <c:pt idx="471">
                  <c:v>44515</c:v>
                </c:pt>
                <c:pt idx="472">
                  <c:v>44516</c:v>
                </c:pt>
                <c:pt idx="473">
                  <c:v>44517</c:v>
                </c:pt>
                <c:pt idx="474">
                  <c:v>44518</c:v>
                </c:pt>
                <c:pt idx="475">
                  <c:v>44519</c:v>
                </c:pt>
                <c:pt idx="476">
                  <c:v>44520</c:v>
                </c:pt>
                <c:pt idx="477">
                  <c:v>44521</c:v>
                </c:pt>
                <c:pt idx="478">
                  <c:v>44522</c:v>
                </c:pt>
                <c:pt idx="479">
                  <c:v>44523</c:v>
                </c:pt>
                <c:pt idx="480">
                  <c:v>44524</c:v>
                </c:pt>
                <c:pt idx="481">
                  <c:v>44525</c:v>
                </c:pt>
                <c:pt idx="482">
                  <c:v>44526</c:v>
                </c:pt>
                <c:pt idx="483">
                  <c:v>44527</c:v>
                </c:pt>
                <c:pt idx="484">
                  <c:v>44528</c:v>
                </c:pt>
                <c:pt idx="485">
                  <c:v>44529</c:v>
                </c:pt>
                <c:pt idx="486">
                  <c:v>44530</c:v>
                </c:pt>
                <c:pt idx="487">
                  <c:v>44531</c:v>
                </c:pt>
                <c:pt idx="488">
                  <c:v>44532</c:v>
                </c:pt>
                <c:pt idx="489">
                  <c:v>44533</c:v>
                </c:pt>
                <c:pt idx="490">
                  <c:v>44534</c:v>
                </c:pt>
                <c:pt idx="491">
                  <c:v>44535</c:v>
                </c:pt>
                <c:pt idx="492">
                  <c:v>44536</c:v>
                </c:pt>
                <c:pt idx="493">
                  <c:v>44537</c:v>
                </c:pt>
                <c:pt idx="494">
                  <c:v>44538</c:v>
                </c:pt>
                <c:pt idx="495">
                  <c:v>44539</c:v>
                </c:pt>
                <c:pt idx="496">
                  <c:v>44540</c:v>
                </c:pt>
                <c:pt idx="497">
                  <c:v>44541</c:v>
                </c:pt>
                <c:pt idx="498">
                  <c:v>44542</c:v>
                </c:pt>
                <c:pt idx="499">
                  <c:v>44543</c:v>
                </c:pt>
                <c:pt idx="500">
                  <c:v>44544</c:v>
                </c:pt>
                <c:pt idx="501">
                  <c:v>44545</c:v>
                </c:pt>
                <c:pt idx="502">
                  <c:v>44546</c:v>
                </c:pt>
                <c:pt idx="503">
                  <c:v>44547</c:v>
                </c:pt>
                <c:pt idx="504">
                  <c:v>44548</c:v>
                </c:pt>
                <c:pt idx="505">
                  <c:v>44549</c:v>
                </c:pt>
                <c:pt idx="506">
                  <c:v>44550</c:v>
                </c:pt>
                <c:pt idx="507">
                  <c:v>44551</c:v>
                </c:pt>
                <c:pt idx="508">
                  <c:v>44552</c:v>
                </c:pt>
                <c:pt idx="509">
                  <c:v>44553</c:v>
                </c:pt>
                <c:pt idx="510">
                  <c:v>44554</c:v>
                </c:pt>
                <c:pt idx="511">
                  <c:v>44555</c:v>
                </c:pt>
                <c:pt idx="512">
                  <c:v>44556</c:v>
                </c:pt>
                <c:pt idx="513">
                  <c:v>44557</c:v>
                </c:pt>
                <c:pt idx="514">
                  <c:v>44558</c:v>
                </c:pt>
                <c:pt idx="515">
                  <c:v>44559</c:v>
                </c:pt>
                <c:pt idx="516">
                  <c:v>44560</c:v>
                </c:pt>
                <c:pt idx="517">
                  <c:v>44561</c:v>
                </c:pt>
              </c:numCache>
            </c:numRef>
          </c:xVal>
          <c:yVal>
            <c:numRef>
              <c:f>'[1]Kris''s Streak'!$E$2:$E$804</c:f>
              <c:numCache>
                <c:formatCode>General</c:formatCode>
                <c:ptCount val="803"/>
                <c:pt idx="0">
                  <c:v>495</c:v>
                </c:pt>
                <c:pt idx="1">
                  <c:v>563</c:v>
                </c:pt>
                <c:pt idx="2">
                  <c:v>444</c:v>
                </c:pt>
                <c:pt idx="3">
                  <c:v>431</c:v>
                </c:pt>
                <c:pt idx="4">
                  <c:v>424</c:v>
                </c:pt>
                <c:pt idx="5">
                  <c:v>440</c:v>
                </c:pt>
                <c:pt idx="6">
                  <c:v>524</c:v>
                </c:pt>
                <c:pt idx="7">
                  <c:v>536</c:v>
                </c:pt>
                <c:pt idx="8">
                  <c:v>605</c:v>
                </c:pt>
                <c:pt idx="9">
                  <c:v>480</c:v>
                </c:pt>
                <c:pt idx="10">
                  <c:v>466</c:v>
                </c:pt>
                <c:pt idx="11">
                  <c:v>444</c:v>
                </c:pt>
                <c:pt idx="12">
                  <c:v>421</c:v>
                </c:pt>
                <c:pt idx="13">
                  <c:v>489</c:v>
                </c:pt>
                <c:pt idx="14">
                  <c:v>535</c:v>
                </c:pt>
                <c:pt idx="15">
                  <c:v>501</c:v>
                </c:pt>
                <c:pt idx="16">
                  <c:v>464</c:v>
                </c:pt>
                <c:pt idx="17">
                  <c:v>444</c:v>
                </c:pt>
                <c:pt idx="18">
                  <c:v>438</c:v>
                </c:pt>
                <c:pt idx="19">
                  <c:v>408</c:v>
                </c:pt>
                <c:pt idx="20">
                  <c:v>509</c:v>
                </c:pt>
                <c:pt idx="21">
                  <c:v>514</c:v>
                </c:pt>
                <c:pt idx="22">
                  <c:v>432</c:v>
                </c:pt>
                <c:pt idx="23">
                  <c:v>504</c:v>
                </c:pt>
                <c:pt idx="24">
                  <c:v>500</c:v>
                </c:pt>
                <c:pt idx="25">
                  <c:v>437</c:v>
                </c:pt>
                <c:pt idx="26">
                  <c:v>439</c:v>
                </c:pt>
                <c:pt idx="27">
                  <c:v>494</c:v>
                </c:pt>
                <c:pt idx="28">
                  <c:v>507</c:v>
                </c:pt>
                <c:pt idx="29">
                  <c:v>532</c:v>
                </c:pt>
                <c:pt idx="30">
                  <c:v>441</c:v>
                </c:pt>
                <c:pt idx="31">
                  <c:v>490</c:v>
                </c:pt>
                <c:pt idx="32">
                  <c:v>444</c:v>
                </c:pt>
                <c:pt idx="33">
                  <c:v>433</c:v>
                </c:pt>
                <c:pt idx="34">
                  <c:v>491</c:v>
                </c:pt>
                <c:pt idx="35">
                  <c:v>540</c:v>
                </c:pt>
                <c:pt idx="36">
                  <c:v>554</c:v>
                </c:pt>
                <c:pt idx="37">
                  <c:v>487</c:v>
                </c:pt>
                <c:pt idx="38">
                  <c:v>512</c:v>
                </c:pt>
                <c:pt idx="39">
                  <c:v>426</c:v>
                </c:pt>
                <c:pt idx="40">
                  <c:v>413</c:v>
                </c:pt>
                <c:pt idx="41">
                  <c:v>545</c:v>
                </c:pt>
                <c:pt idx="42">
                  <c:v>557</c:v>
                </c:pt>
                <c:pt idx="43">
                  <c:v>461</c:v>
                </c:pt>
                <c:pt idx="44">
                  <c:v>492</c:v>
                </c:pt>
                <c:pt idx="45">
                  <c:v>502</c:v>
                </c:pt>
                <c:pt idx="46">
                  <c:v>437</c:v>
                </c:pt>
                <c:pt idx="47">
                  <c:v>413</c:v>
                </c:pt>
                <c:pt idx="48">
                  <c:v>499</c:v>
                </c:pt>
                <c:pt idx="49">
                  <c:v>546</c:v>
                </c:pt>
                <c:pt idx="50">
                  <c:v>545</c:v>
                </c:pt>
                <c:pt idx="51">
                  <c:v>472</c:v>
                </c:pt>
                <c:pt idx="52">
                  <c:v>411</c:v>
                </c:pt>
                <c:pt idx="53">
                  <c:v>423</c:v>
                </c:pt>
                <c:pt idx="54">
                  <c:v>403</c:v>
                </c:pt>
                <c:pt idx="55">
                  <c:v>522</c:v>
                </c:pt>
                <c:pt idx="56">
                  <c:v>497</c:v>
                </c:pt>
                <c:pt idx="57">
                  <c:v>520</c:v>
                </c:pt>
                <c:pt idx="58">
                  <c:v>457</c:v>
                </c:pt>
                <c:pt idx="59">
                  <c:v>424</c:v>
                </c:pt>
                <c:pt idx="60">
                  <c:v>429</c:v>
                </c:pt>
                <c:pt idx="61">
                  <c:v>423</c:v>
                </c:pt>
                <c:pt idx="62">
                  <c:v>497</c:v>
                </c:pt>
                <c:pt idx="63">
                  <c:v>530</c:v>
                </c:pt>
                <c:pt idx="64">
                  <c:v>525</c:v>
                </c:pt>
                <c:pt idx="65">
                  <c:v>558</c:v>
                </c:pt>
                <c:pt idx="66">
                  <c:v>397</c:v>
                </c:pt>
                <c:pt idx="67">
                  <c:v>451</c:v>
                </c:pt>
                <c:pt idx="68">
                  <c:v>459</c:v>
                </c:pt>
                <c:pt idx="69">
                  <c:v>571</c:v>
                </c:pt>
                <c:pt idx="70">
                  <c:v>533</c:v>
                </c:pt>
                <c:pt idx="71">
                  <c:v>503</c:v>
                </c:pt>
                <c:pt idx="72">
                  <c:v>515</c:v>
                </c:pt>
                <c:pt idx="73">
                  <c:v>415</c:v>
                </c:pt>
                <c:pt idx="74">
                  <c:v>435</c:v>
                </c:pt>
                <c:pt idx="75">
                  <c:v>435</c:v>
                </c:pt>
                <c:pt idx="76">
                  <c:v>438</c:v>
                </c:pt>
                <c:pt idx="77">
                  <c:v>501</c:v>
                </c:pt>
                <c:pt idx="78">
                  <c:v>520</c:v>
                </c:pt>
                <c:pt idx="79">
                  <c:v>473</c:v>
                </c:pt>
                <c:pt idx="80">
                  <c:v>423</c:v>
                </c:pt>
                <c:pt idx="81">
                  <c:v>440</c:v>
                </c:pt>
                <c:pt idx="82">
                  <c:v>413</c:v>
                </c:pt>
                <c:pt idx="83">
                  <c:v>492</c:v>
                </c:pt>
                <c:pt idx="84">
                  <c:v>503</c:v>
                </c:pt>
                <c:pt idx="85">
                  <c:v>494</c:v>
                </c:pt>
                <c:pt idx="86">
                  <c:v>456</c:v>
                </c:pt>
                <c:pt idx="87">
                  <c:v>438</c:v>
                </c:pt>
                <c:pt idx="88">
                  <c:v>524</c:v>
                </c:pt>
                <c:pt idx="89">
                  <c:v>461</c:v>
                </c:pt>
                <c:pt idx="90">
                  <c:v>520</c:v>
                </c:pt>
                <c:pt idx="91">
                  <c:v>528</c:v>
                </c:pt>
                <c:pt idx="92">
                  <c:v>465</c:v>
                </c:pt>
                <c:pt idx="93">
                  <c:v>509</c:v>
                </c:pt>
                <c:pt idx="94">
                  <c:v>406</c:v>
                </c:pt>
                <c:pt idx="95">
                  <c:v>439</c:v>
                </c:pt>
                <c:pt idx="96">
                  <c:v>449</c:v>
                </c:pt>
                <c:pt idx="97">
                  <c:v>514</c:v>
                </c:pt>
                <c:pt idx="98">
                  <c:v>470</c:v>
                </c:pt>
                <c:pt idx="99">
                  <c:v>533</c:v>
                </c:pt>
                <c:pt idx="100">
                  <c:v>521</c:v>
                </c:pt>
                <c:pt idx="101">
                  <c:v>637</c:v>
                </c:pt>
                <c:pt idx="102">
                  <c:v>646</c:v>
                </c:pt>
                <c:pt idx="103">
                  <c:v>650</c:v>
                </c:pt>
                <c:pt idx="104">
                  <c:v>508</c:v>
                </c:pt>
                <c:pt idx="105">
                  <c:v>463</c:v>
                </c:pt>
                <c:pt idx="106">
                  <c:v>477</c:v>
                </c:pt>
                <c:pt idx="107">
                  <c:v>491</c:v>
                </c:pt>
                <c:pt idx="108">
                  <c:v>422</c:v>
                </c:pt>
                <c:pt idx="109">
                  <c:v>456</c:v>
                </c:pt>
                <c:pt idx="110">
                  <c:v>457</c:v>
                </c:pt>
                <c:pt idx="111">
                  <c:v>521</c:v>
                </c:pt>
                <c:pt idx="112">
                  <c:v>472</c:v>
                </c:pt>
                <c:pt idx="113">
                  <c:v>522</c:v>
                </c:pt>
                <c:pt idx="114">
                  <c:v>492</c:v>
                </c:pt>
                <c:pt idx="115">
                  <c:v>423</c:v>
                </c:pt>
                <c:pt idx="116">
                  <c:v>460</c:v>
                </c:pt>
                <c:pt idx="117">
                  <c:v>466</c:v>
                </c:pt>
                <c:pt idx="118">
                  <c:v>528</c:v>
                </c:pt>
                <c:pt idx="119">
                  <c:v>487</c:v>
                </c:pt>
                <c:pt idx="120">
                  <c:v>572</c:v>
                </c:pt>
                <c:pt idx="121">
                  <c:v>469</c:v>
                </c:pt>
                <c:pt idx="122">
                  <c:v>413</c:v>
                </c:pt>
                <c:pt idx="123">
                  <c:v>452</c:v>
                </c:pt>
                <c:pt idx="124">
                  <c:v>438</c:v>
                </c:pt>
                <c:pt idx="125">
                  <c:v>501</c:v>
                </c:pt>
                <c:pt idx="126">
                  <c:v>538</c:v>
                </c:pt>
                <c:pt idx="127">
                  <c:v>546</c:v>
                </c:pt>
                <c:pt idx="128">
                  <c:v>652</c:v>
                </c:pt>
                <c:pt idx="129">
                  <c:v>423</c:v>
                </c:pt>
                <c:pt idx="130">
                  <c:v>444</c:v>
                </c:pt>
                <c:pt idx="131">
                  <c:v>458</c:v>
                </c:pt>
                <c:pt idx="132">
                  <c:v>544</c:v>
                </c:pt>
                <c:pt idx="133">
                  <c:v>536</c:v>
                </c:pt>
                <c:pt idx="134">
                  <c:v>545</c:v>
                </c:pt>
                <c:pt idx="135">
                  <c:v>508</c:v>
                </c:pt>
                <c:pt idx="136">
                  <c:v>455</c:v>
                </c:pt>
                <c:pt idx="137">
                  <c:v>486</c:v>
                </c:pt>
                <c:pt idx="138">
                  <c:v>445</c:v>
                </c:pt>
                <c:pt idx="139">
                  <c:v>539</c:v>
                </c:pt>
                <c:pt idx="140">
                  <c:v>514</c:v>
                </c:pt>
                <c:pt idx="141">
                  <c:v>546</c:v>
                </c:pt>
                <c:pt idx="142">
                  <c:v>483</c:v>
                </c:pt>
                <c:pt idx="143">
                  <c:v>439</c:v>
                </c:pt>
                <c:pt idx="144">
                  <c:v>456</c:v>
                </c:pt>
                <c:pt idx="145">
                  <c:v>501</c:v>
                </c:pt>
                <c:pt idx="146">
                  <c:v>532</c:v>
                </c:pt>
                <c:pt idx="147">
                  <c:v>575</c:v>
                </c:pt>
                <c:pt idx="148">
                  <c:v>454</c:v>
                </c:pt>
                <c:pt idx="149">
                  <c:v>555</c:v>
                </c:pt>
                <c:pt idx="150">
                  <c:v>424</c:v>
                </c:pt>
                <c:pt idx="151">
                  <c:v>562</c:v>
                </c:pt>
                <c:pt idx="152">
                  <c:v>547</c:v>
                </c:pt>
                <c:pt idx="153">
                  <c:v>553</c:v>
                </c:pt>
                <c:pt idx="154">
                  <c:v>478</c:v>
                </c:pt>
                <c:pt idx="155">
                  <c:v>558</c:v>
                </c:pt>
                <c:pt idx="156">
                  <c:v>486</c:v>
                </c:pt>
                <c:pt idx="157">
                  <c:v>456</c:v>
                </c:pt>
                <c:pt idx="158">
                  <c:v>521</c:v>
                </c:pt>
                <c:pt idx="159">
                  <c:v>465</c:v>
                </c:pt>
                <c:pt idx="160">
                  <c:v>506</c:v>
                </c:pt>
                <c:pt idx="161">
                  <c:v>457</c:v>
                </c:pt>
                <c:pt idx="162">
                  <c:v>529</c:v>
                </c:pt>
                <c:pt idx="163">
                  <c:v>484</c:v>
                </c:pt>
                <c:pt idx="164">
                  <c:v>433</c:v>
                </c:pt>
                <c:pt idx="165">
                  <c:v>438</c:v>
                </c:pt>
                <c:pt idx="166">
                  <c:v>480</c:v>
                </c:pt>
                <c:pt idx="167">
                  <c:v>518</c:v>
                </c:pt>
                <c:pt idx="168">
                  <c:v>534</c:v>
                </c:pt>
                <c:pt idx="169">
                  <c:v>521</c:v>
                </c:pt>
                <c:pt idx="170">
                  <c:v>525</c:v>
                </c:pt>
                <c:pt idx="171">
                  <c:v>409</c:v>
                </c:pt>
                <c:pt idx="172">
                  <c:v>451</c:v>
                </c:pt>
                <c:pt idx="173">
                  <c:v>470</c:v>
                </c:pt>
                <c:pt idx="174">
                  <c:v>487</c:v>
                </c:pt>
                <c:pt idx="175">
                  <c:v>492</c:v>
                </c:pt>
                <c:pt idx="176">
                  <c:v>534</c:v>
                </c:pt>
                <c:pt idx="177">
                  <c:v>477</c:v>
                </c:pt>
                <c:pt idx="178">
                  <c:v>419</c:v>
                </c:pt>
                <c:pt idx="179">
                  <c:v>451</c:v>
                </c:pt>
                <c:pt idx="180">
                  <c:v>490</c:v>
                </c:pt>
                <c:pt idx="181">
                  <c:v>507</c:v>
                </c:pt>
                <c:pt idx="182">
                  <c:v>501</c:v>
                </c:pt>
                <c:pt idx="183">
                  <c:v>513</c:v>
                </c:pt>
                <c:pt idx="184">
                  <c:v>499</c:v>
                </c:pt>
                <c:pt idx="185">
                  <c:v>473</c:v>
                </c:pt>
                <c:pt idx="186">
                  <c:v>470</c:v>
                </c:pt>
                <c:pt idx="187">
                  <c:v>478</c:v>
                </c:pt>
                <c:pt idx="188">
                  <c:v>469</c:v>
                </c:pt>
                <c:pt idx="189">
                  <c:v>484</c:v>
                </c:pt>
                <c:pt idx="190">
                  <c:v>543</c:v>
                </c:pt>
                <c:pt idx="191">
                  <c:v>512</c:v>
                </c:pt>
                <c:pt idx="192">
                  <c:v>467</c:v>
                </c:pt>
                <c:pt idx="193">
                  <c:v>496</c:v>
                </c:pt>
                <c:pt idx="194">
                  <c:v>470</c:v>
                </c:pt>
                <c:pt idx="195">
                  <c:v>510</c:v>
                </c:pt>
                <c:pt idx="196">
                  <c:v>513</c:v>
                </c:pt>
                <c:pt idx="197">
                  <c:v>565</c:v>
                </c:pt>
                <c:pt idx="198">
                  <c:v>489</c:v>
                </c:pt>
                <c:pt idx="199">
                  <c:v>439</c:v>
                </c:pt>
                <c:pt idx="200">
                  <c:v>512</c:v>
                </c:pt>
                <c:pt idx="201">
                  <c:v>533</c:v>
                </c:pt>
                <c:pt idx="202">
                  <c:v>502</c:v>
                </c:pt>
                <c:pt idx="203">
                  <c:v>485</c:v>
                </c:pt>
                <c:pt idx="204">
                  <c:v>557</c:v>
                </c:pt>
                <c:pt idx="205">
                  <c:v>459</c:v>
                </c:pt>
                <c:pt idx="206">
                  <c:v>418</c:v>
                </c:pt>
                <c:pt idx="207">
                  <c:v>495</c:v>
                </c:pt>
                <c:pt idx="208">
                  <c:v>436</c:v>
                </c:pt>
                <c:pt idx="209">
                  <c:v>518</c:v>
                </c:pt>
                <c:pt idx="210">
                  <c:v>504</c:v>
                </c:pt>
                <c:pt idx="211">
                  <c:v>487</c:v>
                </c:pt>
                <c:pt idx="212">
                  <c:v>493</c:v>
                </c:pt>
                <c:pt idx="213">
                  <c:v>434</c:v>
                </c:pt>
                <c:pt idx="214">
                  <c:v>513</c:v>
                </c:pt>
                <c:pt idx="215">
                  <c:v>526</c:v>
                </c:pt>
                <c:pt idx="216">
                  <c:v>522</c:v>
                </c:pt>
                <c:pt idx="217">
                  <c:v>499</c:v>
                </c:pt>
                <c:pt idx="218">
                  <c:v>536</c:v>
                </c:pt>
                <c:pt idx="219">
                  <c:v>525</c:v>
                </c:pt>
                <c:pt idx="220">
                  <c:v>441</c:v>
                </c:pt>
                <c:pt idx="221">
                  <c:v>536</c:v>
                </c:pt>
                <c:pt idx="222">
                  <c:v>475</c:v>
                </c:pt>
                <c:pt idx="223">
                  <c:v>544</c:v>
                </c:pt>
                <c:pt idx="224">
                  <c:v>510</c:v>
                </c:pt>
                <c:pt idx="225">
                  <c:v>476</c:v>
                </c:pt>
                <c:pt idx="226">
                  <c:v>560</c:v>
                </c:pt>
                <c:pt idx="227">
                  <c:v>490</c:v>
                </c:pt>
                <c:pt idx="228">
                  <c:v>521</c:v>
                </c:pt>
                <c:pt idx="229">
                  <c:v>525</c:v>
                </c:pt>
                <c:pt idx="230">
                  <c:v>562</c:v>
                </c:pt>
                <c:pt idx="231">
                  <c:v>614</c:v>
                </c:pt>
                <c:pt idx="232">
                  <c:v>585</c:v>
                </c:pt>
                <c:pt idx="233">
                  <c:v>497</c:v>
                </c:pt>
                <c:pt idx="234">
                  <c:v>449</c:v>
                </c:pt>
                <c:pt idx="235">
                  <c:v>537</c:v>
                </c:pt>
                <c:pt idx="236">
                  <c:v>468</c:v>
                </c:pt>
                <c:pt idx="237">
                  <c:v>583</c:v>
                </c:pt>
                <c:pt idx="238">
                  <c:v>495</c:v>
                </c:pt>
                <c:pt idx="239">
                  <c:v>561</c:v>
                </c:pt>
                <c:pt idx="240">
                  <c:v>616</c:v>
                </c:pt>
                <c:pt idx="241">
                  <c:v>467</c:v>
                </c:pt>
                <c:pt idx="242">
                  <c:v>550</c:v>
                </c:pt>
                <c:pt idx="243">
                  <c:v>475</c:v>
                </c:pt>
                <c:pt idx="244">
                  <c:v>537</c:v>
                </c:pt>
                <c:pt idx="245">
                  <c:v>490</c:v>
                </c:pt>
                <c:pt idx="246">
                  <c:v>541</c:v>
                </c:pt>
                <c:pt idx="247">
                  <c:v>592</c:v>
                </c:pt>
                <c:pt idx="248">
                  <c:v>543</c:v>
                </c:pt>
                <c:pt idx="249">
                  <c:v>496</c:v>
                </c:pt>
                <c:pt idx="250">
                  <c:v>491</c:v>
                </c:pt>
                <c:pt idx="251">
                  <c:v>521</c:v>
                </c:pt>
                <c:pt idx="252">
                  <c:v>578</c:v>
                </c:pt>
                <c:pt idx="253">
                  <c:v>494</c:v>
                </c:pt>
                <c:pt idx="254">
                  <c:v>586</c:v>
                </c:pt>
                <c:pt idx="255">
                  <c:v>527</c:v>
                </c:pt>
                <c:pt idx="256">
                  <c:v>468</c:v>
                </c:pt>
                <c:pt idx="257">
                  <c:v>550</c:v>
                </c:pt>
                <c:pt idx="258">
                  <c:v>559</c:v>
                </c:pt>
                <c:pt idx="259">
                  <c:v>492</c:v>
                </c:pt>
                <c:pt idx="260">
                  <c:v>568</c:v>
                </c:pt>
                <c:pt idx="261">
                  <c:v>559</c:v>
                </c:pt>
                <c:pt idx="262">
                  <c:v>477</c:v>
                </c:pt>
                <c:pt idx="263">
                  <c:v>472</c:v>
                </c:pt>
                <c:pt idx="264">
                  <c:v>491</c:v>
                </c:pt>
                <c:pt idx="265">
                  <c:v>538</c:v>
                </c:pt>
                <c:pt idx="266">
                  <c:v>578</c:v>
                </c:pt>
                <c:pt idx="267">
                  <c:v>404</c:v>
                </c:pt>
                <c:pt idx="268">
                  <c:v>568</c:v>
                </c:pt>
                <c:pt idx="269">
                  <c:v>522</c:v>
                </c:pt>
                <c:pt idx="270">
                  <c:v>533</c:v>
                </c:pt>
                <c:pt idx="271">
                  <c:v>569</c:v>
                </c:pt>
                <c:pt idx="272">
                  <c:v>575</c:v>
                </c:pt>
                <c:pt idx="273">
                  <c:v>528</c:v>
                </c:pt>
                <c:pt idx="274">
                  <c:v>540</c:v>
                </c:pt>
                <c:pt idx="275">
                  <c:v>529</c:v>
                </c:pt>
                <c:pt idx="276">
                  <c:v>482</c:v>
                </c:pt>
                <c:pt idx="277">
                  <c:v>441</c:v>
                </c:pt>
                <c:pt idx="278">
                  <c:v>437</c:v>
                </c:pt>
                <c:pt idx="279">
                  <c:v>513</c:v>
                </c:pt>
                <c:pt idx="280">
                  <c:v>547</c:v>
                </c:pt>
                <c:pt idx="281">
                  <c:v>566</c:v>
                </c:pt>
                <c:pt idx="282">
                  <c:v>444</c:v>
                </c:pt>
                <c:pt idx="283">
                  <c:v>529</c:v>
                </c:pt>
                <c:pt idx="284">
                  <c:v>446</c:v>
                </c:pt>
                <c:pt idx="285">
                  <c:v>551</c:v>
                </c:pt>
                <c:pt idx="286">
                  <c:v>548</c:v>
                </c:pt>
                <c:pt idx="287">
                  <c:v>524</c:v>
                </c:pt>
                <c:pt idx="288">
                  <c:v>579</c:v>
                </c:pt>
                <c:pt idx="289">
                  <c:v>521</c:v>
                </c:pt>
                <c:pt idx="290">
                  <c:v>466</c:v>
                </c:pt>
                <c:pt idx="291">
                  <c:v>434</c:v>
                </c:pt>
                <c:pt idx="292">
                  <c:v>477</c:v>
                </c:pt>
                <c:pt idx="293">
                  <c:v>513</c:v>
                </c:pt>
                <c:pt idx="294">
                  <c:v>579</c:v>
                </c:pt>
                <c:pt idx="295">
                  <c:v>591</c:v>
                </c:pt>
                <c:pt idx="296">
                  <c:v>587</c:v>
                </c:pt>
                <c:pt idx="297">
                  <c:v>493</c:v>
                </c:pt>
                <c:pt idx="298">
                  <c:v>444</c:v>
                </c:pt>
                <c:pt idx="299">
                  <c:v>459</c:v>
                </c:pt>
                <c:pt idx="300">
                  <c:v>564</c:v>
                </c:pt>
                <c:pt idx="301">
                  <c:v>476</c:v>
                </c:pt>
                <c:pt idx="302">
                  <c:v>521</c:v>
                </c:pt>
                <c:pt idx="303">
                  <c:v>535</c:v>
                </c:pt>
                <c:pt idx="304">
                  <c:v>457</c:v>
                </c:pt>
                <c:pt idx="305">
                  <c:v>435</c:v>
                </c:pt>
                <c:pt idx="306">
                  <c:v>386</c:v>
                </c:pt>
                <c:pt idx="307">
                  <c:v>591</c:v>
                </c:pt>
                <c:pt idx="308">
                  <c:v>567</c:v>
                </c:pt>
                <c:pt idx="309">
                  <c:v>584</c:v>
                </c:pt>
                <c:pt idx="310">
                  <c:v>542</c:v>
                </c:pt>
                <c:pt idx="311">
                  <c:v>574</c:v>
                </c:pt>
                <c:pt idx="312">
                  <c:v>472</c:v>
                </c:pt>
                <c:pt idx="313">
                  <c:v>528</c:v>
                </c:pt>
                <c:pt idx="314">
                  <c:v>563</c:v>
                </c:pt>
                <c:pt idx="315">
                  <c:v>640</c:v>
                </c:pt>
                <c:pt idx="316">
                  <c:v>507</c:v>
                </c:pt>
                <c:pt idx="317">
                  <c:v>553</c:v>
                </c:pt>
                <c:pt idx="318">
                  <c:v>511</c:v>
                </c:pt>
                <c:pt idx="319">
                  <c:v>434</c:v>
                </c:pt>
                <c:pt idx="320">
                  <c:v>458</c:v>
                </c:pt>
                <c:pt idx="321">
                  <c:v>507</c:v>
                </c:pt>
                <c:pt idx="322">
                  <c:v>521</c:v>
                </c:pt>
                <c:pt idx="323">
                  <c:v>551</c:v>
                </c:pt>
                <c:pt idx="324">
                  <c:v>533</c:v>
                </c:pt>
                <c:pt idx="325">
                  <c:v>413</c:v>
                </c:pt>
                <c:pt idx="326">
                  <c:v>537</c:v>
                </c:pt>
                <c:pt idx="327">
                  <c:v>574</c:v>
                </c:pt>
                <c:pt idx="328">
                  <c:v>595</c:v>
                </c:pt>
                <c:pt idx="329">
                  <c:v>609</c:v>
                </c:pt>
                <c:pt idx="330">
                  <c:v>613</c:v>
                </c:pt>
                <c:pt idx="331">
                  <c:v>567</c:v>
                </c:pt>
                <c:pt idx="332">
                  <c:v>583</c:v>
                </c:pt>
                <c:pt idx="333">
                  <c:v>468</c:v>
                </c:pt>
                <c:pt idx="334">
                  <c:v>579</c:v>
                </c:pt>
                <c:pt idx="335">
                  <c:v>527</c:v>
                </c:pt>
                <c:pt idx="336">
                  <c:v>599</c:v>
                </c:pt>
                <c:pt idx="337">
                  <c:v>564</c:v>
                </c:pt>
                <c:pt idx="338">
                  <c:v>554</c:v>
                </c:pt>
                <c:pt idx="339">
                  <c:v>445</c:v>
                </c:pt>
                <c:pt idx="340">
                  <c:v>446</c:v>
                </c:pt>
                <c:pt idx="341">
                  <c:v>427</c:v>
                </c:pt>
                <c:pt idx="342">
                  <c:v>533</c:v>
                </c:pt>
                <c:pt idx="343">
                  <c:v>490</c:v>
                </c:pt>
                <c:pt idx="344">
                  <c:v>579</c:v>
                </c:pt>
                <c:pt idx="345">
                  <c:v>607</c:v>
                </c:pt>
                <c:pt idx="346">
                  <c:v>592</c:v>
                </c:pt>
                <c:pt idx="347">
                  <c:v>441</c:v>
                </c:pt>
                <c:pt idx="348">
                  <c:v>489</c:v>
                </c:pt>
                <c:pt idx="349">
                  <c:v>553</c:v>
                </c:pt>
                <c:pt idx="350">
                  <c:v>538</c:v>
                </c:pt>
                <c:pt idx="351">
                  <c:v>503</c:v>
                </c:pt>
                <c:pt idx="352">
                  <c:v>583</c:v>
                </c:pt>
                <c:pt idx="353">
                  <c:v>407</c:v>
                </c:pt>
                <c:pt idx="354">
                  <c:v>448</c:v>
                </c:pt>
                <c:pt idx="355">
                  <c:v>557</c:v>
                </c:pt>
                <c:pt idx="356">
                  <c:v>632</c:v>
                </c:pt>
                <c:pt idx="357">
                  <c:v>575</c:v>
                </c:pt>
                <c:pt idx="358">
                  <c:v>467</c:v>
                </c:pt>
                <c:pt idx="359">
                  <c:v>543</c:v>
                </c:pt>
                <c:pt idx="360">
                  <c:v>575</c:v>
                </c:pt>
                <c:pt idx="361">
                  <c:v>447</c:v>
                </c:pt>
                <c:pt idx="362">
                  <c:v>554</c:v>
                </c:pt>
                <c:pt idx="363">
                  <c:v>521</c:v>
                </c:pt>
                <c:pt idx="364">
                  <c:v>480</c:v>
                </c:pt>
                <c:pt idx="365">
                  <c:v>532</c:v>
                </c:pt>
                <c:pt idx="366">
                  <c:v>530</c:v>
                </c:pt>
                <c:pt idx="367">
                  <c:v>571</c:v>
                </c:pt>
                <c:pt idx="368">
                  <c:v>416</c:v>
                </c:pt>
                <c:pt idx="369">
                  <c:v>591</c:v>
                </c:pt>
                <c:pt idx="370">
                  <c:v>546</c:v>
                </c:pt>
                <c:pt idx="371">
                  <c:v>428</c:v>
                </c:pt>
                <c:pt idx="372">
                  <c:v>487</c:v>
                </c:pt>
                <c:pt idx="373">
                  <c:v>598</c:v>
                </c:pt>
                <c:pt idx="374">
                  <c:v>579</c:v>
                </c:pt>
                <c:pt idx="375">
                  <c:v>449</c:v>
                </c:pt>
                <c:pt idx="376">
                  <c:v>547</c:v>
                </c:pt>
                <c:pt idx="377">
                  <c:v>496</c:v>
                </c:pt>
                <c:pt idx="378">
                  <c:v>637</c:v>
                </c:pt>
                <c:pt idx="379">
                  <c:v>469</c:v>
                </c:pt>
                <c:pt idx="380">
                  <c:v>578</c:v>
                </c:pt>
                <c:pt idx="381">
                  <c:v>541</c:v>
                </c:pt>
                <c:pt idx="382">
                  <c:v>437</c:v>
                </c:pt>
                <c:pt idx="383">
                  <c:v>568</c:v>
                </c:pt>
                <c:pt idx="384">
                  <c:v>561</c:v>
                </c:pt>
                <c:pt idx="385">
                  <c:v>613</c:v>
                </c:pt>
                <c:pt idx="386">
                  <c:v>578</c:v>
                </c:pt>
                <c:pt idx="387">
                  <c:v>479</c:v>
                </c:pt>
                <c:pt idx="388">
                  <c:v>505</c:v>
                </c:pt>
                <c:pt idx="389">
                  <c:v>433</c:v>
                </c:pt>
                <c:pt idx="390">
                  <c:v>530</c:v>
                </c:pt>
                <c:pt idx="391">
                  <c:v>635</c:v>
                </c:pt>
                <c:pt idx="392">
                  <c:v>608</c:v>
                </c:pt>
                <c:pt idx="393">
                  <c:v>597</c:v>
                </c:pt>
                <c:pt idx="394">
                  <c:v>451</c:v>
                </c:pt>
                <c:pt idx="395">
                  <c:v>561</c:v>
                </c:pt>
                <c:pt idx="396">
                  <c:v>466</c:v>
                </c:pt>
                <c:pt idx="397">
                  <c:v>585</c:v>
                </c:pt>
                <c:pt idx="398">
                  <c:v>606</c:v>
                </c:pt>
                <c:pt idx="399">
                  <c:v>392</c:v>
                </c:pt>
                <c:pt idx="400">
                  <c:v>554</c:v>
                </c:pt>
                <c:pt idx="401">
                  <c:v>402</c:v>
                </c:pt>
                <c:pt idx="402">
                  <c:v>543</c:v>
                </c:pt>
                <c:pt idx="403">
                  <c:v>435</c:v>
                </c:pt>
                <c:pt idx="404">
                  <c:v>516</c:v>
                </c:pt>
                <c:pt idx="405">
                  <c:v>563</c:v>
                </c:pt>
                <c:pt idx="406">
                  <c:v>509</c:v>
                </c:pt>
                <c:pt idx="407">
                  <c:v>589</c:v>
                </c:pt>
                <c:pt idx="408">
                  <c:v>436</c:v>
                </c:pt>
                <c:pt idx="409">
                  <c:v>536</c:v>
                </c:pt>
                <c:pt idx="410">
                  <c:v>438</c:v>
                </c:pt>
                <c:pt idx="411">
                  <c:v>537</c:v>
                </c:pt>
                <c:pt idx="412">
                  <c:v>528</c:v>
                </c:pt>
                <c:pt idx="413">
                  <c:v>493</c:v>
                </c:pt>
                <c:pt idx="414">
                  <c:v>576</c:v>
                </c:pt>
                <c:pt idx="415">
                  <c:v>579</c:v>
                </c:pt>
                <c:pt idx="416">
                  <c:v>536</c:v>
                </c:pt>
                <c:pt idx="417">
                  <c:v>555</c:v>
                </c:pt>
                <c:pt idx="418">
                  <c:v>514</c:v>
                </c:pt>
                <c:pt idx="419">
                  <c:v>530</c:v>
                </c:pt>
                <c:pt idx="420">
                  <c:v>489</c:v>
                </c:pt>
                <c:pt idx="421">
                  <c:v>470</c:v>
                </c:pt>
                <c:pt idx="422">
                  <c:v>452</c:v>
                </c:pt>
                <c:pt idx="423">
                  <c:v>494</c:v>
                </c:pt>
                <c:pt idx="424">
                  <c:v>430</c:v>
                </c:pt>
                <c:pt idx="425">
                  <c:v>550</c:v>
                </c:pt>
                <c:pt idx="426">
                  <c:v>531</c:v>
                </c:pt>
                <c:pt idx="427">
                  <c:v>451</c:v>
                </c:pt>
                <c:pt idx="428">
                  <c:v>485</c:v>
                </c:pt>
                <c:pt idx="429">
                  <c:v>529</c:v>
                </c:pt>
                <c:pt idx="430">
                  <c:v>558</c:v>
                </c:pt>
                <c:pt idx="431">
                  <c:v>454</c:v>
                </c:pt>
                <c:pt idx="432">
                  <c:v>531</c:v>
                </c:pt>
                <c:pt idx="433">
                  <c:v>516</c:v>
                </c:pt>
                <c:pt idx="434">
                  <c:v>568</c:v>
                </c:pt>
                <c:pt idx="435">
                  <c:v>576</c:v>
                </c:pt>
                <c:pt idx="436">
                  <c:v>621</c:v>
                </c:pt>
                <c:pt idx="437">
                  <c:v>582</c:v>
                </c:pt>
                <c:pt idx="438">
                  <c:v>501</c:v>
                </c:pt>
                <c:pt idx="439">
                  <c:v>449</c:v>
                </c:pt>
                <c:pt idx="440">
                  <c:v>534</c:v>
                </c:pt>
                <c:pt idx="441">
                  <c:v>552</c:v>
                </c:pt>
                <c:pt idx="442">
                  <c:v>555</c:v>
                </c:pt>
                <c:pt idx="443">
                  <c:v>470</c:v>
                </c:pt>
                <c:pt idx="444">
                  <c:v>579</c:v>
                </c:pt>
                <c:pt idx="445">
                  <c:v>409</c:v>
                </c:pt>
                <c:pt idx="446">
                  <c:v>495</c:v>
                </c:pt>
                <c:pt idx="447">
                  <c:v>510</c:v>
                </c:pt>
                <c:pt idx="448">
                  <c:v>455</c:v>
                </c:pt>
                <c:pt idx="449">
                  <c:v>562</c:v>
                </c:pt>
                <c:pt idx="450">
                  <c:v>532</c:v>
                </c:pt>
                <c:pt idx="451">
                  <c:v>556</c:v>
                </c:pt>
                <c:pt idx="452">
                  <c:v>440</c:v>
                </c:pt>
                <c:pt idx="453">
                  <c:v>483</c:v>
                </c:pt>
                <c:pt idx="454">
                  <c:v>576</c:v>
                </c:pt>
                <c:pt idx="455">
                  <c:v>596</c:v>
                </c:pt>
                <c:pt idx="456">
                  <c:v>525</c:v>
                </c:pt>
                <c:pt idx="457">
                  <c:v>434</c:v>
                </c:pt>
                <c:pt idx="458">
                  <c:v>514</c:v>
                </c:pt>
                <c:pt idx="459">
                  <c:v>475</c:v>
                </c:pt>
                <c:pt idx="460">
                  <c:v>528</c:v>
                </c:pt>
                <c:pt idx="461">
                  <c:v>524</c:v>
                </c:pt>
                <c:pt idx="462">
                  <c:v>496</c:v>
                </c:pt>
                <c:pt idx="463">
                  <c:v>535</c:v>
                </c:pt>
                <c:pt idx="464">
                  <c:v>539</c:v>
                </c:pt>
                <c:pt idx="465">
                  <c:v>548</c:v>
                </c:pt>
                <c:pt idx="466">
                  <c:v>463</c:v>
                </c:pt>
                <c:pt idx="467">
                  <c:v>561</c:v>
                </c:pt>
                <c:pt idx="468">
                  <c:v>535</c:v>
                </c:pt>
                <c:pt idx="469">
                  <c:v>554</c:v>
                </c:pt>
                <c:pt idx="470">
                  <c:v>490</c:v>
                </c:pt>
                <c:pt idx="471">
                  <c:v>464</c:v>
                </c:pt>
                <c:pt idx="472">
                  <c:v>535</c:v>
                </c:pt>
                <c:pt idx="473">
                  <c:v>450</c:v>
                </c:pt>
                <c:pt idx="474">
                  <c:v>513</c:v>
                </c:pt>
                <c:pt idx="475">
                  <c:v>499</c:v>
                </c:pt>
                <c:pt idx="476">
                  <c:v>516</c:v>
                </c:pt>
                <c:pt idx="477">
                  <c:v>594</c:v>
                </c:pt>
                <c:pt idx="478">
                  <c:v>492</c:v>
                </c:pt>
                <c:pt idx="479">
                  <c:v>524</c:v>
                </c:pt>
                <c:pt idx="480">
                  <c:v>448</c:v>
                </c:pt>
                <c:pt idx="481">
                  <c:v>645</c:v>
                </c:pt>
                <c:pt idx="482">
                  <c:v>512</c:v>
                </c:pt>
                <c:pt idx="483">
                  <c:v>435</c:v>
                </c:pt>
                <c:pt idx="484">
                  <c:v>552</c:v>
                </c:pt>
                <c:pt idx="485">
                  <c:v>574</c:v>
                </c:pt>
                <c:pt idx="486">
                  <c:v>549</c:v>
                </c:pt>
                <c:pt idx="487">
                  <c:v>440</c:v>
                </c:pt>
                <c:pt idx="488">
                  <c:v>551</c:v>
                </c:pt>
                <c:pt idx="489">
                  <c:v>592</c:v>
                </c:pt>
                <c:pt idx="490">
                  <c:v>570</c:v>
                </c:pt>
                <c:pt idx="491">
                  <c:v>519</c:v>
                </c:pt>
                <c:pt idx="492">
                  <c:v>475</c:v>
                </c:pt>
                <c:pt idx="493">
                  <c:v>522</c:v>
                </c:pt>
                <c:pt idx="494">
                  <c:v>434</c:v>
                </c:pt>
                <c:pt idx="495">
                  <c:v>563</c:v>
                </c:pt>
                <c:pt idx="496">
                  <c:v>553</c:v>
                </c:pt>
                <c:pt idx="497">
                  <c:v>591</c:v>
                </c:pt>
                <c:pt idx="498">
                  <c:v>524</c:v>
                </c:pt>
                <c:pt idx="499">
                  <c:v>497</c:v>
                </c:pt>
                <c:pt idx="500">
                  <c:v>569</c:v>
                </c:pt>
                <c:pt idx="501">
                  <c:v>472</c:v>
                </c:pt>
                <c:pt idx="502">
                  <c:v>501</c:v>
                </c:pt>
                <c:pt idx="503">
                  <c:v>551</c:v>
                </c:pt>
                <c:pt idx="504">
                  <c:v>587</c:v>
                </c:pt>
                <c:pt idx="505">
                  <c:v>533</c:v>
                </c:pt>
                <c:pt idx="506">
                  <c:v>497</c:v>
                </c:pt>
                <c:pt idx="507">
                  <c:v>525</c:v>
                </c:pt>
                <c:pt idx="508">
                  <c:v>470</c:v>
                </c:pt>
                <c:pt idx="509">
                  <c:v>501</c:v>
                </c:pt>
                <c:pt idx="510">
                  <c:v>519</c:v>
                </c:pt>
                <c:pt idx="511">
                  <c:v>577</c:v>
                </c:pt>
                <c:pt idx="512">
                  <c:v>573</c:v>
                </c:pt>
                <c:pt idx="513">
                  <c:v>533</c:v>
                </c:pt>
                <c:pt idx="514">
                  <c:v>525</c:v>
                </c:pt>
                <c:pt idx="515">
                  <c:v>456</c:v>
                </c:pt>
                <c:pt idx="516">
                  <c:v>508</c:v>
                </c:pt>
                <c:pt idx="517">
                  <c:v>548</c:v>
                </c:pt>
                <c:pt idx="519">
                  <c:v>0</c:v>
                </c:pt>
                <c:pt idx="520" formatCode="m/d/yyyy">
                  <c:v>44543</c:v>
                </c:pt>
                <c:pt idx="521" formatCode="m/d/yyyy">
                  <c:v>44465</c:v>
                </c:pt>
                <c:pt idx="522" formatCode="m/d/yyyy">
                  <c:v>44445</c:v>
                </c:pt>
                <c:pt idx="523" formatCode="m/d/yyyy">
                  <c:v>44443</c:v>
                </c:pt>
                <c:pt idx="524" formatCode="m/d/yyyy">
                  <c:v>44441</c:v>
                </c:pt>
                <c:pt idx="525" formatCode="m/d/yyyy">
                  <c:v>44434</c:v>
                </c:pt>
                <c:pt idx="526" formatCode="m/d/yyyy">
                  <c:v>44431</c:v>
                </c:pt>
                <c:pt idx="527" formatCode="m/d/yyyy">
                  <c:v>44427</c:v>
                </c:pt>
                <c:pt idx="528" formatCode="m/d/yyyy">
                  <c:v>44387</c:v>
                </c:pt>
                <c:pt idx="529" formatCode="m/d/yyyy">
                  <c:v>44383</c:v>
                </c:pt>
                <c:pt idx="530" formatCode="m/d/yyyy">
                  <c:v>44364</c:v>
                </c:pt>
                <c:pt idx="531" formatCode="m/d/yyyy">
                  <c:v>44352</c:v>
                </c:pt>
                <c:pt idx="532" formatCode="m/d/yyyy">
                  <c:v>44317</c:v>
                </c:pt>
                <c:pt idx="533" formatCode="m/d/yyyy">
                  <c:v>44261</c:v>
                </c:pt>
                <c:pt idx="534" formatCode="m/d/yyyy">
                  <c:v>44259</c:v>
                </c:pt>
                <c:pt idx="535" formatCode="m/d/yyyy">
                  <c:v>44251</c:v>
                </c:pt>
                <c:pt idx="536" formatCode="m/d/yyyy">
                  <c:v>44248</c:v>
                </c:pt>
                <c:pt idx="537" formatCode="m/d/yyyy">
                  <c:v>44226</c:v>
                </c:pt>
                <c:pt idx="538" formatCode="m/d/yyyy">
                  <c:v>44198</c:v>
                </c:pt>
                <c:pt idx="539" formatCode="m/d/yyyy">
                  <c:v>44459</c:v>
                </c:pt>
                <c:pt idx="540" formatCode="m/d/yyyy">
                  <c:v>44452</c:v>
                </c:pt>
                <c:pt idx="541" formatCode="m/d/yyyy">
                  <c:v>44431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ED-431C-ABFE-848718891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978464"/>
        <c:axId val="468972888"/>
      </c:scatterChart>
      <c:valAx>
        <c:axId val="468978464"/>
        <c:scaling>
          <c:orientation val="minMax"/>
          <c:max val="44562"/>
          <c:min val="4404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972888"/>
        <c:crosses val="autoZero"/>
        <c:crossBetween val="midCat"/>
        <c:majorUnit val="14"/>
        <c:minorUnit val="7"/>
      </c:valAx>
      <c:valAx>
        <c:axId val="468972888"/>
        <c:scaling>
          <c:orientation val="minMax"/>
          <c:max val="660"/>
          <c:min val="3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978464"/>
        <c:crosses val="autoZero"/>
        <c:crossBetween val="midCat"/>
        <c:majorUnit val="60"/>
        <c:min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38101</xdr:rowOff>
    </xdr:from>
    <xdr:to>
      <xdr:col>22</xdr:col>
      <xdr:colOff>171450</xdr:colOff>
      <xdr:row>29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B43F64-97BE-41B8-8AFF-03100F594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600076</xdr:colOff>
      <xdr:row>0</xdr:row>
      <xdr:rowOff>135253</xdr:rowOff>
    </xdr:from>
    <xdr:to>
      <xdr:col>37</xdr:col>
      <xdr:colOff>59056</xdr:colOff>
      <xdr:row>27</xdr:row>
      <xdr:rowOff>20955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D35522-8133-4668-9896-9250EC9B63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16</xdr:col>
      <xdr:colOff>373380</xdr:colOff>
      <xdr:row>73</xdr:row>
      <xdr:rowOff>37149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33528F-F57B-401D-A116-F662349EA0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28</xdr:col>
      <xdr:colOff>577214</xdr:colOff>
      <xdr:row>117</xdr:row>
      <xdr:rowOff>177165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DBE537-A7E5-4C14-9C06-14AE65B8D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unning%20Stuf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is's Streak"/>
      <sheetName val="Average Pace Per Run"/>
      <sheetName val="Paces at Run Clubs"/>
      <sheetName val="Runs by Month"/>
      <sheetName val="Personal Records"/>
      <sheetName val="Port City"/>
      <sheetName val="Dudley's"/>
      <sheetName val="Murphy's"/>
      <sheetName val="New District"/>
      <sheetName val="Georgetown Running Company"/>
      <sheetName val="Run Route 1"/>
      <sheetName val="Astro Lab"/>
      <sheetName val="Shin Splints Pain"/>
    </sheetNames>
    <sheetDataSet>
      <sheetData sheetId="0">
        <row r="2">
          <cell r="A2">
            <v>44044</v>
          </cell>
          <cell r="C2">
            <v>5.22</v>
          </cell>
          <cell r="E2">
            <v>495</v>
          </cell>
        </row>
        <row r="3">
          <cell r="A3">
            <v>44045</v>
          </cell>
          <cell r="C3">
            <v>12.02</v>
          </cell>
          <cell r="E3">
            <v>563</v>
          </cell>
          <cell r="M3" t="str">
            <v>Ran with Gratton</v>
          </cell>
        </row>
        <row r="4">
          <cell r="A4">
            <v>44046</v>
          </cell>
          <cell r="E4">
            <v>444</v>
          </cell>
        </row>
        <row r="5">
          <cell r="A5">
            <v>44047</v>
          </cell>
          <cell r="E5">
            <v>431</v>
          </cell>
        </row>
        <row r="6">
          <cell r="A6">
            <v>44048</v>
          </cell>
          <cell r="E6">
            <v>424</v>
          </cell>
        </row>
        <row r="7">
          <cell r="A7">
            <v>44049</v>
          </cell>
          <cell r="E7">
            <v>440</v>
          </cell>
        </row>
        <row r="8">
          <cell r="A8">
            <v>44050</v>
          </cell>
          <cell r="E8">
            <v>524</v>
          </cell>
        </row>
        <row r="9">
          <cell r="A9">
            <v>44051</v>
          </cell>
          <cell r="E9">
            <v>536</v>
          </cell>
        </row>
        <row r="10">
          <cell r="A10">
            <v>44052</v>
          </cell>
          <cell r="E10">
            <v>605</v>
          </cell>
        </row>
        <row r="11">
          <cell r="A11">
            <v>44053</v>
          </cell>
          <cell r="E11">
            <v>480</v>
          </cell>
        </row>
        <row r="12">
          <cell r="A12">
            <v>44054</v>
          </cell>
          <cell r="E12">
            <v>466</v>
          </cell>
        </row>
        <row r="13">
          <cell r="A13">
            <v>44055</v>
          </cell>
          <cell r="E13">
            <v>444</v>
          </cell>
        </row>
        <row r="14">
          <cell r="A14">
            <v>44056</v>
          </cell>
          <cell r="E14">
            <v>421</v>
          </cell>
        </row>
        <row r="15">
          <cell r="A15">
            <v>44057</v>
          </cell>
          <cell r="E15">
            <v>489</v>
          </cell>
        </row>
        <row r="16">
          <cell r="A16">
            <v>44058</v>
          </cell>
          <cell r="E16">
            <v>535</v>
          </cell>
        </row>
        <row r="17">
          <cell r="A17">
            <v>44059</v>
          </cell>
          <cell r="E17">
            <v>501</v>
          </cell>
        </row>
        <row r="18">
          <cell r="A18">
            <v>44060</v>
          </cell>
          <cell r="E18">
            <v>464</v>
          </cell>
        </row>
        <row r="19">
          <cell r="A19">
            <v>44061</v>
          </cell>
          <cell r="E19">
            <v>444</v>
          </cell>
        </row>
        <row r="20">
          <cell r="A20">
            <v>44062</v>
          </cell>
          <cell r="E20">
            <v>438</v>
          </cell>
        </row>
        <row r="21">
          <cell r="A21">
            <v>44063</v>
          </cell>
          <cell r="E21">
            <v>408</v>
          </cell>
        </row>
        <row r="22">
          <cell r="A22">
            <v>44064</v>
          </cell>
          <cell r="E22">
            <v>509</v>
          </cell>
        </row>
        <row r="23">
          <cell r="A23">
            <v>44065</v>
          </cell>
          <cell r="E23">
            <v>514</v>
          </cell>
        </row>
        <row r="24">
          <cell r="A24">
            <v>44066</v>
          </cell>
          <cell r="E24">
            <v>432</v>
          </cell>
        </row>
        <row r="25">
          <cell r="A25">
            <v>44067</v>
          </cell>
          <cell r="E25">
            <v>504</v>
          </cell>
        </row>
        <row r="26">
          <cell r="A26">
            <v>44068</v>
          </cell>
          <cell r="E26">
            <v>500</v>
          </cell>
        </row>
        <row r="27">
          <cell r="A27">
            <v>44069</v>
          </cell>
          <cell r="E27">
            <v>437</v>
          </cell>
        </row>
        <row r="28">
          <cell r="A28">
            <v>44070</v>
          </cell>
          <cell r="E28">
            <v>439</v>
          </cell>
        </row>
        <row r="29">
          <cell r="A29">
            <v>44071</v>
          </cell>
          <cell r="E29">
            <v>494</v>
          </cell>
        </row>
        <row r="30">
          <cell r="A30">
            <v>44072</v>
          </cell>
          <cell r="E30">
            <v>507</v>
          </cell>
        </row>
        <row r="31">
          <cell r="A31">
            <v>44073</v>
          </cell>
          <cell r="E31">
            <v>532</v>
          </cell>
        </row>
        <row r="32">
          <cell r="A32">
            <v>44074</v>
          </cell>
          <cell r="E32">
            <v>441</v>
          </cell>
        </row>
        <row r="33">
          <cell r="A33">
            <v>44075</v>
          </cell>
          <cell r="E33">
            <v>490</v>
          </cell>
        </row>
        <row r="34">
          <cell r="A34">
            <v>44076</v>
          </cell>
          <cell r="E34">
            <v>444</v>
          </cell>
        </row>
        <row r="35">
          <cell r="A35">
            <v>44077</v>
          </cell>
          <cell r="E35">
            <v>433</v>
          </cell>
        </row>
        <row r="36">
          <cell r="A36">
            <v>44078</v>
          </cell>
          <cell r="E36">
            <v>491</v>
          </cell>
        </row>
        <row r="37">
          <cell r="A37">
            <v>44079</v>
          </cell>
          <cell r="E37">
            <v>540</v>
          </cell>
        </row>
        <row r="38">
          <cell r="A38">
            <v>44080</v>
          </cell>
          <cell r="E38">
            <v>554</v>
          </cell>
        </row>
        <row r="39">
          <cell r="A39">
            <v>44081</v>
          </cell>
          <cell r="E39">
            <v>487</v>
          </cell>
        </row>
        <row r="40">
          <cell r="A40">
            <v>44082</v>
          </cell>
          <cell r="E40">
            <v>512</v>
          </cell>
        </row>
        <row r="41">
          <cell r="A41">
            <v>44083</v>
          </cell>
          <cell r="E41">
            <v>426</v>
          </cell>
        </row>
        <row r="42">
          <cell r="A42">
            <v>44084</v>
          </cell>
          <cell r="E42">
            <v>413</v>
          </cell>
        </row>
        <row r="43">
          <cell r="A43">
            <v>44085</v>
          </cell>
          <cell r="E43">
            <v>545</v>
          </cell>
        </row>
        <row r="44">
          <cell r="A44">
            <v>44086</v>
          </cell>
          <cell r="E44">
            <v>557</v>
          </cell>
        </row>
        <row r="45">
          <cell r="A45">
            <v>44087</v>
          </cell>
          <cell r="E45">
            <v>461</v>
          </cell>
        </row>
        <row r="46">
          <cell r="A46">
            <v>44088</v>
          </cell>
          <cell r="E46">
            <v>492</v>
          </cell>
        </row>
        <row r="47">
          <cell r="A47">
            <v>44089</v>
          </cell>
          <cell r="E47">
            <v>502</v>
          </cell>
        </row>
        <row r="48">
          <cell r="A48">
            <v>44090</v>
          </cell>
          <cell r="E48">
            <v>437</v>
          </cell>
        </row>
        <row r="49">
          <cell r="A49">
            <v>44091</v>
          </cell>
          <cell r="E49">
            <v>413</v>
          </cell>
        </row>
        <row r="50">
          <cell r="A50">
            <v>44092</v>
          </cell>
          <cell r="E50">
            <v>499</v>
          </cell>
        </row>
        <row r="51">
          <cell r="A51">
            <v>44093</v>
          </cell>
          <cell r="E51">
            <v>546</v>
          </cell>
        </row>
        <row r="52">
          <cell r="A52">
            <v>44094</v>
          </cell>
          <cell r="E52">
            <v>545</v>
          </cell>
        </row>
        <row r="53">
          <cell r="A53">
            <v>44095</v>
          </cell>
          <cell r="E53">
            <v>472</v>
          </cell>
        </row>
        <row r="54">
          <cell r="A54">
            <v>44096</v>
          </cell>
          <cell r="E54">
            <v>411</v>
          </cell>
        </row>
        <row r="55">
          <cell r="A55">
            <v>44097</v>
          </cell>
          <cell r="E55">
            <v>423</v>
          </cell>
        </row>
        <row r="56">
          <cell r="A56">
            <v>44098</v>
          </cell>
          <cell r="E56">
            <v>403</v>
          </cell>
        </row>
        <row r="57">
          <cell r="A57">
            <v>44099</v>
          </cell>
          <cell r="E57">
            <v>522</v>
          </cell>
        </row>
        <row r="58">
          <cell r="A58">
            <v>44100</v>
          </cell>
          <cell r="E58">
            <v>497</v>
          </cell>
        </row>
        <row r="59">
          <cell r="A59">
            <v>44101</v>
          </cell>
          <cell r="E59">
            <v>520</v>
          </cell>
        </row>
        <row r="60">
          <cell r="A60">
            <v>44102</v>
          </cell>
          <cell r="E60">
            <v>457</v>
          </cell>
        </row>
        <row r="61">
          <cell r="A61">
            <v>44103</v>
          </cell>
          <cell r="E61">
            <v>424</v>
          </cell>
        </row>
        <row r="62">
          <cell r="A62">
            <v>44104</v>
          </cell>
          <cell r="E62">
            <v>429</v>
          </cell>
        </row>
        <row r="63">
          <cell r="A63">
            <v>44105</v>
          </cell>
          <cell r="E63">
            <v>423</v>
          </cell>
        </row>
        <row r="64">
          <cell r="A64">
            <v>44106</v>
          </cell>
          <cell r="E64">
            <v>497</v>
          </cell>
        </row>
        <row r="65">
          <cell r="A65">
            <v>44107</v>
          </cell>
          <cell r="E65">
            <v>530</v>
          </cell>
        </row>
        <row r="66">
          <cell r="A66">
            <v>44108</v>
          </cell>
          <cell r="E66">
            <v>525</v>
          </cell>
        </row>
        <row r="67">
          <cell r="A67">
            <v>44109</v>
          </cell>
          <cell r="E67">
            <v>558</v>
          </cell>
        </row>
        <row r="68">
          <cell r="A68">
            <v>44110</v>
          </cell>
          <cell r="E68">
            <v>397</v>
          </cell>
        </row>
        <row r="69">
          <cell r="A69">
            <v>44111</v>
          </cell>
          <cell r="E69">
            <v>451</v>
          </cell>
        </row>
        <row r="70">
          <cell r="A70">
            <v>44112</v>
          </cell>
          <cell r="E70">
            <v>459</v>
          </cell>
        </row>
        <row r="71">
          <cell r="A71">
            <v>44113</v>
          </cell>
          <cell r="E71">
            <v>571</v>
          </cell>
        </row>
        <row r="72">
          <cell r="A72">
            <v>44114</v>
          </cell>
          <cell r="E72">
            <v>533</v>
          </cell>
        </row>
        <row r="73">
          <cell r="A73">
            <v>44115</v>
          </cell>
          <cell r="E73">
            <v>503</v>
          </cell>
        </row>
        <row r="74">
          <cell r="A74">
            <v>44116</v>
          </cell>
          <cell r="E74">
            <v>515</v>
          </cell>
        </row>
        <row r="75">
          <cell r="A75">
            <v>44117</v>
          </cell>
          <cell r="E75">
            <v>415</v>
          </cell>
        </row>
        <row r="76">
          <cell r="A76">
            <v>44118</v>
          </cell>
          <cell r="E76">
            <v>435</v>
          </cell>
        </row>
        <row r="77">
          <cell r="A77">
            <v>44119</v>
          </cell>
          <cell r="E77">
            <v>435</v>
          </cell>
        </row>
        <row r="78">
          <cell r="A78">
            <v>44120</v>
          </cell>
          <cell r="E78">
            <v>438</v>
          </cell>
        </row>
        <row r="79">
          <cell r="A79">
            <v>44121</v>
          </cell>
          <cell r="E79">
            <v>501</v>
          </cell>
        </row>
        <row r="80">
          <cell r="A80">
            <v>44122</v>
          </cell>
          <cell r="E80">
            <v>520</v>
          </cell>
        </row>
        <row r="81">
          <cell r="A81">
            <v>44123</v>
          </cell>
          <cell r="E81">
            <v>473</v>
          </cell>
        </row>
        <row r="82">
          <cell r="A82">
            <v>44124</v>
          </cell>
          <cell r="E82">
            <v>423</v>
          </cell>
        </row>
        <row r="83">
          <cell r="A83">
            <v>44125</v>
          </cell>
          <cell r="E83">
            <v>440</v>
          </cell>
        </row>
        <row r="84">
          <cell r="A84">
            <v>44126</v>
          </cell>
          <cell r="E84">
            <v>413</v>
          </cell>
        </row>
        <row r="85">
          <cell r="A85">
            <v>44127</v>
          </cell>
          <cell r="E85">
            <v>492</v>
          </cell>
        </row>
        <row r="86">
          <cell r="A86">
            <v>44128</v>
          </cell>
          <cell r="E86">
            <v>503</v>
          </cell>
        </row>
        <row r="87">
          <cell r="A87">
            <v>44129</v>
          </cell>
          <cell r="E87">
            <v>494</v>
          </cell>
        </row>
        <row r="88">
          <cell r="A88">
            <v>44130</v>
          </cell>
          <cell r="E88">
            <v>456</v>
          </cell>
        </row>
        <row r="89">
          <cell r="A89">
            <v>44131</v>
          </cell>
          <cell r="E89">
            <v>438</v>
          </cell>
        </row>
        <row r="90">
          <cell r="A90">
            <v>44132</v>
          </cell>
          <cell r="E90">
            <v>524</v>
          </cell>
        </row>
        <row r="91">
          <cell r="A91">
            <v>44133</v>
          </cell>
          <cell r="E91">
            <v>461</v>
          </cell>
        </row>
        <row r="92">
          <cell r="A92">
            <v>44134</v>
          </cell>
          <cell r="E92">
            <v>520</v>
          </cell>
        </row>
        <row r="93">
          <cell r="A93">
            <v>44135</v>
          </cell>
          <cell r="E93">
            <v>528</v>
          </cell>
        </row>
        <row r="94">
          <cell r="A94">
            <v>44136</v>
          </cell>
          <cell r="E94">
            <v>465</v>
          </cell>
        </row>
        <row r="95">
          <cell r="A95">
            <v>44137</v>
          </cell>
          <cell r="E95">
            <v>509</v>
          </cell>
        </row>
        <row r="96">
          <cell r="A96">
            <v>44138</v>
          </cell>
          <cell r="E96">
            <v>406</v>
          </cell>
        </row>
        <row r="97">
          <cell r="A97">
            <v>44139</v>
          </cell>
          <cell r="E97">
            <v>439</v>
          </cell>
        </row>
        <row r="98">
          <cell r="A98">
            <v>44140</v>
          </cell>
          <cell r="E98">
            <v>449</v>
          </cell>
        </row>
        <row r="99">
          <cell r="A99">
            <v>44141</v>
          </cell>
          <cell r="E99">
            <v>514</v>
          </cell>
        </row>
        <row r="100">
          <cell r="A100">
            <v>44142</v>
          </cell>
          <cell r="E100">
            <v>470</v>
          </cell>
        </row>
        <row r="101">
          <cell r="A101">
            <v>44143</v>
          </cell>
          <cell r="E101">
            <v>533</v>
          </cell>
        </row>
        <row r="102">
          <cell r="A102">
            <v>44144</v>
          </cell>
          <cell r="E102">
            <v>521</v>
          </cell>
        </row>
        <row r="103">
          <cell r="A103">
            <v>44145</v>
          </cell>
          <cell r="E103">
            <v>637</v>
          </cell>
        </row>
        <row r="104">
          <cell r="A104">
            <v>44146</v>
          </cell>
          <cell r="E104">
            <v>646</v>
          </cell>
        </row>
        <row r="105">
          <cell r="A105">
            <v>44147</v>
          </cell>
          <cell r="E105">
            <v>650</v>
          </cell>
        </row>
        <row r="106">
          <cell r="A106">
            <v>44148</v>
          </cell>
          <cell r="E106">
            <v>508</v>
          </cell>
        </row>
        <row r="107">
          <cell r="A107">
            <v>44149</v>
          </cell>
          <cell r="E107">
            <v>463</v>
          </cell>
        </row>
        <row r="108">
          <cell r="A108">
            <v>44150</v>
          </cell>
          <cell r="E108">
            <v>477</v>
          </cell>
        </row>
        <row r="109">
          <cell r="A109">
            <v>44151</v>
          </cell>
          <cell r="E109">
            <v>491</v>
          </cell>
        </row>
        <row r="110">
          <cell r="A110">
            <v>44152</v>
          </cell>
          <cell r="E110">
            <v>422</v>
          </cell>
        </row>
        <row r="111">
          <cell r="A111">
            <v>44153</v>
          </cell>
          <cell r="E111">
            <v>456</v>
          </cell>
        </row>
        <row r="112">
          <cell r="A112">
            <v>44154</v>
          </cell>
          <cell r="E112">
            <v>457</v>
          </cell>
        </row>
        <row r="113">
          <cell r="A113">
            <v>44155</v>
          </cell>
          <cell r="E113">
            <v>521</v>
          </cell>
        </row>
        <row r="114">
          <cell r="A114">
            <v>44156</v>
          </cell>
          <cell r="E114">
            <v>472</v>
          </cell>
        </row>
        <row r="115">
          <cell r="A115">
            <v>44157</v>
          </cell>
          <cell r="E115">
            <v>522</v>
          </cell>
        </row>
        <row r="116">
          <cell r="A116">
            <v>44158</v>
          </cell>
          <cell r="E116">
            <v>492</v>
          </cell>
        </row>
        <row r="117">
          <cell r="A117">
            <v>44159</v>
          </cell>
          <cell r="E117">
            <v>423</v>
          </cell>
        </row>
        <row r="118">
          <cell r="A118">
            <v>44160</v>
          </cell>
          <cell r="E118">
            <v>460</v>
          </cell>
        </row>
        <row r="119">
          <cell r="A119">
            <v>44161</v>
          </cell>
          <cell r="E119">
            <v>466</v>
          </cell>
        </row>
        <row r="120">
          <cell r="A120">
            <v>44162</v>
          </cell>
          <cell r="E120">
            <v>528</v>
          </cell>
        </row>
        <row r="121">
          <cell r="A121">
            <v>44163</v>
          </cell>
          <cell r="E121">
            <v>487</v>
          </cell>
        </row>
        <row r="122">
          <cell r="A122">
            <v>44164</v>
          </cell>
          <cell r="E122">
            <v>572</v>
          </cell>
        </row>
        <row r="123">
          <cell r="A123">
            <v>44165</v>
          </cell>
          <cell r="E123">
            <v>469</v>
          </cell>
        </row>
        <row r="124">
          <cell r="A124">
            <v>44166</v>
          </cell>
          <cell r="E124">
            <v>413</v>
          </cell>
        </row>
        <row r="125">
          <cell r="A125">
            <v>44167</v>
          </cell>
          <cell r="E125">
            <v>452</v>
          </cell>
        </row>
        <row r="126">
          <cell r="A126">
            <v>44168</v>
          </cell>
          <cell r="E126">
            <v>438</v>
          </cell>
        </row>
        <row r="127">
          <cell r="A127">
            <v>44169</v>
          </cell>
          <cell r="E127">
            <v>501</v>
          </cell>
        </row>
        <row r="128">
          <cell r="A128">
            <v>44170</v>
          </cell>
          <cell r="E128">
            <v>538</v>
          </cell>
        </row>
        <row r="129">
          <cell r="A129">
            <v>44171</v>
          </cell>
          <cell r="E129">
            <v>546</v>
          </cell>
        </row>
        <row r="130">
          <cell r="A130">
            <v>44172</v>
          </cell>
          <cell r="E130">
            <v>652</v>
          </cell>
        </row>
        <row r="131">
          <cell r="A131">
            <v>44173</v>
          </cell>
          <cell r="E131">
            <v>423</v>
          </cell>
        </row>
        <row r="132">
          <cell r="A132">
            <v>44174</v>
          </cell>
          <cell r="E132">
            <v>444</v>
          </cell>
        </row>
        <row r="133">
          <cell r="A133">
            <v>44175</v>
          </cell>
          <cell r="E133">
            <v>458</v>
          </cell>
        </row>
        <row r="134">
          <cell r="A134">
            <v>44176</v>
          </cell>
          <cell r="E134">
            <v>544</v>
          </cell>
        </row>
        <row r="135">
          <cell r="A135">
            <v>44177</v>
          </cell>
          <cell r="E135">
            <v>536</v>
          </cell>
        </row>
        <row r="136">
          <cell r="A136">
            <v>44178</v>
          </cell>
          <cell r="E136">
            <v>545</v>
          </cell>
        </row>
        <row r="137">
          <cell r="A137">
            <v>44179</v>
          </cell>
          <cell r="E137">
            <v>508</v>
          </cell>
        </row>
        <row r="138">
          <cell r="A138">
            <v>44180</v>
          </cell>
          <cell r="E138">
            <v>455</v>
          </cell>
        </row>
        <row r="139">
          <cell r="A139">
            <v>44181</v>
          </cell>
          <cell r="E139">
            <v>486</v>
          </cell>
        </row>
        <row r="140">
          <cell r="A140">
            <v>44182</v>
          </cell>
          <cell r="E140">
            <v>445</v>
          </cell>
        </row>
        <row r="141">
          <cell r="A141">
            <v>44183</v>
          </cell>
          <cell r="E141">
            <v>539</v>
          </cell>
        </row>
        <row r="142">
          <cell r="A142">
            <v>44184</v>
          </cell>
          <cell r="E142">
            <v>514</v>
          </cell>
        </row>
        <row r="143">
          <cell r="A143">
            <v>44185</v>
          </cell>
          <cell r="E143">
            <v>546</v>
          </cell>
        </row>
        <row r="144">
          <cell r="A144">
            <v>44186</v>
          </cell>
          <cell r="E144">
            <v>483</v>
          </cell>
        </row>
        <row r="145">
          <cell r="A145">
            <v>44187</v>
          </cell>
          <cell r="E145">
            <v>439</v>
          </cell>
        </row>
        <row r="146">
          <cell r="A146">
            <v>44188</v>
          </cell>
          <cell r="E146">
            <v>456</v>
          </cell>
        </row>
        <row r="147">
          <cell r="A147">
            <v>44189</v>
          </cell>
          <cell r="E147">
            <v>501</v>
          </cell>
        </row>
        <row r="148">
          <cell r="A148">
            <v>44190</v>
          </cell>
          <cell r="E148">
            <v>532</v>
          </cell>
        </row>
        <row r="149">
          <cell r="A149">
            <v>44191</v>
          </cell>
          <cell r="E149">
            <v>575</v>
          </cell>
        </row>
        <row r="150">
          <cell r="A150">
            <v>44192</v>
          </cell>
          <cell r="E150">
            <v>454</v>
          </cell>
        </row>
        <row r="151">
          <cell r="A151">
            <v>44193</v>
          </cell>
          <cell r="E151">
            <v>555</v>
          </cell>
        </row>
        <row r="152">
          <cell r="A152">
            <v>44194</v>
          </cell>
          <cell r="E152">
            <v>424</v>
          </cell>
        </row>
        <row r="153">
          <cell r="A153">
            <v>44195</v>
          </cell>
          <cell r="E153">
            <v>562</v>
          </cell>
        </row>
        <row r="154">
          <cell r="A154">
            <v>44196</v>
          </cell>
          <cell r="E154">
            <v>547</v>
          </cell>
        </row>
        <row r="155">
          <cell r="A155">
            <v>44197</v>
          </cell>
          <cell r="E155">
            <v>553</v>
          </cell>
        </row>
        <row r="156">
          <cell r="A156">
            <v>44198</v>
          </cell>
          <cell r="E156">
            <v>478</v>
          </cell>
        </row>
        <row r="157">
          <cell r="A157">
            <v>44199</v>
          </cell>
          <cell r="E157">
            <v>558</v>
          </cell>
        </row>
        <row r="158">
          <cell r="A158">
            <v>44200</v>
          </cell>
          <cell r="E158">
            <v>486</v>
          </cell>
        </row>
        <row r="159">
          <cell r="A159">
            <v>44201</v>
          </cell>
          <cell r="E159">
            <v>456</v>
          </cell>
        </row>
        <row r="160">
          <cell r="A160">
            <v>44202</v>
          </cell>
          <cell r="E160">
            <v>521</v>
          </cell>
        </row>
        <row r="161">
          <cell r="A161">
            <v>44203</v>
          </cell>
          <cell r="E161">
            <v>465</v>
          </cell>
        </row>
        <row r="162">
          <cell r="A162">
            <v>44204</v>
          </cell>
          <cell r="E162">
            <v>506</v>
          </cell>
        </row>
        <row r="163">
          <cell r="A163">
            <v>44205</v>
          </cell>
          <cell r="E163">
            <v>457</v>
          </cell>
        </row>
        <row r="164">
          <cell r="A164">
            <v>44206</v>
          </cell>
          <cell r="E164">
            <v>529</v>
          </cell>
        </row>
        <row r="165">
          <cell r="A165">
            <v>44207</v>
          </cell>
          <cell r="E165">
            <v>484</v>
          </cell>
        </row>
        <row r="166">
          <cell r="A166">
            <v>44208</v>
          </cell>
          <cell r="E166">
            <v>433</v>
          </cell>
        </row>
        <row r="167">
          <cell r="A167">
            <v>44209</v>
          </cell>
          <cell r="E167">
            <v>438</v>
          </cell>
        </row>
        <row r="168">
          <cell r="A168">
            <v>44210</v>
          </cell>
          <cell r="E168">
            <v>480</v>
          </cell>
        </row>
        <row r="169">
          <cell r="A169">
            <v>44211</v>
          </cell>
          <cell r="E169">
            <v>518</v>
          </cell>
        </row>
        <row r="170">
          <cell r="A170">
            <v>44212</v>
          </cell>
          <cell r="E170">
            <v>534</v>
          </cell>
        </row>
        <row r="171">
          <cell r="A171">
            <v>44213</v>
          </cell>
          <cell r="E171">
            <v>521</v>
          </cell>
        </row>
        <row r="172">
          <cell r="A172">
            <v>44214</v>
          </cell>
          <cell r="E172">
            <v>525</v>
          </cell>
        </row>
        <row r="173">
          <cell r="A173">
            <v>44215</v>
          </cell>
          <cell r="E173">
            <v>409</v>
          </cell>
        </row>
        <row r="174">
          <cell r="A174">
            <v>44216</v>
          </cell>
          <cell r="E174">
            <v>451</v>
          </cell>
        </row>
        <row r="175">
          <cell r="A175">
            <v>44217</v>
          </cell>
          <cell r="E175">
            <v>470</v>
          </cell>
        </row>
        <row r="176">
          <cell r="A176">
            <v>44218</v>
          </cell>
          <cell r="E176">
            <v>487</v>
          </cell>
        </row>
        <row r="177">
          <cell r="A177">
            <v>44219</v>
          </cell>
          <cell r="E177">
            <v>492</v>
          </cell>
        </row>
        <row r="178">
          <cell r="A178">
            <v>44220</v>
          </cell>
          <cell r="E178">
            <v>534</v>
          </cell>
        </row>
        <row r="179">
          <cell r="A179">
            <v>44221</v>
          </cell>
          <cell r="E179">
            <v>477</v>
          </cell>
        </row>
        <row r="180">
          <cell r="A180">
            <v>44222</v>
          </cell>
          <cell r="E180">
            <v>419</v>
          </cell>
        </row>
        <row r="181">
          <cell r="A181">
            <v>44223</v>
          </cell>
          <cell r="E181">
            <v>451</v>
          </cell>
        </row>
        <row r="182">
          <cell r="A182">
            <v>44224</v>
          </cell>
          <cell r="E182">
            <v>490</v>
          </cell>
        </row>
        <row r="183">
          <cell r="A183">
            <v>44225</v>
          </cell>
          <cell r="E183">
            <v>507</v>
          </cell>
        </row>
        <row r="184">
          <cell r="A184">
            <v>44226</v>
          </cell>
          <cell r="E184">
            <v>501</v>
          </cell>
        </row>
        <row r="185">
          <cell r="A185">
            <v>44227</v>
          </cell>
          <cell r="E185">
            <v>513</v>
          </cell>
        </row>
        <row r="186">
          <cell r="A186">
            <v>44228</v>
          </cell>
          <cell r="E186">
            <v>499</v>
          </cell>
        </row>
        <row r="187">
          <cell r="A187">
            <v>44229</v>
          </cell>
          <cell r="E187">
            <v>473</v>
          </cell>
        </row>
        <row r="188">
          <cell r="A188">
            <v>44230</v>
          </cell>
          <cell r="E188">
            <v>470</v>
          </cell>
        </row>
        <row r="189">
          <cell r="A189">
            <v>44231</v>
          </cell>
          <cell r="E189">
            <v>478</v>
          </cell>
        </row>
        <row r="190">
          <cell r="A190">
            <v>44232</v>
          </cell>
          <cell r="E190">
            <v>469</v>
          </cell>
        </row>
        <row r="191">
          <cell r="A191">
            <v>44233</v>
          </cell>
          <cell r="E191">
            <v>484</v>
          </cell>
        </row>
        <row r="192">
          <cell r="A192">
            <v>44234</v>
          </cell>
          <cell r="E192">
            <v>543</v>
          </cell>
        </row>
        <row r="193">
          <cell r="A193">
            <v>44235</v>
          </cell>
          <cell r="E193">
            <v>512</v>
          </cell>
        </row>
        <row r="194">
          <cell r="A194">
            <v>44236</v>
          </cell>
          <cell r="E194">
            <v>467</v>
          </cell>
        </row>
        <row r="195">
          <cell r="A195">
            <v>44237</v>
          </cell>
          <cell r="E195">
            <v>496</v>
          </cell>
        </row>
        <row r="196">
          <cell r="A196">
            <v>44238</v>
          </cell>
          <cell r="E196">
            <v>470</v>
          </cell>
        </row>
        <row r="197">
          <cell r="A197">
            <v>44239</v>
          </cell>
          <cell r="E197">
            <v>510</v>
          </cell>
        </row>
        <row r="198">
          <cell r="A198">
            <v>44240</v>
          </cell>
          <cell r="E198">
            <v>513</v>
          </cell>
        </row>
        <row r="199">
          <cell r="A199">
            <v>44241</v>
          </cell>
          <cell r="E199">
            <v>565</v>
          </cell>
        </row>
        <row r="200">
          <cell r="A200">
            <v>44242</v>
          </cell>
          <cell r="E200">
            <v>489</v>
          </cell>
        </row>
        <row r="201">
          <cell r="A201">
            <v>44243</v>
          </cell>
          <cell r="E201">
            <v>439</v>
          </cell>
        </row>
        <row r="202">
          <cell r="A202">
            <v>44244</v>
          </cell>
          <cell r="E202">
            <v>512</v>
          </cell>
        </row>
        <row r="203">
          <cell r="A203">
            <v>44245</v>
          </cell>
          <cell r="E203">
            <v>533</v>
          </cell>
        </row>
        <row r="204">
          <cell r="A204">
            <v>44246</v>
          </cell>
          <cell r="E204">
            <v>502</v>
          </cell>
        </row>
        <row r="205">
          <cell r="A205">
            <v>44247</v>
          </cell>
          <cell r="E205">
            <v>485</v>
          </cell>
        </row>
        <row r="206">
          <cell r="A206">
            <v>44248</v>
          </cell>
          <cell r="E206">
            <v>557</v>
          </cell>
        </row>
        <row r="207">
          <cell r="A207">
            <v>44249</v>
          </cell>
          <cell r="E207">
            <v>459</v>
          </cell>
        </row>
        <row r="208">
          <cell r="A208">
            <v>44250</v>
          </cell>
          <cell r="E208">
            <v>418</v>
          </cell>
        </row>
        <row r="209">
          <cell r="A209">
            <v>44251</v>
          </cell>
          <cell r="E209">
            <v>495</v>
          </cell>
        </row>
        <row r="210">
          <cell r="A210">
            <v>44252</v>
          </cell>
          <cell r="E210">
            <v>436</v>
          </cell>
        </row>
        <row r="211">
          <cell r="A211">
            <v>44253</v>
          </cell>
          <cell r="E211">
            <v>518</v>
          </cell>
        </row>
        <row r="212">
          <cell r="A212">
            <v>44254</v>
          </cell>
          <cell r="E212">
            <v>504</v>
          </cell>
        </row>
        <row r="213">
          <cell r="A213">
            <v>44255</v>
          </cell>
          <cell r="E213">
            <v>487</v>
          </cell>
        </row>
        <row r="214">
          <cell r="A214">
            <v>44256</v>
          </cell>
          <cell r="E214">
            <v>493</v>
          </cell>
        </row>
        <row r="215">
          <cell r="A215">
            <v>44257</v>
          </cell>
          <cell r="E215">
            <v>434</v>
          </cell>
        </row>
        <row r="216">
          <cell r="A216">
            <v>44258</v>
          </cell>
          <cell r="E216">
            <v>513</v>
          </cell>
        </row>
        <row r="217">
          <cell r="A217">
            <v>44259</v>
          </cell>
          <cell r="E217">
            <v>526</v>
          </cell>
        </row>
        <row r="218">
          <cell r="A218">
            <v>44260</v>
          </cell>
          <cell r="E218">
            <v>522</v>
          </cell>
        </row>
        <row r="219">
          <cell r="A219">
            <v>44261</v>
          </cell>
          <cell r="E219">
            <v>499</v>
          </cell>
        </row>
        <row r="220">
          <cell r="A220">
            <v>44262</v>
          </cell>
          <cell r="E220">
            <v>536</v>
          </cell>
        </row>
        <row r="221">
          <cell r="A221">
            <v>44263</v>
          </cell>
          <cell r="E221">
            <v>525</v>
          </cell>
        </row>
        <row r="222">
          <cell r="A222">
            <v>44264</v>
          </cell>
          <cell r="E222">
            <v>441</v>
          </cell>
        </row>
        <row r="223">
          <cell r="A223">
            <v>44265</v>
          </cell>
          <cell r="E223">
            <v>536</v>
          </cell>
        </row>
        <row r="224">
          <cell r="A224">
            <v>44266</v>
          </cell>
          <cell r="E224">
            <v>475</v>
          </cell>
        </row>
        <row r="225">
          <cell r="A225">
            <v>44267</v>
          </cell>
          <cell r="E225">
            <v>544</v>
          </cell>
        </row>
        <row r="226">
          <cell r="A226">
            <v>44268</v>
          </cell>
          <cell r="E226">
            <v>510</v>
          </cell>
        </row>
        <row r="227">
          <cell r="A227">
            <v>44269</v>
          </cell>
          <cell r="E227">
            <v>476</v>
          </cell>
        </row>
        <row r="228">
          <cell r="A228">
            <v>44270</v>
          </cell>
          <cell r="E228">
            <v>560</v>
          </cell>
        </row>
        <row r="229">
          <cell r="A229">
            <v>44271</v>
          </cell>
          <cell r="E229">
            <v>490</v>
          </cell>
        </row>
        <row r="230">
          <cell r="A230">
            <v>44272</v>
          </cell>
          <cell r="E230">
            <v>521</v>
          </cell>
        </row>
        <row r="231">
          <cell r="A231">
            <v>44273</v>
          </cell>
          <cell r="E231">
            <v>525</v>
          </cell>
        </row>
        <row r="232">
          <cell r="A232">
            <v>44274</v>
          </cell>
          <cell r="E232">
            <v>562</v>
          </cell>
        </row>
        <row r="233">
          <cell r="A233">
            <v>44275</v>
          </cell>
          <cell r="E233">
            <v>614</v>
          </cell>
        </row>
        <row r="234">
          <cell r="A234">
            <v>44276</v>
          </cell>
          <cell r="E234">
            <v>585</v>
          </cell>
        </row>
        <row r="235">
          <cell r="A235">
            <v>44277</v>
          </cell>
          <cell r="E235">
            <v>497</v>
          </cell>
        </row>
        <row r="236">
          <cell r="A236">
            <v>44278</v>
          </cell>
          <cell r="E236">
            <v>449</v>
          </cell>
        </row>
        <row r="237">
          <cell r="A237">
            <v>44279</v>
          </cell>
          <cell r="E237">
            <v>537</v>
          </cell>
        </row>
        <row r="238">
          <cell r="A238">
            <v>44280</v>
          </cell>
          <cell r="E238">
            <v>468</v>
          </cell>
        </row>
        <row r="239">
          <cell r="A239">
            <v>44281</v>
          </cell>
          <cell r="E239">
            <v>583</v>
          </cell>
        </row>
        <row r="240">
          <cell r="A240">
            <v>44282</v>
          </cell>
          <cell r="E240">
            <v>495</v>
          </cell>
        </row>
        <row r="241">
          <cell r="A241">
            <v>44283</v>
          </cell>
          <cell r="E241">
            <v>561</v>
          </cell>
        </row>
        <row r="242">
          <cell r="A242">
            <v>44284</v>
          </cell>
          <cell r="E242">
            <v>616</v>
          </cell>
        </row>
        <row r="243">
          <cell r="A243">
            <v>44285</v>
          </cell>
          <cell r="E243">
            <v>467</v>
          </cell>
        </row>
        <row r="244">
          <cell r="A244">
            <v>44286</v>
          </cell>
          <cell r="E244">
            <v>550</v>
          </cell>
        </row>
        <row r="245">
          <cell r="A245">
            <v>44287</v>
          </cell>
          <cell r="E245">
            <v>475</v>
          </cell>
        </row>
        <row r="246">
          <cell r="A246">
            <v>44288</v>
          </cell>
          <cell r="E246">
            <v>537</v>
          </cell>
        </row>
        <row r="247">
          <cell r="A247">
            <v>44289</v>
          </cell>
          <cell r="E247">
            <v>490</v>
          </cell>
        </row>
        <row r="248">
          <cell r="A248">
            <v>44290</v>
          </cell>
          <cell r="E248">
            <v>541</v>
          </cell>
        </row>
        <row r="249">
          <cell r="A249">
            <v>44291</v>
          </cell>
          <cell r="E249">
            <v>592</v>
          </cell>
        </row>
        <row r="250">
          <cell r="A250">
            <v>44292</v>
          </cell>
          <cell r="E250">
            <v>543</v>
          </cell>
        </row>
        <row r="251">
          <cell r="A251">
            <v>44293</v>
          </cell>
          <cell r="E251">
            <v>496</v>
          </cell>
        </row>
        <row r="252">
          <cell r="A252">
            <v>44294</v>
          </cell>
          <cell r="E252">
            <v>491</v>
          </cell>
        </row>
        <row r="253">
          <cell r="A253">
            <v>44295</v>
          </cell>
          <cell r="E253">
            <v>521</v>
          </cell>
        </row>
        <row r="254">
          <cell r="A254">
            <v>44296</v>
          </cell>
          <cell r="E254">
            <v>578</v>
          </cell>
        </row>
        <row r="255">
          <cell r="A255">
            <v>44297</v>
          </cell>
          <cell r="E255">
            <v>494</v>
          </cell>
        </row>
        <row r="256">
          <cell r="A256">
            <v>44298</v>
          </cell>
          <cell r="E256">
            <v>586</v>
          </cell>
        </row>
        <row r="257">
          <cell r="A257">
            <v>44299</v>
          </cell>
          <cell r="E257">
            <v>527</v>
          </cell>
        </row>
        <row r="258">
          <cell r="A258">
            <v>44300</v>
          </cell>
          <cell r="E258">
            <v>468</v>
          </cell>
        </row>
        <row r="259">
          <cell r="A259">
            <v>44301</v>
          </cell>
          <cell r="E259">
            <v>550</v>
          </cell>
        </row>
        <row r="260">
          <cell r="A260">
            <v>44302</v>
          </cell>
          <cell r="E260">
            <v>559</v>
          </cell>
        </row>
        <row r="261">
          <cell r="A261">
            <v>44303</v>
          </cell>
          <cell r="E261">
            <v>492</v>
          </cell>
        </row>
        <row r="262">
          <cell r="A262">
            <v>44304</v>
          </cell>
          <cell r="E262">
            <v>568</v>
          </cell>
        </row>
        <row r="263">
          <cell r="A263">
            <v>44305</v>
          </cell>
          <cell r="E263">
            <v>559</v>
          </cell>
        </row>
        <row r="264">
          <cell r="A264">
            <v>44306</v>
          </cell>
          <cell r="E264">
            <v>477</v>
          </cell>
        </row>
        <row r="265">
          <cell r="A265">
            <v>44307</v>
          </cell>
          <cell r="E265">
            <v>472</v>
          </cell>
        </row>
        <row r="266">
          <cell r="A266">
            <v>44308</v>
          </cell>
          <cell r="E266">
            <v>491</v>
          </cell>
        </row>
        <row r="267">
          <cell r="A267">
            <v>44309</v>
          </cell>
          <cell r="E267">
            <v>538</v>
          </cell>
        </row>
        <row r="268">
          <cell r="A268">
            <v>44310</v>
          </cell>
          <cell r="E268">
            <v>578</v>
          </cell>
        </row>
        <row r="269">
          <cell r="A269">
            <v>44311</v>
          </cell>
          <cell r="E269">
            <v>404</v>
          </cell>
        </row>
        <row r="270">
          <cell r="A270">
            <v>44312</v>
          </cell>
          <cell r="E270">
            <v>568</v>
          </cell>
        </row>
        <row r="271">
          <cell r="A271">
            <v>44313</v>
          </cell>
          <cell r="E271">
            <v>522</v>
          </cell>
        </row>
        <row r="272">
          <cell r="A272">
            <v>44314</v>
          </cell>
          <cell r="E272">
            <v>533</v>
          </cell>
        </row>
        <row r="273">
          <cell r="A273">
            <v>44315</v>
          </cell>
          <cell r="E273">
            <v>569</v>
          </cell>
        </row>
        <row r="274">
          <cell r="A274">
            <v>44316</v>
          </cell>
          <cell r="E274">
            <v>575</v>
          </cell>
        </row>
        <row r="275">
          <cell r="A275">
            <v>44317</v>
          </cell>
          <cell r="E275">
            <v>528</v>
          </cell>
        </row>
        <row r="276">
          <cell r="A276">
            <v>44318</v>
          </cell>
          <cell r="E276">
            <v>540</v>
          </cell>
        </row>
        <row r="277">
          <cell r="A277">
            <v>44319</v>
          </cell>
          <cell r="E277">
            <v>529</v>
          </cell>
        </row>
        <row r="278">
          <cell r="A278">
            <v>44320</v>
          </cell>
          <cell r="E278">
            <v>482</v>
          </cell>
        </row>
        <row r="279">
          <cell r="A279">
            <v>44321</v>
          </cell>
          <cell r="E279">
            <v>441</v>
          </cell>
        </row>
        <row r="280">
          <cell r="A280">
            <v>44322</v>
          </cell>
          <cell r="E280">
            <v>437</v>
          </cell>
        </row>
        <row r="281">
          <cell r="A281">
            <v>44323</v>
          </cell>
          <cell r="E281">
            <v>513</v>
          </cell>
        </row>
        <row r="282">
          <cell r="A282">
            <v>44324</v>
          </cell>
          <cell r="E282">
            <v>547</v>
          </cell>
        </row>
        <row r="283">
          <cell r="A283">
            <v>44325</v>
          </cell>
          <cell r="E283">
            <v>566</v>
          </cell>
        </row>
        <row r="284">
          <cell r="A284">
            <v>44326</v>
          </cell>
          <cell r="E284">
            <v>444</v>
          </cell>
        </row>
        <row r="285">
          <cell r="A285">
            <v>44327</v>
          </cell>
          <cell r="E285">
            <v>529</v>
          </cell>
        </row>
        <row r="286">
          <cell r="A286">
            <v>44328</v>
          </cell>
          <cell r="E286">
            <v>446</v>
          </cell>
        </row>
        <row r="287">
          <cell r="A287">
            <v>44329</v>
          </cell>
          <cell r="E287">
            <v>551</v>
          </cell>
        </row>
        <row r="288">
          <cell r="A288">
            <v>44330</v>
          </cell>
          <cell r="E288">
            <v>548</v>
          </cell>
        </row>
        <row r="289">
          <cell r="A289">
            <v>44331</v>
          </cell>
          <cell r="E289">
            <v>524</v>
          </cell>
        </row>
        <row r="290">
          <cell r="A290">
            <v>44332</v>
          </cell>
          <cell r="E290">
            <v>579</v>
          </cell>
        </row>
        <row r="291">
          <cell r="A291">
            <v>44333</v>
          </cell>
          <cell r="E291">
            <v>521</v>
          </cell>
        </row>
        <row r="292">
          <cell r="A292">
            <v>44334</v>
          </cell>
          <cell r="E292">
            <v>466</v>
          </cell>
        </row>
        <row r="293">
          <cell r="A293">
            <v>44335</v>
          </cell>
          <cell r="E293">
            <v>434</v>
          </cell>
        </row>
        <row r="294">
          <cell r="A294">
            <v>44336</v>
          </cell>
          <cell r="E294">
            <v>477</v>
          </cell>
        </row>
        <row r="295">
          <cell r="A295">
            <v>44337</v>
          </cell>
          <cell r="E295">
            <v>513</v>
          </cell>
        </row>
        <row r="296">
          <cell r="A296">
            <v>44338</v>
          </cell>
          <cell r="E296">
            <v>579</v>
          </cell>
        </row>
        <row r="297">
          <cell r="A297">
            <v>44339</v>
          </cell>
          <cell r="E297">
            <v>591</v>
          </cell>
        </row>
        <row r="298">
          <cell r="A298">
            <v>44340</v>
          </cell>
          <cell r="E298">
            <v>587</v>
          </cell>
        </row>
        <row r="299">
          <cell r="A299">
            <v>44341</v>
          </cell>
          <cell r="E299">
            <v>493</v>
          </cell>
        </row>
        <row r="300">
          <cell r="A300">
            <v>44342</v>
          </cell>
          <cell r="E300">
            <v>444</v>
          </cell>
        </row>
        <row r="301">
          <cell r="A301">
            <v>44343</v>
          </cell>
          <cell r="E301">
            <v>459</v>
          </cell>
        </row>
        <row r="302">
          <cell r="A302">
            <v>44344</v>
          </cell>
          <cell r="E302">
            <v>564</v>
          </cell>
        </row>
        <row r="303">
          <cell r="A303">
            <v>44345</v>
          </cell>
          <cell r="E303">
            <v>476</v>
          </cell>
        </row>
        <row r="304">
          <cell r="A304">
            <v>44346</v>
          </cell>
          <cell r="E304">
            <v>521</v>
          </cell>
        </row>
        <row r="305">
          <cell r="A305">
            <v>44347</v>
          </cell>
          <cell r="E305">
            <v>535</v>
          </cell>
        </row>
        <row r="306">
          <cell r="A306">
            <v>44348</v>
          </cell>
          <cell r="E306">
            <v>457</v>
          </cell>
        </row>
        <row r="307">
          <cell r="A307">
            <v>44349</v>
          </cell>
          <cell r="E307">
            <v>435</v>
          </cell>
        </row>
        <row r="308">
          <cell r="A308">
            <v>44350</v>
          </cell>
          <cell r="E308">
            <v>386</v>
          </cell>
        </row>
        <row r="309">
          <cell r="A309">
            <v>44351</v>
          </cell>
          <cell r="E309">
            <v>591</v>
          </cell>
        </row>
        <row r="310">
          <cell r="A310">
            <v>44352</v>
          </cell>
          <cell r="E310">
            <v>567</v>
          </cell>
        </row>
        <row r="311">
          <cell r="A311">
            <v>44353</v>
          </cell>
          <cell r="E311">
            <v>584</v>
          </cell>
        </row>
        <row r="312">
          <cell r="A312">
            <v>44354</v>
          </cell>
          <cell r="E312">
            <v>542</v>
          </cell>
        </row>
        <row r="313">
          <cell r="A313">
            <v>44355</v>
          </cell>
          <cell r="E313">
            <v>574</v>
          </cell>
        </row>
        <row r="314">
          <cell r="A314">
            <v>44356</v>
          </cell>
          <cell r="E314">
            <v>472</v>
          </cell>
        </row>
        <row r="315">
          <cell r="A315">
            <v>44357</v>
          </cell>
          <cell r="E315">
            <v>528</v>
          </cell>
        </row>
        <row r="316">
          <cell r="A316">
            <v>44358</v>
          </cell>
          <cell r="E316">
            <v>563</v>
          </cell>
        </row>
        <row r="317">
          <cell r="A317">
            <v>44359</v>
          </cell>
          <cell r="E317">
            <v>640</v>
          </cell>
        </row>
        <row r="318">
          <cell r="A318">
            <v>44360</v>
          </cell>
          <cell r="E318">
            <v>507</v>
          </cell>
        </row>
        <row r="319">
          <cell r="A319">
            <v>44361</v>
          </cell>
          <cell r="E319">
            <v>553</v>
          </cell>
        </row>
        <row r="320">
          <cell r="A320">
            <v>44362</v>
          </cell>
          <cell r="E320">
            <v>511</v>
          </cell>
        </row>
        <row r="321">
          <cell r="A321">
            <v>44363</v>
          </cell>
          <cell r="E321">
            <v>434</v>
          </cell>
        </row>
        <row r="322">
          <cell r="A322">
            <v>44364</v>
          </cell>
          <cell r="E322">
            <v>458</v>
          </cell>
        </row>
        <row r="323">
          <cell r="A323">
            <v>44365</v>
          </cell>
          <cell r="E323">
            <v>507</v>
          </cell>
        </row>
        <row r="324">
          <cell r="A324">
            <v>44366</v>
          </cell>
          <cell r="E324">
            <v>521</v>
          </cell>
        </row>
        <row r="325">
          <cell r="A325">
            <v>44367</v>
          </cell>
          <cell r="E325">
            <v>551</v>
          </cell>
        </row>
        <row r="326">
          <cell r="A326">
            <v>44368</v>
          </cell>
          <cell r="E326">
            <v>533</v>
          </cell>
        </row>
        <row r="327">
          <cell r="A327">
            <v>44369</v>
          </cell>
          <cell r="E327">
            <v>413</v>
          </cell>
        </row>
        <row r="328">
          <cell r="A328">
            <v>44370</v>
          </cell>
          <cell r="E328">
            <v>537</v>
          </cell>
        </row>
        <row r="329">
          <cell r="A329">
            <v>44371</v>
          </cell>
          <cell r="E329">
            <v>574</v>
          </cell>
        </row>
        <row r="330">
          <cell r="A330">
            <v>44372</v>
          </cell>
          <cell r="E330">
            <v>595</v>
          </cell>
        </row>
        <row r="331">
          <cell r="A331">
            <v>44373</v>
          </cell>
          <cell r="E331">
            <v>609</v>
          </cell>
        </row>
        <row r="332">
          <cell r="A332">
            <v>44374</v>
          </cell>
          <cell r="E332">
            <v>613</v>
          </cell>
        </row>
        <row r="333">
          <cell r="A333">
            <v>44375</v>
          </cell>
          <cell r="E333">
            <v>567</v>
          </cell>
        </row>
        <row r="334">
          <cell r="A334">
            <v>44376</v>
          </cell>
          <cell r="E334">
            <v>583</v>
          </cell>
        </row>
        <row r="335">
          <cell r="A335">
            <v>44377</v>
          </cell>
          <cell r="E335">
            <v>468</v>
          </cell>
        </row>
        <row r="336">
          <cell r="A336">
            <v>44378</v>
          </cell>
          <cell r="E336">
            <v>579</v>
          </cell>
        </row>
        <row r="337">
          <cell r="A337">
            <v>44379</v>
          </cell>
          <cell r="E337">
            <v>527</v>
          </cell>
        </row>
        <row r="338">
          <cell r="A338">
            <v>44380</v>
          </cell>
          <cell r="E338">
            <v>599</v>
          </cell>
        </row>
        <row r="339">
          <cell r="A339">
            <v>44381</v>
          </cell>
          <cell r="E339">
            <v>564</v>
          </cell>
        </row>
        <row r="340">
          <cell r="A340">
            <v>44382</v>
          </cell>
          <cell r="E340">
            <v>554</v>
          </cell>
        </row>
        <row r="341">
          <cell r="A341">
            <v>44383</v>
          </cell>
          <cell r="E341">
            <v>445</v>
          </cell>
        </row>
        <row r="342">
          <cell r="A342">
            <v>44384</v>
          </cell>
          <cell r="E342">
            <v>446</v>
          </cell>
        </row>
        <row r="343">
          <cell r="A343">
            <v>44385</v>
          </cell>
          <cell r="E343">
            <v>427</v>
          </cell>
        </row>
        <row r="344">
          <cell r="A344">
            <v>44386</v>
          </cell>
          <cell r="E344">
            <v>533</v>
          </cell>
        </row>
        <row r="345">
          <cell r="A345">
            <v>44387</v>
          </cell>
          <cell r="E345">
            <v>490</v>
          </cell>
        </row>
        <row r="346">
          <cell r="A346">
            <v>44388</v>
          </cell>
          <cell r="E346">
            <v>579</v>
          </cell>
        </row>
        <row r="347">
          <cell r="A347">
            <v>44389</v>
          </cell>
          <cell r="E347">
            <v>607</v>
          </cell>
        </row>
        <row r="348">
          <cell r="A348">
            <v>44390</v>
          </cell>
          <cell r="E348">
            <v>592</v>
          </cell>
        </row>
        <row r="349">
          <cell r="A349">
            <v>44391</v>
          </cell>
          <cell r="E349">
            <v>441</v>
          </cell>
        </row>
        <row r="350">
          <cell r="A350">
            <v>44392</v>
          </cell>
          <cell r="E350">
            <v>489</v>
          </cell>
        </row>
        <row r="351">
          <cell r="A351">
            <v>44393</v>
          </cell>
          <cell r="E351">
            <v>553</v>
          </cell>
        </row>
        <row r="352">
          <cell r="A352">
            <v>44394</v>
          </cell>
          <cell r="E352">
            <v>538</v>
          </cell>
        </row>
        <row r="353">
          <cell r="A353">
            <v>44395</v>
          </cell>
          <cell r="E353">
            <v>503</v>
          </cell>
        </row>
        <row r="354">
          <cell r="A354">
            <v>44396</v>
          </cell>
          <cell r="E354">
            <v>583</v>
          </cell>
        </row>
        <row r="355">
          <cell r="A355">
            <v>44397</v>
          </cell>
          <cell r="E355">
            <v>407</v>
          </cell>
        </row>
        <row r="356">
          <cell r="A356">
            <v>44398</v>
          </cell>
          <cell r="E356">
            <v>448</v>
          </cell>
        </row>
        <row r="357">
          <cell r="A357">
            <v>44399</v>
          </cell>
          <cell r="E357">
            <v>557</v>
          </cell>
        </row>
        <row r="358">
          <cell r="A358">
            <v>44400</v>
          </cell>
          <cell r="E358">
            <v>632</v>
          </cell>
        </row>
        <row r="359">
          <cell r="A359">
            <v>44401</v>
          </cell>
          <cell r="E359">
            <v>575</v>
          </cell>
        </row>
        <row r="360">
          <cell r="A360">
            <v>44402</v>
          </cell>
          <cell r="E360">
            <v>467</v>
          </cell>
        </row>
        <row r="361">
          <cell r="A361">
            <v>44403</v>
          </cell>
          <cell r="E361">
            <v>543</v>
          </cell>
        </row>
        <row r="362">
          <cell r="A362">
            <v>44404</v>
          </cell>
          <cell r="E362">
            <v>575</v>
          </cell>
        </row>
        <row r="363">
          <cell r="A363">
            <v>44405</v>
          </cell>
          <cell r="E363">
            <v>447</v>
          </cell>
        </row>
        <row r="364">
          <cell r="A364">
            <v>44406</v>
          </cell>
          <cell r="E364">
            <v>554</v>
          </cell>
        </row>
        <row r="365">
          <cell r="A365">
            <v>44407</v>
          </cell>
          <cell r="E365">
            <v>521</v>
          </cell>
        </row>
        <row r="366">
          <cell r="A366">
            <v>44408</v>
          </cell>
          <cell r="E366">
            <v>480</v>
          </cell>
        </row>
        <row r="367">
          <cell r="A367">
            <v>44409</v>
          </cell>
          <cell r="E367">
            <v>532</v>
          </cell>
        </row>
        <row r="368">
          <cell r="A368">
            <v>44410</v>
          </cell>
          <cell r="E368">
            <v>530</v>
          </cell>
        </row>
        <row r="369">
          <cell r="A369">
            <v>44411</v>
          </cell>
          <cell r="E369">
            <v>571</v>
          </cell>
        </row>
        <row r="370">
          <cell r="A370">
            <v>44412</v>
          </cell>
          <cell r="E370">
            <v>416</v>
          </cell>
        </row>
        <row r="371">
          <cell r="A371">
            <v>44413</v>
          </cell>
          <cell r="E371">
            <v>591</v>
          </cell>
        </row>
        <row r="372">
          <cell r="A372">
            <v>44414</v>
          </cell>
          <cell r="E372">
            <v>546</v>
          </cell>
        </row>
        <row r="373">
          <cell r="A373">
            <v>44415</v>
          </cell>
          <cell r="E373">
            <v>428</v>
          </cell>
        </row>
        <row r="374">
          <cell r="A374">
            <v>44416</v>
          </cell>
          <cell r="E374">
            <v>487</v>
          </cell>
        </row>
        <row r="375">
          <cell r="A375">
            <v>44417</v>
          </cell>
          <cell r="E375">
            <v>598</v>
          </cell>
        </row>
        <row r="376">
          <cell r="A376">
            <v>44418</v>
          </cell>
          <cell r="E376">
            <v>579</v>
          </cell>
        </row>
        <row r="377">
          <cell r="A377">
            <v>44419</v>
          </cell>
          <cell r="E377">
            <v>449</v>
          </cell>
        </row>
        <row r="378">
          <cell r="A378">
            <v>44420</v>
          </cell>
          <cell r="E378">
            <v>547</v>
          </cell>
        </row>
        <row r="379">
          <cell r="A379">
            <v>44421</v>
          </cell>
          <cell r="E379">
            <v>496</v>
          </cell>
        </row>
        <row r="380">
          <cell r="A380">
            <v>44422</v>
          </cell>
          <cell r="E380">
            <v>637</v>
          </cell>
        </row>
        <row r="381">
          <cell r="A381">
            <v>44423</v>
          </cell>
          <cell r="E381">
            <v>469</v>
          </cell>
        </row>
        <row r="382">
          <cell r="A382">
            <v>44424</v>
          </cell>
          <cell r="E382">
            <v>578</v>
          </cell>
        </row>
        <row r="383">
          <cell r="A383">
            <v>44425</v>
          </cell>
          <cell r="E383">
            <v>541</v>
          </cell>
        </row>
        <row r="384">
          <cell r="A384">
            <v>44426</v>
          </cell>
          <cell r="E384">
            <v>437</v>
          </cell>
        </row>
        <row r="385">
          <cell r="A385">
            <v>44427</v>
          </cell>
          <cell r="E385">
            <v>568</v>
          </cell>
        </row>
        <row r="386">
          <cell r="A386">
            <v>44428</v>
          </cell>
          <cell r="E386">
            <v>561</v>
          </cell>
        </row>
        <row r="387">
          <cell r="A387">
            <v>44429</v>
          </cell>
          <cell r="E387">
            <v>613</v>
          </cell>
        </row>
        <row r="388">
          <cell r="A388">
            <v>44430</v>
          </cell>
          <cell r="E388">
            <v>578</v>
          </cell>
        </row>
        <row r="389">
          <cell r="A389">
            <v>44431</v>
          </cell>
          <cell r="E389">
            <v>479</v>
          </cell>
        </row>
        <row r="390">
          <cell r="A390">
            <v>44432</v>
          </cell>
          <cell r="E390">
            <v>505</v>
          </cell>
        </row>
        <row r="391">
          <cell r="A391">
            <v>44433</v>
          </cell>
          <cell r="E391">
            <v>433</v>
          </cell>
        </row>
        <row r="392">
          <cell r="A392">
            <v>44434</v>
          </cell>
          <cell r="E392">
            <v>530</v>
          </cell>
        </row>
        <row r="393">
          <cell r="A393">
            <v>44435</v>
          </cell>
          <cell r="E393">
            <v>635</v>
          </cell>
        </row>
        <row r="394">
          <cell r="A394">
            <v>44436</v>
          </cell>
          <cell r="E394">
            <v>608</v>
          </cell>
        </row>
        <row r="395">
          <cell r="A395">
            <v>44437</v>
          </cell>
          <cell r="E395">
            <v>597</v>
          </cell>
        </row>
        <row r="396">
          <cell r="A396">
            <v>44438</v>
          </cell>
          <cell r="E396">
            <v>451</v>
          </cell>
        </row>
        <row r="397">
          <cell r="A397">
            <v>44439</v>
          </cell>
          <cell r="E397">
            <v>561</v>
          </cell>
        </row>
        <row r="398">
          <cell r="A398">
            <v>44440</v>
          </cell>
          <cell r="E398">
            <v>466</v>
          </cell>
        </row>
        <row r="399">
          <cell r="A399">
            <v>44441</v>
          </cell>
          <cell r="E399">
            <v>585</v>
          </cell>
        </row>
        <row r="400">
          <cell r="A400">
            <v>44442</v>
          </cell>
          <cell r="E400">
            <v>606</v>
          </cell>
        </row>
        <row r="401">
          <cell r="A401">
            <v>44443</v>
          </cell>
          <cell r="E401">
            <v>392</v>
          </cell>
        </row>
        <row r="402">
          <cell r="A402">
            <v>44444</v>
          </cell>
          <cell r="E402">
            <v>554</v>
          </cell>
        </row>
        <row r="403">
          <cell r="A403">
            <v>44445</v>
          </cell>
          <cell r="E403">
            <v>402</v>
          </cell>
        </row>
        <row r="404">
          <cell r="A404">
            <v>44446</v>
          </cell>
          <cell r="E404">
            <v>543</v>
          </cell>
        </row>
        <row r="405">
          <cell r="A405">
            <v>44447</v>
          </cell>
          <cell r="E405">
            <v>435</v>
          </cell>
        </row>
        <row r="406">
          <cell r="A406">
            <v>44448</v>
          </cell>
          <cell r="E406">
            <v>516</v>
          </cell>
        </row>
        <row r="407">
          <cell r="A407">
            <v>44449</v>
          </cell>
          <cell r="E407">
            <v>563</v>
          </cell>
        </row>
        <row r="408">
          <cell r="A408">
            <v>44450</v>
          </cell>
          <cell r="E408">
            <v>509</v>
          </cell>
        </row>
        <row r="409">
          <cell r="A409">
            <v>44451</v>
          </cell>
          <cell r="E409">
            <v>589</v>
          </cell>
        </row>
        <row r="410">
          <cell r="A410">
            <v>44452</v>
          </cell>
          <cell r="E410">
            <v>436</v>
          </cell>
        </row>
        <row r="411">
          <cell r="A411">
            <v>44453</v>
          </cell>
          <cell r="E411">
            <v>536</v>
          </cell>
        </row>
        <row r="412">
          <cell r="A412">
            <v>44454</v>
          </cell>
          <cell r="E412">
            <v>438</v>
          </cell>
        </row>
        <row r="413">
          <cell r="A413">
            <v>44455</v>
          </cell>
          <cell r="E413">
            <v>537</v>
          </cell>
        </row>
        <row r="414">
          <cell r="A414">
            <v>44456</v>
          </cell>
          <cell r="E414">
            <v>528</v>
          </cell>
        </row>
        <row r="415">
          <cell r="A415">
            <v>44457</v>
          </cell>
          <cell r="E415">
            <v>493</v>
          </cell>
        </row>
        <row r="416">
          <cell r="A416">
            <v>44458</v>
          </cell>
          <cell r="E416">
            <v>576</v>
          </cell>
        </row>
        <row r="417">
          <cell r="A417">
            <v>44459</v>
          </cell>
          <cell r="E417">
            <v>579</v>
          </cell>
        </row>
        <row r="418">
          <cell r="A418">
            <v>44460</v>
          </cell>
          <cell r="E418">
            <v>536</v>
          </cell>
        </row>
        <row r="419">
          <cell r="A419">
            <v>44461</v>
          </cell>
          <cell r="E419">
            <v>555</v>
          </cell>
        </row>
        <row r="420">
          <cell r="A420">
            <v>44462</v>
          </cell>
          <cell r="E420">
            <v>514</v>
          </cell>
        </row>
        <row r="421">
          <cell r="A421">
            <v>44463</v>
          </cell>
          <cell r="E421">
            <v>530</v>
          </cell>
        </row>
        <row r="422">
          <cell r="A422">
            <v>44464</v>
          </cell>
          <cell r="E422">
            <v>489</v>
          </cell>
        </row>
        <row r="423">
          <cell r="A423">
            <v>44465</v>
          </cell>
          <cell r="E423">
            <v>470</v>
          </cell>
        </row>
        <row r="424">
          <cell r="A424">
            <v>44466</v>
          </cell>
          <cell r="E424">
            <v>452</v>
          </cell>
        </row>
        <row r="425">
          <cell r="A425">
            <v>44467</v>
          </cell>
          <cell r="E425">
            <v>494</v>
          </cell>
        </row>
        <row r="426">
          <cell r="A426">
            <v>44468</v>
          </cell>
          <cell r="E426">
            <v>430</v>
          </cell>
        </row>
        <row r="427">
          <cell r="A427">
            <v>44469</v>
          </cell>
          <cell r="E427">
            <v>550</v>
          </cell>
        </row>
        <row r="428">
          <cell r="A428">
            <v>44470</v>
          </cell>
          <cell r="E428">
            <v>531</v>
          </cell>
        </row>
        <row r="429">
          <cell r="A429">
            <v>44471</v>
          </cell>
          <cell r="E429">
            <v>451</v>
          </cell>
        </row>
        <row r="430">
          <cell r="A430">
            <v>44472</v>
          </cell>
          <cell r="E430">
            <v>485</v>
          </cell>
        </row>
        <row r="431">
          <cell r="A431">
            <v>44473</v>
          </cell>
          <cell r="E431">
            <v>529</v>
          </cell>
        </row>
        <row r="432">
          <cell r="A432">
            <v>44474</v>
          </cell>
          <cell r="E432">
            <v>558</v>
          </cell>
        </row>
        <row r="433">
          <cell r="A433">
            <v>44475</v>
          </cell>
          <cell r="E433">
            <v>454</v>
          </cell>
        </row>
        <row r="434">
          <cell r="A434">
            <v>44476</v>
          </cell>
          <cell r="E434">
            <v>531</v>
          </cell>
        </row>
        <row r="435">
          <cell r="A435">
            <v>44477</v>
          </cell>
          <cell r="E435">
            <v>516</v>
          </cell>
        </row>
        <row r="436">
          <cell r="A436">
            <v>44478</v>
          </cell>
          <cell r="E436">
            <v>568</v>
          </cell>
        </row>
        <row r="437">
          <cell r="A437">
            <v>44479</v>
          </cell>
          <cell r="E437">
            <v>576</v>
          </cell>
        </row>
        <row r="438">
          <cell r="A438">
            <v>44480</v>
          </cell>
          <cell r="E438">
            <v>621</v>
          </cell>
        </row>
        <row r="439">
          <cell r="A439">
            <v>44481</v>
          </cell>
          <cell r="E439">
            <v>582</v>
          </cell>
        </row>
        <row r="440">
          <cell r="A440">
            <v>44482</v>
          </cell>
          <cell r="E440">
            <v>501</v>
          </cell>
        </row>
        <row r="441">
          <cell r="A441">
            <v>44483</v>
          </cell>
          <cell r="E441">
            <v>449</v>
          </cell>
        </row>
        <row r="442">
          <cell r="A442">
            <v>44484</v>
          </cell>
          <cell r="E442">
            <v>534</v>
          </cell>
        </row>
        <row r="443">
          <cell r="A443">
            <v>44485</v>
          </cell>
          <cell r="E443">
            <v>552</v>
          </cell>
        </row>
        <row r="444">
          <cell r="A444">
            <v>44486</v>
          </cell>
          <cell r="E444">
            <v>555</v>
          </cell>
        </row>
        <row r="445">
          <cell r="A445">
            <v>44487</v>
          </cell>
          <cell r="E445">
            <v>470</v>
          </cell>
        </row>
        <row r="446">
          <cell r="A446">
            <v>44488</v>
          </cell>
          <cell r="E446">
            <v>579</v>
          </cell>
        </row>
        <row r="447">
          <cell r="A447">
            <v>44489</v>
          </cell>
          <cell r="E447">
            <v>409</v>
          </cell>
        </row>
        <row r="448">
          <cell r="A448">
            <v>44490</v>
          </cell>
          <cell r="E448">
            <v>495</v>
          </cell>
        </row>
        <row r="449">
          <cell r="A449">
            <v>44491</v>
          </cell>
          <cell r="E449">
            <v>510</v>
          </cell>
        </row>
        <row r="450">
          <cell r="A450">
            <v>44492</v>
          </cell>
          <cell r="E450">
            <v>455</v>
          </cell>
        </row>
        <row r="451">
          <cell r="A451">
            <v>44493</v>
          </cell>
          <cell r="E451">
            <v>562</v>
          </cell>
        </row>
        <row r="452">
          <cell r="A452">
            <v>44494</v>
          </cell>
          <cell r="E452">
            <v>532</v>
          </cell>
        </row>
        <row r="453">
          <cell r="A453">
            <v>44495</v>
          </cell>
          <cell r="E453">
            <v>556</v>
          </cell>
        </row>
        <row r="454">
          <cell r="A454">
            <v>44496</v>
          </cell>
          <cell r="E454">
            <v>440</v>
          </cell>
        </row>
        <row r="455">
          <cell r="A455">
            <v>44497</v>
          </cell>
          <cell r="E455">
            <v>483</v>
          </cell>
        </row>
        <row r="456">
          <cell r="A456">
            <v>44498</v>
          </cell>
          <cell r="E456">
            <v>576</v>
          </cell>
        </row>
        <row r="457">
          <cell r="A457">
            <v>44499</v>
          </cell>
          <cell r="E457">
            <v>596</v>
          </cell>
        </row>
        <row r="458">
          <cell r="A458">
            <v>44500</v>
          </cell>
          <cell r="E458">
            <v>525</v>
          </cell>
        </row>
        <row r="459">
          <cell r="A459">
            <v>44501</v>
          </cell>
          <cell r="E459">
            <v>434</v>
          </cell>
        </row>
        <row r="460">
          <cell r="A460">
            <v>44502</v>
          </cell>
          <cell r="E460">
            <v>514</v>
          </cell>
        </row>
        <row r="461">
          <cell r="A461">
            <v>44503</v>
          </cell>
          <cell r="E461">
            <v>475</v>
          </cell>
        </row>
        <row r="462">
          <cell r="A462">
            <v>44504</v>
          </cell>
          <cell r="E462">
            <v>528</v>
          </cell>
        </row>
        <row r="463">
          <cell r="A463">
            <v>44505</v>
          </cell>
          <cell r="E463">
            <v>524</v>
          </cell>
        </row>
        <row r="464">
          <cell r="A464">
            <v>44506</v>
          </cell>
          <cell r="E464">
            <v>496</v>
          </cell>
        </row>
        <row r="465">
          <cell r="A465">
            <v>44507</v>
          </cell>
          <cell r="E465">
            <v>535</v>
          </cell>
        </row>
        <row r="466">
          <cell r="A466">
            <v>44508</v>
          </cell>
          <cell r="E466">
            <v>539</v>
          </cell>
        </row>
        <row r="467">
          <cell r="A467">
            <v>44509</v>
          </cell>
          <cell r="E467">
            <v>548</v>
          </cell>
        </row>
        <row r="468">
          <cell r="A468">
            <v>44510</v>
          </cell>
          <cell r="E468">
            <v>463</v>
          </cell>
        </row>
        <row r="469">
          <cell r="A469">
            <v>44511</v>
          </cell>
          <cell r="E469">
            <v>561</v>
          </cell>
        </row>
        <row r="470">
          <cell r="A470">
            <v>44512</v>
          </cell>
          <cell r="E470">
            <v>535</v>
          </cell>
        </row>
        <row r="471">
          <cell r="A471">
            <v>44513</v>
          </cell>
          <cell r="E471">
            <v>554</v>
          </cell>
        </row>
        <row r="472">
          <cell r="A472">
            <v>44514</v>
          </cell>
          <cell r="E472">
            <v>490</v>
          </cell>
        </row>
        <row r="473">
          <cell r="A473">
            <v>44515</v>
          </cell>
          <cell r="E473">
            <v>464</v>
          </cell>
        </row>
        <row r="474">
          <cell r="A474">
            <v>44516</v>
          </cell>
          <cell r="E474">
            <v>535</v>
          </cell>
        </row>
        <row r="475">
          <cell r="A475">
            <v>44517</v>
          </cell>
          <cell r="E475">
            <v>450</v>
          </cell>
        </row>
        <row r="476">
          <cell r="A476">
            <v>44518</v>
          </cell>
          <cell r="E476">
            <v>513</v>
          </cell>
        </row>
        <row r="477">
          <cell r="A477">
            <v>44519</v>
          </cell>
          <cell r="E477">
            <v>499</v>
          </cell>
        </row>
        <row r="478">
          <cell r="A478">
            <v>44520</v>
          </cell>
          <cell r="E478">
            <v>516</v>
          </cell>
        </row>
        <row r="479">
          <cell r="A479">
            <v>44521</v>
          </cell>
          <cell r="E479">
            <v>594</v>
          </cell>
        </row>
        <row r="480">
          <cell r="A480">
            <v>44522</v>
          </cell>
          <cell r="E480">
            <v>492</v>
          </cell>
        </row>
        <row r="481">
          <cell r="A481">
            <v>44523</v>
          </cell>
          <cell r="E481">
            <v>524</v>
          </cell>
        </row>
        <row r="482">
          <cell r="A482">
            <v>44524</v>
          </cell>
          <cell r="E482">
            <v>448</v>
          </cell>
        </row>
        <row r="483">
          <cell r="A483">
            <v>44525</v>
          </cell>
          <cell r="E483">
            <v>645</v>
          </cell>
        </row>
        <row r="484">
          <cell r="A484">
            <v>44526</v>
          </cell>
          <cell r="E484">
            <v>512</v>
          </cell>
        </row>
        <row r="485">
          <cell r="A485">
            <v>44527</v>
          </cell>
          <cell r="E485">
            <v>435</v>
          </cell>
        </row>
        <row r="486">
          <cell r="A486">
            <v>44528</v>
          </cell>
          <cell r="E486">
            <v>552</v>
          </cell>
        </row>
        <row r="487">
          <cell r="A487">
            <v>44529</v>
          </cell>
          <cell r="E487">
            <v>574</v>
          </cell>
        </row>
        <row r="488">
          <cell r="A488">
            <v>44530</v>
          </cell>
          <cell r="E488">
            <v>549</v>
          </cell>
        </row>
        <row r="489">
          <cell r="A489">
            <v>44531</v>
          </cell>
          <cell r="E489">
            <v>440</v>
          </cell>
        </row>
        <row r="490">
          <cell r="A490">
            <v>44532</v>
          </cell>
          <cell r="E490">
            <v>551</v>
          </cell>
        </row>
        <row r="491">
          <cell r="A491">
            <v>44533</v>
          </cell>
          <cell r="E491">
            <v>592</v>
          </cell>
        </row>
        <row r="492">
          <cell r="A492">
            <v>44534</v>
          </cell>
          <cell r="E492">
            <v>570</v>
          </cell>
        </row>
        <row r="493">
          <cell r="A493">
            <v>44535</v>
          </cell>
          <cell r="E493">
            <v>519</v>
          </cell>
        </row>
        <row r="494">
          <cell r="A494">
            <v>44536</v>
          </cell>
          <cell r="E494">
            <v>475</v>
          </cell>
        </row>
        <row r="495">
          <cell r="A495">
            <v>44537</v>
          </cell>
          <cell r="E495">
            <v>522</v>
          </cell>
        </row>
        <row r="496">
          <cell r="A496">
            <v>44538</v>
          </cell>
          <cell r="E496">
            <v>434</v>
          </cell>
        </row>
        <row r="497">
          <cell r="A497">
            <v>44539</v>
          </cell>
          <cell r="E497">
            <v>563</v>
          </cell>
        </row>
        <row r="498">
          <cell r="A498">
            <v>44540</v>
          </cell>
          <cell r="E498">
            <v>553</v>
          </cell>
        </row>
        <row r="499">
          <cell r="A499">
            <v>44541</v>
          </cell>
          <cell r="E499">
            <v>591</v>
          </cell>
        </row>
        <row r="500">
          <cell r="A500">
            <v>44542</v>
          </cell>
          <cell r="E500">
            <v>524</v>
          </cell>
        </row>
        <row r="501">
          <cell r="A501">
            <v>44543</v>
          </cell>
          <cell r="E501">
            <v>497</v>
          </cell>
        </row>
        <row r="502">
          <cell r="A502">
            <v>44544</v>
          </cell>
          <cell r="E502">
            <v>569</v>
          </cell>
        </row>
        <row r="503">
          <cell r="A503">
            <v>44545</v>
          </cell>
          <cell r="E503">
            <v>472</v>
          </cell>
        </row>
        <row r="504">
          <cell r="A504">
            <v>44546</v>
          </cell>
          <cell r="E504">
            <v>501</v>
          </cell>
        </row>
        <row r="505">
          <cell r="A505">
            <v>44547</v>
          </cell>
          <cell r="E505">
            <v>551</v>
          </cell>
        </row>
        <row r="506">
          <cell r="A506">
            <v>44548</v>
          </cell>
          <cell r="E506">
            <v>587</v>
          </cell>
        </row>
        <row r="507">
          <cell r="A507">
            <v>44549</v>
          </cell>
          <cell r="E507">
            <v>533</v>
          </cell>
        </row>
        <row r="508">
          <cell r="A508">
            <v>44550</v>
          </cell>
          <cell r="E508">
            <v>497</v>
          </cell>
        </row>
        <row r="509">
          <cell r="A509">
            <v>44551</v>
          </cell>
          <cell r="E509">
            <v>525</v>
          </cell>
        </row>
        <row r="510">
          <cell r="A510">
            <v>44552</v>
          </cell>
          <cell r="E510">
            <v>470</v>
          </cell>
        </row>
        <row r="511">
          <cell r="A511">
            <v>44553</v>
          </cell>
          <cell r="E511">
            <v>501</v>
          </cell>
        </row>
        <row r="512">
          <cell r="A512">
            <v>44554</v>
          </cell>
          <cell r="E512">
            <v>519</v>
          </cell>
        </row>
        <row r="513">
          <cell r="A513">
            <v>44555</v>
          </cell>
          <cell r="E513">
            <v>577</v>
          </cell>
        </row>
        <row r="514">
          <cell r="A514">
            <v>44556</v>
          </cell>
          <cell r="E514">
            <v>573</v>
          </cell>
        </row>
        <row r="515">
          <cell r="A515">
            <v>44557</v>
          </cell>
          <cell r="E515">
            <v>533</v>
          </cell>
        </row>
        <row r="516">
          <cell r="A516">
            <v>44558</v>
          </cell>
          <cell r="E516">
            <v>525</v>
          </cell>
        </row>
        <row r="517">
          <cell r="A517">
            <v>44559</v>
          </cell>
          <cell r="E517">
            <v>456</v>
          </cell>
        </row>
        <row r="518">
          <cell r="A518">
            <v>44560</v>
          </cell>
          <cell r="E518">
            <v>508</v>
          </cell>
        </row>
        <row r="519">
          <cell r="A519">
            <v>44561</v>
          </cell>
          <cell r="E519">
            <v>548</v>
          </cell>
        </row>
        <row r="521">
          <cell r="E521" t="str">
            <v>Occurrences of Extra Miles:</v>
          </cell>
        </row>
        <row r="522">
          <cell r="E522">
            <v>44543</v>
          </cell>
        </row>
        <row r="523">
          <cell r="E523">
            <v>44465</v>
          </cell>
        </row>
        <row r="524">
          <cell r="E524">
            <v>44445</v>
          </cell>
        </row>
        <row r="525">
          <cell r="E525">
            <v>44443</v>
          </cell>
        </row>
        <row r="526">
          <cell r="E526">
            <v>44441</v>
          </cell>
        </row>
        <row r="527">
          <cell r="E527">
            <v>44434</v>
          </cell>
        </row>
        <row r="528">
          <cell r="E528">
            <v>44431</v>
          </cell>
        </row>
        <row r="529">
          <cell r="E529">
            <v>44427</v>
          </cell>
        </row>
        <row r="530">
          <cell r="E530">
            <v>44387</v>
          </cell>
        </row>
        <row r="531">
          <cell r="E531">
            <v>44383</v>
          </cell>
        </row>
        <row r="532">
          <cell r="E532">
            <v>44364</v>
          </cell>
        </row>
        <row r="533">
          <cell r="E533">
            <v>44352</v>
          </cell>
        </row>
        <row r="534">
          <cell r="E534">
            <v>44317</v>
          </cell>
        </row>
        <row r="535">
          <cell r="E535">
            <v>44261</v>
          </cell>
        </row>
        <row r="536">
          <cell r="E536">
            <v>44259</v>
          </cell>
        </row>
        <row r="537">
          <cell r="E537">
            <v>44251</v>
          </cell>
        </row>
        <row r="538">
          <cell r="E538">
            <v>44248</v>
          </cell>
        </row>
        <row r="539">
          <cell r="E539">
            <v>44226</v>
          </cell>
        </row>
        <row r="540">
          <cell r="E540">
            <v>44198</v>
          </cell>
        </row>
        <row r="541">
          <cell r="E541">
            <v>44459</v>
          </cell>
        </row>
        <row r="542">
          <cell r="E542">
            <v>44452</v>
          </cell>
        </row>
        <row r="543">
          <cell r="E543">
            <v>44431</v>
          </cell>
        </row>
      </sheetData>
      <sheetData sheetId="1"/>
      <sheetData sheetId="2"/>
      <sheetData sheetId="3">
        <row r="2">
          <cell r="A2" t="str">
            <v>August 2020</v>
          </cell>
          <cell r="B2">
            <v>147.29000000000002</v>
          </cell>
          <cell r="C2" t="str">
            <v>8:18.0</v>
          </cell>
          <cell r="D2">
            <v>498.01751646411833</v>
          </cell>
        </row>
        <row r="3">
          <cell r="A3" t="str">
            <v>September 2020</v>
          </cell>
          <cell r="B3">
            <v>140.57</v>
          </cell>
          <cell r="C3" t="str">
            <v>8:10.7</v>
          </cell>
          <cell r="D3">
            <v>490.66657181475426</v>
          </cell>
        </row>
        <row r="4">
          <cell r="A4" t="str">
            <v>October 2020</v>
          </cell>
          <cell r="B4">
            <v>161.79</v>
          </cell>
          <cell r="C4" t="str">
            <v>8:11.8</v>
          </cell>
          <cell r="D4">
            <v>491.8041906174671</v>
          </cell>
        </row>
        <row r="5">
          <cell r="A5" t="str">
            <v>November 2020</v>
          </cell>
          <cell r="B5">
            <v>195.79000000000005</v>
          </cell>
          <cell r="C5" t="str">
            <v>8:14.9</v>
          </cell>
          <cell r="D5">
            <v>494.87716430869796</v>
          </cell>
        </row>
        <row r="6">
          <cell r="A6" t="str">
            <v>December 2020</v>
          </cell>
          <cell r="B6">
            <v>195.92000000000002</v>
          </cell>
          <cell r="C6" t="str">
            <v>8:38.4</v>
          </cell>
          <cell r="D6">
            <v>518.37995100040825</v>
          </cell>
        </row>
        <row r="7">
          <cell r="A7" t="str">
            <v>January 2021</v>
          </cell>
          <cell r="B7">
            <v>196.92</v>
          </cell>
          <cell r="C7" t="str">
            <v>8:24.9</v>
          </cell>
          <cell r="D7">
            <v>504.91570180784078</v>
          </cell>
        </row>
        <row r="8">
          <cell r="A8" t="str">
            <v>February 2021</v>
          </cell>
          <cell r="B8">
            <v>147.59000000000003</v>
          </cell>
          <cell r="C8" t="str">
            <v>8:18.2</v>
          </cell>
          <cell r="D8">
            <v>498.17060776475358</v>
          </cell>
        </row>
        <row r="9">
          <cell r="A9" t="str">
            <v>March 2021</v>
          </cell>
          <cell r="B9">
            <v>128.34</v>
          </cell>
          <cell r="C9" t="str">
            <v>8:34.5</v>
          </cell>
          <cell r="D9">
            <v>514.52392083528127</v>
          </cell>
        </row>
        <row r="10">
          <cell r="A10" t="str">
            <v>April 2021</v>
          </cell>
          <cell r="B10">
            <v>116.22000000000001</v>
          </cell>
          <cell r="C10" t="str">
            <v>8:52.0</v>
          </cell>
          <cell r="D10">
            <v>532.04267768026148</v>
          </cell>
        </row>
        <row r="11">
          <cell r="A11" t="str">
            <v>May 2021</v>
          </cell>
          <cell r="B11">
            <v>139.39999999999998</v>
          </cell>
          <cell r="C11" t="str">
            <v>8:42.7</v>
          </cell>
          <cell r="D11">
            <v>522.69727403156389</v>
          </cell>
        </row>
        <row r="12">
          <cell r="A12" t="str">
            <v>June 2021</v>
          </cell>
          <cell r="B12">
            <v>152.98000000000002</v>
          </cell>
          <cell r="C12" t="str">
            <v>9:03.9</v>
          </cell>
          <cell r="D12">
            <v>543.91744233103998</v>
          </cell>
        </row>
        <row r="13">
          <cell r="A13" t="str">
            <v>July 2021</v>
          </cell>
          <cell r="B13">
            <v>108.9</v>
          </cell>
          <cell r="C13" t="str">
            <v>8:43.3</v>
          </cell>
          <cell r="D13">
            <v>523.33333333333326</v>
          </cell>
        </row>
        <row r="14">
          <cell r="A14" t="str">
            <v>August 2021</v>
          </cell>
          <cell r="B14">
            <v>134</v>
          </cell>
          <cell r="C14" t="str">
            <v>8:52.5</v>
          </cell>
          <cell r="D14">
            <v>532.47761194029852</v>
          </cell>
        </row>
        <row r="15">
          <cell r="A15" t="str">
            <v>September 2021</v>
          </cell>
          <cell r="B15">
            <v>106.13</v>
          </cell>
          <cell r="C15" t="str">
            <v>8:29.1</v>
          </cell>
          <cell r="D15">
            <v>509.11146706868936</v>
          </cell>
        </row>
        <row r="16">
          <cell r="A16" t="str">
            <v>October 2021</v>
          </cell>
          <cell r="B16">
            <v>104.55</v>
          </cell>
          <cell r="C16" t="str">
            <v>8:38.0</v>
          </cell>
          <cell r="D16">
            <v>518.03921568627447</v>
          </cell>
        </row>
        <row r="17">
          <cell r="A17" t="str">
            <v>November 2021</v>
          </cell>
          <cell r="B17">
            <v>112.14</v>
          </cell>
          <cell r="C17" t="str">
            <v>8:33.6</v>
          </cell>
          <cell r="D17">
            <v>513.62582486177996</v>
          </cell>
        </row>
        <row r="18">
          <cell r="A18" t="str">
            <v>December 2021</v>
          </cell>
          <cell r="B18">
            <v>105.83999999999999</v>
          </cell>
          <cell r="C18" t="str">
            <v>8:43.0</v>
          </cell>
          <cell r="D18">
            <v>523.02532123960702</v>
          </cell>
        </row>
      </sheetData>
      <sheetData sheetId="4"/>
      <sheetData sheetId="5">
        <row r="2">
          <cell r="F2">
            <v>444</v>
          </cell>
        </row>
        <row r="3">
          <cell r="F3">
            <v>480</v>
          </cell>
        </row>
        <row r="4">
          <cell r="F4">
            <v>464</v>
          </cell>
        </row>
        <row r="5">
          <cell r="F5">
            <v>441</v>
          </cell>
        </row>
        <row r="6">
          <cell r="F6">
            <v>487</v>
          </cell>
        </row>
        <row r="7">
          <cell r="F7">
            <v>492</v>
          </cell>
        </row>
        <row r="8">
          <cell r="F8">
            <v>472</v>
          </cell>
        </row>
        <row r="9">
          <cell r="F9">
            <v>457</v>
          </cell>
        </row>
        <row r="10">
          <cell r="F10">
            <v>473</v>
          </cell>
        </row>
        <row r="11">
          <cell r="F11">
            <v>456</v>
          </cell>
        </row>
        <row r="12">
          <cell r="F12">
            <v>509</v>
          </cell>
        </row>
        <row r="13">
          <cell r="F13">
            <v>521</v>
          </cell>
        </row>
        <row r="14">
          <cell r="F14">
            <v>491</v>
          </cell>
        </row>
        <row r="15">
          <cell r="F15">
            <v>492</v>
          </cell>
        </row>
        <row r="16">
          <cell r="F16">
            <v>469</v>
          </cell>
        </row>
        <row r="17">
          <cell r="F17">
            <v>652</v>
          </cell>
        </row>
        <row r="18">
          <cell r="F18">
            <v>508</v>
          </cell>
        </row>
        <row r="19">
          <cell r="F19">
            <v>483</v>
          </cell>
        </row>
        <row r="20">
          <cell r="F20">
            <v>486</v>
          </cell>
        </row>
        <row r="21">
          <cell r="F21">
            <v>484</v>
          </cell>
        </row>
        <row r="22">
          <cell r="F22">
            <v>525</v>
          </cell>
        </row>
        <row r="23">
          <cell r="F23">
            <v>477</v>
          </cell>
        </row>
        <row r="24">
          <cell r="F24">
            <v>512</v>
          </cell>
        </row>
        <row r="25">
          <cell r="F25">
            <v>489</v>
          </cell>
        </row>
        <row r="26">
          <cell r="F26">
            <v>459</v>
          </cell>
        </row>
        <row r="27">
          <cell r="F27">
            <v>493</v>
          </cell>
        </row>
        <row r="28">
          <cell r="F28">
            <v>525</v>
          </cell>
        </row>
        <row r="29">
          <cell r="F29">
            <v>560</v>
          </cell>
        </row>
        <row r="30">
          <cell r="F30">
            <v>497</v>
          </cell>
        </row>
        <row r="31">
          <cell r="F31">
            <v>616</v>
          </cell>
        </row>
        <row r="32">
          <cell r="F32">
            <v>592</v>
          </cell>
        </row>
        <row r="33">
          <cell r="F33">
            <v>586</v>
          </cell>
        </row>
        <row r="34">
          <cell r="F34">
            <v>559</v>
          </cell>
        </row>
        <row r="35">
          <cell r="F35">
            <v>568</v>
          </cell>
        </row>
        <row r="36">
          <cell r="F36">
            <v>529</v>
          </cell>
        </row>
        <row r="37">
          <cell r="F37">
            <v>521</v>
          </cell>
        </row>
        <row r="38">
          <cell r="F38">
            <v>587</v>
          </cell>
        </row>
        <row r="39">
          <cell r="F39">
            <v>535</v>
          </cell>
        </row>
        <row r="40">
          <cell r="F40">
            <v>542</v>
          </cell>
        </row>
        <row r="41">
          <cell r="F41">
            <v>553</v>
          </cell>
        </row>
        <row r="42">
          <cell r="F42">
            <v>533</v>
          </cell>
        </row>
        <row r="43">
          <cell r="F43">
            <v>567</v>
          </cell>
        </row>
        <row r="44">
          <cell r="F44">
            <v>607</v>
          </cell>
        </row>
        <row r="45">
          <cell r="F45">
            <v>583</v>
          </cell>
        </row>
        <row r="46">
          <cell r="F46">
            <v>543</v>
          </cell>
        </row>
        <row r="47">
          <cell r="F47">
            <v>598</v>
          </cell>
        </row>
        <row r="48">
          <cell r="F48">
            <v>479</v>
          </cell>
        </row>
        <row r="49">
          <cell r="F49">
            <v>451</v>
          </cell>
        </row>
        <row r="50">
          <cell r="F50">
            <v>436</v>
          </cell>
        </row>
        <row r="51">
          <cell r="F51">
            <v>579</v>
          </cell>
        </row>
        <row r="52">
          <cell r="F52">
            <v>452</v>
          </cell>
        </row>
        <row r="53">
          <cell r="F53">
            <v>470</v>
          </cell>
        </row>
        <row r="54">
          <cell r="F54">
            <v>532</v>
          </cell>
        </row>
        <row r="55">
          <cell r="F55">
            <v>434</v>
          </cell>
        </row>
        <row r="56">
          <cell r="F56">
            <v>539</v>
          </cell>
        </row>
        <row r="57">
          <cell r="F57">
            <v>464</v>
          </cell>
        </row>
        <row r="58">
          <cell r="F58">
            <v>594</v>
          </cell>
        </row>
        <row r="59">
          <cell r="F59">
            <v>492</v>
          </cell>
        </row>
        <row r="60">
          <cell r="F60">
            <v>574</v>
          </cell>
        </row>
        <row r="61">
          <cell r="F61">
            <v>497</v>
          </cell>
        </row>
        <row r="62">
          <cell r="F62">
            <v>497</v>
          </cell>
        </row>
        <row r="63">
          <cell r="F63">
            <v>533</v>
          </cell>
        </row>
      </sheetData>
      <sheetData sheetId="6">
        <row r="2">
          <cell r="F2">
            <v>431</v>
          </cell>
        </row>
        <row r="3">
          <cell r="F3">
            <v>411</v>
          </cell>
        </row>
        <row r="4">
          <cell r="F4">
            <v>424</v>
          </cell>
        </row>
        <row r="5">
          <cell r="F5">
            <v>415</v>
          </cell>
        </row>
        <row r="6">
          <cell r="F6">
            <v>423</v>
          </cell>
        </row>
        <row r="7">
          <cell r="F7">
            <v>438</v>
          </cell>
        </row>
        <row r="8">
          <cell r="F8">
            <v>406</v>
          </cell>
        </row>
        <row r="9">
          <cell r="F9">
            <v>422</v>
          </cell>
        </row>
        <row r="10">
          <cell r="F10">
            <v>423</v>
          </cell>
        </row>
        <row r="11">
          <cell r="F11">
            <v>413</v>
          </cell>
        </row>
        <row r="12">
          <cell r="F12">
            <v>423</v>
          </cell>
        </row>
        <row r="13">
          <cell r="F13">
            <v>455</v>
          </cell>
        </row>
        <row r="14">
          <cell r="F14">
            <v>439</v>
          </cell>
        </row>
        <row r="15">
          <cell r="F15">
            <v>424</v>
          </cell>
        </row>
        <row r="16">
          <cell r="F16">
            <v>456</v>
          </cell>
        </row>
        <row r="17">
          <cell r="F17">
            <v>433</v>
          </cell>
        </row>
        <row r="18">
          <cell r="F18">
            <v>409</v>
          </cell>
        </row>
        <row r="19">
          <cell r="F19">
            <v>419</v>
          </cell>
        </row>
        <row r="20">
          <cell r="F20">
            <v>473</v>
          </cell>
        </row>
        <row r="21">
          <cell r="F21">
            <v>467</v>
          </cell>
        </row>
        <row r="22">
          <cell r="F22">
            <v>439</v>
          </cell>
        </row>
        <row r="23">
          <cell r="F23">
            <v>418</v>
          </cell>
        </row>
        <row r="24">
          <cell r="F24">
            <v>434</v>
          </cell>
        </row>
        <row r="25">
          <cell r="F25">
            <v>441</v>
          </cell>
        </row>
        <row r="26">
          <cell r="F26">
            <v>490</v>
          </cell>
        </row>
        <row r="27">
          <cell r="F27">
            <v>449</v>
          </cell>
        </row>
        <row r="28">
          <cell r="F28">
            <v>467</v>
          </cell>
        </row>
        <row r="29">
          <cell r="F29">
            <v>413</v>
          </cell>
        </row>
        <row r="30">
          <cell r="F30">
            <v>583</v>
          </cell>
        </row>
        <row r="31">
          <cell r="F31">
            <v>445</v>
          </cell>
        </row>
        <row r="32">
          <cell r="F32">
            <v>592</v>
          </cell>
        </row>
        <row r="33">
          <cell r="F33">
            <v>407</v>
          </cell>
        </row>
      </sheetData>
      <sheetData sheetId="7">
        <row r="2">
          <cell r="F2">
            <v>424</v>
          </cell>
        </row>
        <row r="3">
          <cell r="F3">
            <v>444</v>
          </cell>
        </row>
        <row r="4">
          <cell r="F4">
            <v>438</v>
          </cell>
        </row>
        <row r="5">
          <cell r="F5">
            <v>437</v>
          </cell>
        </row>
        <row r="6">
          <cell r="F6">
            <v>444</v>
          </cell>
        </row>
        <row r="7">
          <cell r="F7">
            <v>426</v>
          </cell>
        </row>
        <row r="8">
          <cell r="F8">
            <v>437</v>
          </cell>
        </row>
        <row r="9">
          <cell r="F9">
            <v>423</v>
          </cell>
        </row>
        <row r="10">
          <cell r="F10">
            <v>429</v>
          </cell>
        </row>
        <row r="11">
          <cell r="F11">
            <v>451</v>
          </cell>
        </row>
        <row r="12">
          <cell r="F12">
            <v>435</v>
          </cell>
        </row>
        <row r="13">
          <cell r="F13">
            <v>440</v>
          </cell>
        </row>
        <row r="14">
          <cell r="F14">
            <v>439</v>
          </cell>
        </row>
        <row r="15">
          <cell r="F15">
            <v>456</v>
          </cell>
        </row>
        <row r="16">
          <cell r="F16">
            <v>460</v>
          </cell>
        </row>
        <row r="17">
          <cell r="F17">
            <v>452</v>
          </cell>
        </row>
        <row r="18">
          <cell r="F18">
            <v>444</v>
          </cell>
        </row>
        <row r="19">
          <cell r="F19">
            <v>486</v>
          </cell>
        </row>
        <row r="20">
          <cell r="F20">
            <v>456</v>
          </cell>
        </row>
        <row r="21">
          <cell r="F21">
            <v>562</v>
          </cell>
        </row>
        <row r="22">
          <cell r="F22">
            <v>438</v>
          </cell>
        </row>
        <row r="23">
          <cell r="F23">
            <v>451</v>
          </cell>
        </row>
        <row r="24">
          <cell r="F24">
            <v>451</v>
          </cell>
        </row>
        <row r="25">
          <cell r="F25">
            <v>470</v>
          </cell>
        </row>
        <row r="26">
          <cell r="F26">
            <v>496</v>
          </cell>
        </row>
        <row r="27">
          <cell r="F27">
            <v>495</v>
          </cell>
        </row>
        <row r="28">
          <cell r="F28">
            <v>513</v>
          </cell>
        </row>
        <row r="29">
          <cell r="F29">
            <v>536</v>
          </cell>
        </row>
        <row r="30">
          <cell r="F30">
            <v>537</v>
          </cell>
        </row>
        <row r="31">
          <cell r="F31">
            <v>550</v>
          </cell>
        </row>
        <row r="32">
          <cell r="F32">
            <v>496</v>
          </cell>
        </row>
        <row r="33">
          <cell r="F33">
            <v>468</v>
          </cell>
        </row>
        <row r="34">
          <cell r="F34">
            <v>472</v>
          </cell>
        </row>
        <row r="35">
          <cell r="F35">
            <v>533</v>
          </cell>
        </row>
        <row r="36">
          <cell r="F36">
            <v>441</v>
          </cell>
        </row>
        <row r="37">
          <cell r="F37">
            <v>446</v>
          </cell>
        </row>
        <row r="38">
          <cell r="F38">
            <v>434</v>
          </cell>
        </row>
        <row r="39">
          <cell r="F39">
            <v>444</v>
          </cell>
        </row>
        <row r="40">
          <cell r="F40">
            <v>435</v>
          </cell>
        </row>
        <row r="41">
          <cell r="F41">
            <v>472</v>
          </cell>
        </row>
        <row r="42">
          <cell r="F42">
            <v>434</v>
          </cell>
        </row>
        <row r="43">
          <cell r="F43">
            <v>609</v>
          </cell>
        </row>
        <row r="44">
          <cell r="F44">
            <v>468</v>
          </cell>
        </row>
        <row r="45">
          <cell r="F45">
            <v>446</v>
          </cell>
        </row>
        <row r="46">
          <cell r="F46">
            <v>441</v>
          </cell>
        </row>
        <row r="47">
          <cell r="F47">
            <v>448</v>
          </cell>
        </row>
        <row r="48">
          <cell r="F48">
            <v>447</v>
          </cell>
        </row>
        <row r="49">
          <cell r="F49">
            <v>416</v>
          </cell>
        </row>
        <row r="50">
          <cell r="F50">
            <v>449</v>
          </cell>
        </row>
        <row r="51">
          <cell r="F51">
            <v>437</v>
          </cell>
        </row>
        <row r="52">
          <cell r="F52">
            <v>613</v>
          </cell>
        </row>
        <row r="53">
          <cell r="F53">
            <v>433</v>
          </cell>
        </row>
        <row r="54">
          <cell r="F54">
            <v>466</v>
          </cell>
        </row>
        <row r="55">
          <cell r="F55">
            <v>435</v>
          </cell>
        </row>
        <row r="56">
          <cell r="F56">
            <v>438</v>
          </cell>
        </row>
        <row r="57">
          <cell r="F57">
            <v>555</v>
          </cell>
        </row>
        <row r="58">
          <cell r="F58">
            <v>430</v>
          </cell>
        </row>
        <row r="59">
          <cell r="F59">
            <v>454</v>
          </cell>
        </row>
        <row r="60">
          <cell r="F60">
            <v>501</v>
          </cell>
        </row>
        <row r="61">
          <cell r="F61">
            <v>409</v>
          </cell>
        </row>
        <row r="62">
          <cell r="F62">
            <v>440</v>
          </cell>
        </row>
        <row r="63">
          <cell r="F63">
            <v>475</v>
          </cell>
        </row>
        <row r="64">
          <cell r="F64">
            <v>463</v>
          </cell>
        </row>
        <row r="65">
          <cell r="F65">
            <v>450</v>
          </cell>
        </row>
        <row r="66">
          <cell r="F66">
            <v>448</v>
          </cell>
        </row>
        <row r="67">
          <cell r="F67">
            <v>440</v>
          </cell>
        </row>
        <row r="68">
          <cell r="F68">
            <v>434</v>
          </cell>
        </row>
        <row r="69">
          <cell r="F69">
            <v>472</v>
          </cell>
        </row>
        <row r="70">
          <cell r="F70">
            <v>470</v>
          </cell>
        </row>
        <row r="71">
          <cell r="F71">
            <v>456</v>
          </cell>
        </row>
      </sheetData>
      <sheetData sheetId="8">
        <row r="2">
          <cell r="E2">
            <v>440</v>
          </cell>
        </row>
        <row r="3">
          <cell r="E3">
            <v>421</v>
          </cell>
        </row>
        <row r="4">
          <cell r="E4">
            <v>408</v>
          </cell>
        </row>
        <row r="5">
          <cell r="E5">
            <v>439</v>
          </cell>
        </row>
        <row r="6">
          <cell r="E6">
            <v>433</v>
          </cell>
        </row>
        <row r="7">
          <cell r="E7">
            <v>413</v>
          </cell>
        </row>
        <row r="8">
          <cell r="E8">
            <v>413</v>
          </cell>
        </row>
        <row r="9">
          <cell r="E9">
            <v>403</v>
          </cell>
        </row>
        <row r="10">
          <cell r="E10">
            <v>423</v>
          </cell>
        </row>
        <row r="11">
          <cell r="E11">
            <v>459</v>
          </cell>
        </row>
        <row r="12">
          <cell r="E12">
            <v>435</v>
          </cell>
        </row>
        <row r="13">
          <cell r="E13">
            <v>413</v>
          </cell>
        </row>
        <row r="14">
          <cell r="E14">
            <v>461</v>
          </cell>
        </row>
        <row r="15">
          <cell r="E15">
            <v>449</v>
          </cell>
        </row>
        <row r="16">
          <cell r="E16">
            <v>438</v>
          </cell>
        </row>
        <row r="17">
          <cell r="E17">
            <v>458</v>
          </cell>
        </row>
        <row r="18">
          <cell r="E18">
            <v>445</v>
          </cell>
        </row>
        <row r="19">
          <cell r="E19">
            <v>480</v>
          </cell>
        </row>
        <row r="20">
          <cell r="E20">
            <v>470</v>
          </cell>
        </row>
        <row r="21">
          <cell r="E21">
            <v>490</v>
          </cell>
        </row>
        <row r="22">
          <cell r="E22">
            <v>478</v>
          </cell>
        </row>
        <row r="23">
          <cell r="E23">
            <v>470</v>
          </cell>
        </row>
        <row r="24">
          <cell r="E24">
            <v>436</v>
          </cell>
        </row>
        <row r="25">
          <cell r="E25">
            <v>475</v>
          </cell>
        </row>
        <row r="26">
          <cell r="E26">
            <v>525</v>
          </cell>
        </row>
        <row r="27">
          <cell r="E27">
            <v>468</v>
          </cell>
        </row>
        <row r="28">
          <cell r="E28">
            <v>475</v>
          </cell>
        </row>
        <row r="29">
          <cell r="E29">
            <v>491</v>
          </cell>
        </row>
        <row r="30">
          <cell r="E30">
            <v>550</v>
          </cell>
        </row>
        <row r="31">
          <cell r="E31">
            <v>491</v>
          </cell>
        </row>
        <row r="32">
          <cell r="E32">
            <v>437</v>
          </cell>
        </row>
        <row r="33">
          <cell r="E33">
            <v>551</v>
          </cell>
        </row>
        <row r="34">
          <cell r="E34">
            <v>477</v>
          </cell>
        </row>
        <row r="35">
          <cell r="E35">
            <v>459</v>
          </cell>
        </row>
        <row r="36">
          <cell r="E36">
            <v>528</v>
          </cell>
        </row>
        <row r="37">
          <cell r="E37">
            <v>458</v>
          </cell>
        </row>
        <row r="38">
          <cell r="E38">
            <v>574</v>
          </cell>
        </row>
        <row r="39">
          <cell r="E39">
            <v>579</v>
          </cell>
        </row>
        <row r="40">
          <cell r="E40">
            <v>427</v>
          </cell>
        </row>
        <row r="41">
          <cell r="E41">
            <v>489</v>
          </cell>
        </row>
        <row r="42">
          <cell r="E42">
            <v>557</v>
          </cell>
        </row>
        <row r="43">
          <cell r="E43">
            <v>554</v>
          </cell>
        </row>
        <row r="44">
          <cell r="E44">
            <v>591</v>
          </cell>
        </row>
        <row r="45">
          <cell r="E45">
            <v>516</v>
          </cell>
        </row>
        <row r="46">
          <cell r="E46">
            <v>449</v>
          </cell>
        </row>
      </sheetData>
      <sheetData sheetId="9">
        <row r="2">
          <cell r="E2">
            <v>495</v>
          </cell>
        </row>
        <row r="3">
          <cell r="E3">
            <v>536</v>
          </cell>
        </row>
        <row r="4">
          <cell r="E4">
            <v>535</v>
          </cell>
        </row>
        <row r="5">
          <cell r="E5">
            <v>432</v>
          </cell>
        </row>
        <row r="6">
          <cell r="E6">
            <v>540</v>
          </cell>
        </row>
        <row r="7">
          <cell r="E7">
            <v>557</v>
          </cell>
        </row>
        <row r="8">
          <cell r="E8">
            <v>546</v>
          </cell>
        </row>
        <row r="9">
          <cell r="E9">
            <v>530</v>
          </cell>
        </row>
        <row r="10">
          <cell r="E10">
            <v>501</v>
          </cell>
        </row>
        <row r="11">
          <cell r="E11">
            <v>470</v>
          </cell>
        </row>
        <row r="12">
          <cell r="E12">
            <v>463</v>
          </cell>
        </row>
        <row r="13">
          <cell r="E13">
            <v>472</v>
          </cell>
        </row>
        <row r="14">
          <cell r="E14">
            <v>536</v>
          </cell>
        </row>
        <row r="15">
          <cell r="E15">
            <v>514</v>
          </cell>
        </row>
        <row r="16">
          <cell r="E16">
            <v>478</v>
          </cell>
        </row>
        <row r="17">
          <cell r="E17">
            <v>457</v>
          </cell>
        </row>
        <row r="18">
          <cell r="E18">
            <v>534</v>
          </cell>
        </row>
        <row r="19">
          <cell r="E19">
            <v>492</v>
          </cell>
        </row>
        <row r="20">
          <cell r="E20">
            <v>501</v>
          </cell>
        </row>
        <row r="21">
          <cell r="E21">
            <v>484</v>
          </cell>
        </row>
        <row r="22">
          <cell r="E22">
            <v>499</v>
          </cell>
        </row>
        <row r="23">
          <cell r="E23">
            <v>510</v>
          </cell>
        </row>
        <row r="24">
          <cell r="E24">
            <v>495</v>
          </cell>
        </row>
        <row r="25">
          <cell r="E25">
            <v>494</v>
          </cell>
        </row>
        <row r="26">
          <cell r="E26">
            <v>492</v>
          </cell>
        </row>
        <row r="27">
          <cell r="E27">
            <v>528</v>
          </cell>
        </row>
        <row r="28">
          <cell r="E28">
            <v>524</v>
          </cell>
        </row>
        <row r="29">
          <cell r="E29">
            <v>476</v>
          </cell>
        </row>
        <row r="30">
          <cell r="E30">
            <v>521</v>
          </cell>
        </row>
        <row r="31">
          <cell r="E31">
            <v>490</v>
          </cell>
        </row>
        <row r="32">
          <cell r="E32">
            <v>503</v>
          </cell>
        </row>
        <row r="33">
          <cell r="E33">
            <v>467</v>
          </cell>
        </row>
        <row r="34">
          <cell r="E34">
            <v>532</v>
          </cell>
        </row>
        <row r="35">
          <cell r="E35">
            <v>487</v>
          </cell>
        </row>
        <row r="36">
          <cell r="E36">
            <v>469</v>
          </cell>
        </row>
        <row r="37">
          <cell r="E37">
            <v>489</v>
          </cell>
        </row>
        <row r="38">
          <cell r="E38">
            <v>451</v>
          </cell>
        </row>
        <row r="39">
          <cell r="E39">
            <v>455</v>
          </cell>
        </row>
        <row r="40">
          <cell r="E40">
            <v>496</v>
          </cell>
        </row>
        <row r="41">
          <cell r="E41">
            <v>435</v>
          </cell>
        </row>
        <row r="42">
          <cell r="E42">
            <v>524</v>
          </cell>
        </row>
        <row r="43">
          <cell r="E43">
            <v>533</v>
          </cell>
        </row>
      </sheetData>
      <sheetData sheetId="10"/>
      <sheetData sheetId="11">
        <row r="2">
          <cell r="F2">
            <v>543</v>
          </cell>
        </row>
        <row r="3">
          <cell r="F3">
            <v>527</v>
          </cell>
        </row>
        <row r="4">
          <cell r="F4">
            <v>477</v>
          </cell>
        </row>
        <row r="5">
          <cell r="F5">
            <v>522</v>
          </cell>
        </row>
        <row r="6">
          <cell r="F6">
            <v>482</v>
          </cell>
        </row>
        <row r="7">
          <cell r="F7">
            <v>529</v>
          </cell>
        </row>
        <row r="8">
          <cell r="F8">
            <v>466</v>
          </cell>
        </row>
        <row r="9">
          <cell r="F9">
            <v>493</v>
          </cell>
        </row>
        <row r="10">
          <cell r="F10">
            <v>457</v>
          </cell>
        </row>
        <row r="11">
          <cell r="F11">
            <v>574</v>
          </cell>
        </row>
        <row r="12">
          <cell r="F12">
            <v>511</v>
          </cell>
        </row>
      </sheetData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D21FD-59AA-474C-8682-26D3F779BFEC}" name="AllRuns" displayName="AllRuns" ref="A1:J519" totalsRowShown="0">
  <autoFilter ref="A1:J519" xr:uid="{9AAD21FD-59AA-474C-8682-26D3F779BFEC}"/>
  <tableColumns count="10">
    <tableColumn id="1" xr3:uid="{F787F65C-A0EB-4BD6-A03F-064C2AF5D009}" name="Date" dataDxfId="2"/>
    <tableColumn id="3" xr3:uid="{450D02E7-E8B2-41D1-A6C0-D68E566BCC1D}" name="Run Distance" dataDxfId="1"/>
    <tableColumn id="4" xr3:uid="{E82037A9-4774-408E-B6B8-9923C0BE4F67}" name="Time in Seconds"/>
    <tableColumn id="5" xr3:uid="{58C5D9D0-B6E9-4580-B97C-134D9C83ABE6}" name="Pace (in seconds)"/>
    <tableColumn id="6" xr3:uid="{55C3D108-2C7B-486A-959F-38AF2DDA28CA}" name="Formatted Pace" dataDxfId="3">
      <calculatedColumnFormula>CONCATENATE(ROUNDDOWN(D2/60,0),":",IF(ROUNDDOWN(D2-ROUNDDOWN(D2/60,0)*60,0)&gt;=10,ROUNDDOWN(D2-ROUNDDOWN(D2/60,0)*60,3),CONCATENATE("0",ROUNDDOWN(D2-ROUNDDOWN(D2/60,0)*60,3))))</calculatedColumnFormula>
    </tableColumn>
    <tableColumn id="10" xr3:uid="{4BC021E3-2D4C-48F2-AE56-F2F12CC0917C}" name="Elevation (in feet)"/>
    <tableColumn id="11" xr3:uid="{DA4B74B5-ED76-4E44-827A-53D9379983E5}" name="Route"/>
    <tableColumn id="12" xr3:uid="{DECCE669-634F-4ABF-AC74-5B8ADA1F0E04}" name="Link:" dataCellStyle="Hyperlink"/>
    <tableColumn id="13" xr3:uid="{9C4B0B00-FB91-4A2C-BE26-8814DA52D469}" name="Streak #:">
      <calculatedColumnFormula>COUNTIF($B$2:B2, "&lt;&gt;")</calculatedColumnFormula>
    </tableColumn>
    <tableColumn id="15" xr3:uid="{5B2D2C09-7FA9-415A-B03B-180FBCBDFFBF}" name="Elevation (in ft) Per Mile" dataDxfId="4">
      <calculatedColumnFormula>F2/B2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CDA75-8759-4C6D-B1BB-1A705FD8F293}" name="PersonalRecords" displayName="PersonalRecords" ref="A1:C13" totalsRowShown="0">
  <autoFilter ref="A1:C13" xr:uid="{CE2CDA75-8759-4C6D-B1BB-1A705FD8F293}"/>
  <tableColumns count="3">
    <tableColumn id="1" xr3:uid="{14AE0AEB-BEA8-4678-B906-9CB237FEB8FA}" name="Distance"/>
    <tableColumn id="2" xr3:uid="{D816378B-CD34-4F56-A476-DE9DEC88C134}" name="Pace (in seconds)"/>
    <tableColumn id="3" xr3:uid="{6FE41DCB-6C2A-425E-9933-66AFEBDE32ED}" name="Pace" dataDxfId="0">
      <calculatedColumnFormula>CONCATENATE(ROUNDDOWN(B2/60,0),":",IF(ROUNDDOWN(B2-ROUNDDOWN(B2/60,0)*60,0)&gt;=10,ROUNDDOWN(B2-ROUNDDOWN(B2/60,0)*60,0),CONCATENATE("0",ROUNDDOWN(B2-ROUNDDOWN(B2/60,0)*60,0))))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rava.com/activities/4399889653" TargetMode="External"/><Relationship Id="rId21" Type="http://schemas.openxmlformats.org/officeDocument/2006/relationships/hyperlink" Target="https://www.strava.com/activities/3946989554" TargetMode="External"/><Relationship Id="rId42" Type="http://schemas.openxmlformats.org/officeDocument/2006/relationships/hyperlink" Target="https://www.strava.com/activities/4045677900" TargetMode="External"/><Relationship Id="rId63" Type="http://schemas.openxmlformats.org/officeDocument/2006/relationships/hyperlink" Target="https://www.strava.com/activities/4143119218" TargetMode="External"/><Relationship Id="rId84" Type="http://schemas.openxmlformats.org/officeDocument/2006/relationships/hyperlink" Target="https://www.strava.com/activities/4234531100" TargetMode="External"/><Relationship Id="rId138" Type="http://schemas.openxmlformats.org/officeDocument/2006/relationships/hyperlink" Target="https://www.strava.com/activities/4531916872" TargetMode="External"/><Relationship Id="rId159" Type="http://schemas.openxmlformats.org/officeDocument/2006/relationships/hyperlink" Target="https://www.strava.com/activities/6004478866" TargetMode="External"/><Relationship Id="rId170" Type="http://schemas.openxmlformats.org/officeDocument/2006/relationships/hyperlink" Target="https://www.strava.com/activities/6204322651" TargetMode="External"/><Relationship Id="rId191" Type="http://schemas.openxmlformats.org/officeDocument/2006/relationships/hyperlink" Target="https://www.strava.com/activities/6311372691" TargetMode="External"/><Relationship Id="rId205" Type="http://schemas.openxmlformats.org/officeDocument/2006/relationships/hyperlink" Target="https://www.strava.com/activities/6339985516" TargetMode="External"/><Relationship Id="rId226" Type="http://schemas.openxmlformats.org/officeDocument/2006/relationships/hyperlink" Target="https://www.strava.com/activities/6435755544" TargetMode="External"/><Relationship Id="rId107" Type="http://schemas.openxmlformats.org/officeDocument/2006/relationships/hyperlink" Target="https://www.strava.com/activities/4358244475" TargetMode="External"/><Relationship Id="rId11" Type="http://schemas.openxmlformats.org/officeDocument/2006/relationships/hyperlink" Target="https://www.strava.com/activities/3899886795" TargetMode="External"/><Relationship Id="rId32" Type="http://schemas.openxmlformats.org/officeDocument/2006/relationships/hyperlink" Target="https://www.strava.com/activities/3998456589" TargetMode="External"/><Relationship Id="rId53" Type="http://schemas.openxmlformats.org/officeDocument/2006/relationships/hyperlink" Target="https://www.strava.com/activities/4099186064" TargetMode="External"/><Relationship Id="rId74" Type="http://schemas.openxmlformats.org/officeDocument/2006/relationships/hyperlink" Target="https://www.strava.com/activities/4191694829" TargetMode="External"/><Relationship Id="rId128" Type="http://schemas.openxmlformats.org/officeDocument/2006/relationships/hyperlink" Target="https://www.strava.com/activities/4477439914" TargetMode="External"/><Relationship Id="rId149" Type="http://schemas.openxmlformats.org/officeDocument/2006/relationships/hyperlink" Target="https://www.strava.com/activities/4644130656" TargetMode="External"/><Relationship Id="rId5" Type="http://schemas.openxmlformats.org/officeDocument/2006/relationships/hyperlink" Target="https://www.strava.com/activities/3870690820" TargetMode="External"/><Relationship Id="rId95" Type="http://schemas.openxmlformats.org/officeDocument/2006/relationships/hyperlink" Target="https://www.strava.com/activities/4292167702" TargetMode="External"/><Relationship Id="rId160" Type="http://schemas.openxmlformats.org/officeDocument/2006/relationships/hyperlink" Target="https://www.strava.com/activities/6137965735" TargetMode="External"/><Relationship Id="rId181" Type="http://schemas.openxmlformats.org/officeDocument/2006/relationships/hyperlink" Target="https://www.strava.com/activities/6240952776" TargetMode="External"/><Relationship Id="rId216" Type="http://schemas.openxmlformats.org/officeDocument/2006/relationships/hyperlink" Target="https://www.strava.com/activities/6408794283" TargetMode="External"/><Relationship Id="rId22" Type="http://schemas.openxmlformats.org/officeDocument/2006/relationships/hyperlink" Target="https://www.strava.com/activities/3949638142'" TargetMode="External"/><Relationship Id="rId27" Type="http://schemas.openxmlformats.org/officeDocument/2006/relationships/hyperlink" Target="https://www.strava.com/activities/3975311616" TargetMode="External"/><Relationship Id="rId43" Type="http://schemas.openxmlformats.org/officeDocument/2006/relationships/hyperlink" Target="https://www.strava.com/activities/4048444391" TargetMode="External"/><Relationship Id="rId48" Type="http://schemas.openxmlformats.org/officeDocument/2006/relationships/hyperlink" Target="https://www.strava.com/activities/4075309885" TargetMode="External"/><Relationship Id="rId64" Type="http://schemas.openxmlformats.org/officeDocument/2006/relationships/hyperlink" Target="https://www.strava.com/activities/4145249696" TargetMode="External"/><Relationship Id="rId69" Type="http://schemas.openxmlformats.org/officeDocument/2006/relationships/hyperlink" Target="https://www.strava.com/activities/4169743559" TargetMode="External"/><Relationship Id="rId113" Type="http://schemas.openxmlformats.org/officeDocument/2006/relationships/hyperlink" Target="https://www.strava.com/activities/4386645081" TargetMode="External"/><Relationship Id="rId118" Type="http://schemas.openxmlformats.org/officeDocument/2006/relationships/hyperlink" Target="https://www.strava.com/activities/4418440681" TargetMode="External"/><Relationship Id="rId134" Type="http://schemas.openxmlformats.org/officeDocument/2006/relationships/hyperlink" Target="https://www.strava.com/activities/4513371888" TargetMode="External"/><Relationship Id="rId139" Type="http://schemas.openxmlformats.org/officeDocument/2006/relationships/hyperlink" Target="https://www.strava.com/activities/4536827225" TargetMode="External"/><Relationship Id="rId80" Type="http://schemas.openxmlformats.org/officeDocument/2006/relationships/hyperlink" Target="https://www.strava.com/activities/4217749250" TargetMode="External"/><Relationship Id="rId85" Type="http://schemas.openxmlformats.org/officeDocument/2006/relationships/hyperlink" Target="https://www.strava.com/activities/4236914263" TargetMode="External"/><Relationship Id="rId150" Type="http://schemas.openxmlformats.org/officeDocument/2006/relationships/hyperlink" Target="https://www.strava.com/activities/4700838552" TargetMode="External"/><Relationship Id="rId155" Type="http://schemas.openxmlformats.org/officeDocument/2006/relationships/hyperlink" Target="https://www.strava.com/activities/5027449440" TargetMode="External"/><Relationship Id="rId171" Type="http://schemas.openxmlformats.org/officeDocument/2006/relationships/hyperlink" Target="https://www.strava.com/activities/6199145661" TargetMode="External"/><Relationship Id="rId176" Type="http://schemas.openxmlformats.org/officeDocument/2006/relationships/hyperlink" Target="https://www.strava.com/activities/6234748466" TargetMode="External"/><Relationship Id="rId192" Type="http://schemas.openxmlformats.org/officeDocument/2006/relationships/hyperlink" Target="https://www.strava.com/activities/6306821673" TargetMode="External"/><Relationship Id="rId197" Type="http://schemas.openxmlformats.org/officeDocument/2006/relationships/hyperlink" Target="https://www.strava.com/activities/6364259395" TargetMode="External"/><Relationship Id="rId206" Type="http://schemas.openxmlformats.org/officeDocument/2006/relationships/hyperlink" Target="https://www.strava.com/activities/6340558452" TargetMode="External"/><Relationship Id="rId227" Type="http://schemas.openxmlformats.org/officeDocument/2006/relationships/hyperlink" Target="https://www.strava.com/activities/6447941504" TargetMode="External"/><Relationship Id="rId201" Type="http://schemas.openxmlformats.org/officeDocument/2006/relationships/hyperlink" Target="https://www.strava.com/activities/6347022566" TargetMode="External"/><Relationship Id="rId222" Type="http://schemas.openxmlformats.org/officeDocument/2006/relationships/hyperlink" Target="https://www.strava.com/activities/6427316265" TargetMode="External"/><Relationship Id="rId12" Type="http://schemas.openxmlformats.org/officeDocument/2006/relationships/hyperlink" Target="https://www.strava.com/activities/3904692920" TargetMode="External"/><Relationship Id="rId17" Type="http://schemas.openxmlformats.org/officeDocument/2006/relationships/hyperlink" Target="https://www.strava.com/activities/3928452708" TargetMode="External"/><Relationship Id="rId33" Type="http://schemas.openxmlformats.org/officeDocument/2006/relationships/hyperlink" Target="https://www.strava.com/activities/4003305927" TargetMode="External"/><Relationship Id="rId38" Type="http://schemas.openxmlformats.org/officeDocument/2006/relationships/hyperlink" Target="https://www.strava.com/activities/4027692423" TargetMode="External"/><Relationship Id="rId59" Type="http://schemas.openxmlformats.org/officeDocument/2006/relationships/hyperlink" Target="https://www.strava.com/activities/4119311068" TargetMode="External"/><Relationship Id="rId103" Type="http://schemas.openxmlformats.org/officeDocument/2006/relationships/hyperlink" Target="https://www.strava.com/activities/4320472267" TargetMode="External"/><Relationship Id="rId108" Type="http://schemas.openxmlformats.org/officeDocument/2006/relationships/hyperlink" Target="https://www.strava.com/activities/4362528662" TargetMode="External"/><Relationship Id="rId124" Type="http://schemas.openxmlformats.org/officeDocument/2006/relationships/hyperlink" Target="https://www.strava.com/activities/4473261313" TargetMode="External"/><Relationship Id="rId129" Type="http://schemas.openxmlformats.org/officeDocument/2006/relationships/hyperlink" Target="https://www.strava.com/activities/4481477245" TargetMode="External"/><Relationship Id="rId54" Type="http://schemas.openxmlformats.org/officeDocument/2006/relationships/hyperlink" Target="https://www.strava.com/activities/4103867920" TargetMode="External"/><Relationship Id="rId70" Type="http://schemas.openxmlformats.org/officeDocument/2006/relationships/hyperlink" Target="https://www.strava.com/activities/4172425653" TargetMode="External"/><Relationship Id="rId75" Type="http://schemas.openxmlformats.org/officeDocument/2006/relationships/hyperlink" Target="https://www.strava.com/activities/4196162537" TargetMode="External"/><Relationship Id="rId91" Type="http://schemas.openxmlformats.org/officeDocument/2006/relationships/hyperlink" Target="https://www.strava.com/activities/4268598858" TargetMode="External"/><Relationship Id="rId96" Type="http://schemas.openxmlformats.org/officeDocument/2006/relationships/hyperlink" Target="https://www.strava.com/activities/4299125751" TargetMode="External"/><Relationship Id="rId140" Type="http://schemas.openxmlformats.org/officeDocument/2006/relationships/hyperlink" Target="https://www.strava.com/activities/4541897336" TargetMode="External"/><Relationship Id="rId145" Type="http://schemas.openxmlformats.org/officeDocument/2006/relationships/hyperlink" Target="https://www.strava.com/activities/4573994170" TargetMode="External"/><Relationship Id="rId161" Type="http://schemas.openxmlformats.org/officeDocument/2006/relationships/hyperlink" Target="https://www.strava.com/activities/6147234699" TargetMode="External"/><Relationship Id="rId166" Type="http://schemas.openxmlformats.org/officeDocument/2006/relationships/hyperlink" Target="https://www.strava.com/activities/6166837578" TargetMode="External"/><Relationship Id="rId182" Type="http://schemas.openxmlformats.org/officeDocument/2006/relationships/hyperlink" Target="https://www.strava.com/activities/6268237278" TargetMode="External"/><Relationship Id="rId187" Type="http://schemas.openxmlformats.org/officeDocument/2006/relationships/hyperlink" Target="https://www.strava.com/activities/6286008268" TargetMode="External"/><Relationship Id="rId217" Type="http://schemas.openxmlformats.org/officeDocument/2006/relationships/hyperlink" Target="https://www.strava.com/activities/6412620550" TargetMode="External"/><Relationship Id="rId1" Type="http://schemas.openxmlformats.org/officeDocument/2006/relationships/hyperlink" Target="https://www.strava.com/activities/3852990056" TargetMode="External"/><Relationship Id="rId6" Type="http://schemas.openxmlformats.org/officeDocument/2006/relationships/hyperlink" Target="https://www.strava.com/activities/3875612244" TargetMode="External"/><Relationship Id="rId212" Type="http://schemas.openxmlformats.org/officeDocument/2006/relationships/hyperlink" Target="https://www.strava.com/activities/6392920215" TargetMode="External"/><Relationship Id="rId23" Type="http://schemas.openxmlformats.org/officeDocument/2006/relationships/hyperlink" Target="https://www.strava.com/activities/3954365523" TargetMode="External"/><Relationship Id="rId28" Type="http://schemas.openxmlformats.org/officeDocument/2006/relationships/hyperlink" Target="https://www.strava.com/activities/3978727030" TargetMode="External"/><Relationship Id="rId49" Type="http://schemas.openxmlformats.org/officeDocument/2006/relationships/hyperlink" Target="https://www.strava.com/activities/4079672874" TargetMode="External"/><Relationship Id="rId114" Type="http://schemas.openxmlformats.org/officeDocument/2006/relationships/hyperlink" Target="https://www.strava.com/activities/4391311781" TargetMode="External"/><Relationship Id="rId119" Type="http://schemas.openxmlformats.org/officeDocument/2006/relationships/hyperlink" Target="https://www.strava.com/activities/4422851086" TargetMode="External"/><Relationship Id="rId44" Type="http://schemas.openxmlformats.org/officeDocument/2006/relationships/hyperlink" Target="https://www.strava.com/activities/4053666246" TargetMode="External"/><Relationship Id="rId60" Type="http://schemas.openxmlformats.org/officeDocument/2006/relationships/hyperlink" Target="https://www.strava.com/activities/4130374255" TargetMode="External"/><Relationship Id="rId65" Type="http://schemas.openxmlformats.org/officeDocument/2006/relationships/hyperlink" Target="https://www.strava.com/activities/4150411346" TargetMode="External"/><Relationship Id="rId81" Type="http://schemas.openxmlformats.org/officeDocument/2006/relationships/hyperlink" Target="https://www.strava.com/activities/4222214550" TargetMode="External"/><Relationship Id="rId86" Type="http://schemas.openxmlformats.org/officeDocument/2006/relationships/hyperlink" Target="https://www.strava.com/activities/4244185963" TargetMode="External"/><Relationship Id="rId130" Type="http://schemas.openxmlformats.org/officeDocument/2006/relationships/hyperlink" Target="https://www.strava.com/activities/4485294696" TargetMode="External"/><Relationship Id="rId135" Type="http://schemas.openxmlformats.org/officeDocument/2006/relationships/hyperlink" Target="https://www.strava.com/activities/4516351029" TargetMode="External"/><Relationship Id="rId151" Type="http://schemas.openxmlformats.org/officeDocument/2006/relationships/hyperlink" Target="https://www.strava.com/activities/4719485798" TargetMode="External"/><Relationship Id="rId156" Type="http://schemas.openxmlformats.org/officeDocument/2006/relationships/hyperlink" Target="https://www.strava.com/activities/5857426859" TargetMode="External"/><Relationship Id="rId177" Type="http://schemas.openxmlformats.org/officeDocument/2006/relationships/hyperlink" Target="https://www.strava.com/activities/6258079726" TargetMode="External"/><Relationship Id="rId198" Type="http://schemas.openxmlformats.org/officeDocument/2006/relationships/hyperlink" Target="https://www.strava.com/activities/6360882304" TargetMode="External"/><Relationship Id="rId172" Type="http://schemas.openxmlformats.org/officeDocument/2006/relationships/hyperlink" Target="https://www.strava.com/activities/6208486973" TargetMode="External"/><Relationship Id="rId193" Type="http://schemas.openxmlformats.org/officeDocument/2006/relationships/hyperlink" Target="https://www.strava.com/activities/6297850612" TargetMode="External"/><Relationship Id="rId202" Type="http://schemas.openxmlformats.org/officeDocument/2006/relationships/hyperlink" Target="https://www.strava.com/activities/6332091963" TargetMode="External"/><Relationship Id="rId207" Type="http://schemas.openxmlformats.org/officeDocument/2006/relationships/hyperlink" Target="https://www.strava.com/activities/6370320331" TargetMode="External"/><Relationship Id="rId223" Type="http://schemas.openxmlformats.org/officeDocument/2006/relationships/hyperlink" Target="https://www.strava.com/activities/6438854950" TargetMode="External"/><Relationship Id="rId228" Type="http://schemas.openxmlformats.org/officeDocument/2006/relationships/hyperlink" Target="https://www.strava.com/activities/6452353181" TargetMode="External"/><Relationship Id="rId13" Type="http://schemas.openxmlformats.org/officeDocument/2006/relationships/hyperlink" Target="https://www.strava.com/activities/3909356895" TargetMode="External"/><Relationship Id="rId18" Type="http://schemas.openxmlformats.org/officeDocument/2006/relationships/hyperlink" Target="https://www.strava.com/activities/3933455350" TargetMode="External"/><Relationship Id="rId39" Type="http://schemas.openxmlformats.org/officeDocument/2006/relationships/hyperlink" Target="https://www.strava.com/activities/4032352688" TargetMode="External"/><Relationship Id="rId109" Type="http://schemas.openxmlformats.org/officeDocument/2006/relationships/hyperlink" Target="https://www.strava.com/activities/4365743362" TargetMode="External"/><Relationship Id="rId34" Type="http://schemas.openxmlformats.org/officeDocument/2006/relationships/hyperlink" Target="https://www.strava.com/activities/4007865423" TargetMode="External"/><Relationship Id="rId50" Type="http://schemas.openxmlformats.org/officeDocument/2006/relationships/hyperlink" Target="https://www.strava.com/activities/4082066767" TargetMode="External"/><Relationship Id="rId55" Type="http://schemas.openxmlformats.org/officeDocument/2006/relationships/hyperlink" Target="https://www.strava.com/activities/4108172487" TargetMode="External"/><Relationship Id="rId76" Type="http://schemas.openxmlformats.org/officeDocument/2006/relationships/hyperlink" Target="https://www.strava.com/activities/4200269274" TargetMode="External"/><Relationship Id="rId97" Type="http://schemas.openxmlformats.org/officeDocument/2006/relationships/hyperlink" Target="https://www.strava.com/activities/4308402052" TargetMode="External"/><Relationship Id="rId104" Type="http://schemas.openxmlformats.org/officeDocument/2006/relationships/hyperlink" Target="https://www.strava.com/activities/4342942710" TargetMode="External"/><Relationship Id="rId120" Type="http://schemas.openxmlformats.org/officeDocument/2006/relationships/hyperlink" Target="https://www.strava.com/activities/4426758310" TargetMode="External"/><Relationship Id="rId125" Type="http://schemas.openxmlformats.org/officeDocument/2006/relationships/hyperlink" Target="https://www.strava.com/activities/4459578851" TargetMode="External"/><Relationship Id="rId141" Type="http://schemas.openxmlformats.org/officeDocument/2006/relationships/hyperlink" Target="https://www.strava.com/activities/4546241353" TargetMode="External"/><Relationship Id="rId146" Type="http://schemas.openxmlformats.org/officeDocument/2006/relationships/hyperlink" Target="https://www.strava.com/activities/4617121700" TargetMode="External"/><Relationship Id="rId167" Type="http://schemas.openxmlformats.org/officeDocument/2006/relationships/hyperlink" Target="https://www.strava.com/activities/6173687208" TargetMode="External"/><Relationship Id="rId188" Type="http://schemas.openxmlformats.org/officeDocument/2006/relationships/hyperlink" Target="https://www.strava.com/activities/6294619843" TargetMode="External"/><Relationship Id="rId7" Type="http://schemas.openxmlformats.org/officeDocument/2006/relationships/hyperlink" Target="https://www.strava.com/activities/3880088257" TargetMode="External"/><Relationship Id="rId71" Type="http://schemas.openxmlformats.org/officeDocument/2006/relationships/hyperlink" Target="https://www.strava.com/activities/4187910645" TargetMode="External"/><Relationship Id="rId92" Type="http://schemas.openxmlformats.org/officeDocument/2006/relationships/hyperlink" Target="https://www.strava.com/activities/4273809044" TargetMode="External"/><Relationship Id="rId162" Type="http://schemas.openxmlformats.org/officeDocument/2006/relationships/hyperlink" Target="https://www.strava.com/activities/6147434470" TargetMode="External"/><Relationship Id="rId183" Type="http://schemas.openxmlformats.org/officeDocument/2006/relationships/hyperlink" Target="https://www.strava.com/activities/6275734071" TargetMode="External"/><Relationship Id="rId213" Type="http://schemas.openxmlformats.org/officeDocument/2006/relationships/hyperlink" Target="https://www.strava.com/activities/6396128065" TargetMode="External"/><Relationship Id="rId218" Type="http://schemas.openxmlformats.org/officeDocument/2006/relationships/hyperlink" Target="https://www.strava.com/activities/6416887968" TargetMode="External"/><Relationship Id="rId2" Type="http://schemas.openxmlformats.org/officeDocument/2006/relationships/hyperlink" Target="https://www.strava.com/activities/3848082495" TargetMode="External"/><Relationship Id="rId29" Type="http://schemas.openxmlformats.org/officeDocument/2006/relationships/hyperlink" Target="https://www.strava.com/activities/3982683857" TargetMode="External"/><Relationship Id="rId24" Type="http://schemas.openxmlformats.org/officeDocument/2006/relationships/hyperlink" Target="https://www.strava.com/activities/3961452711" TargetMode="External"/><Relationship Id="rId40" Type="http://schemas.openxmlformats.org/officeDocument/2006/relationships/hyperlink" Target="https://www.strava.com/activities/4037134403" TargetMode="External"/><Relationship Id="rId45" Type="http://schemas.openxmlformats.org/officeDocument/2006/relationships/hyperlink" Target="https://www.strava.com/activities/4060716660" TargetMode="External"/><Relationship Id="rId66" Type="http://schemas.openxmlformats.org/officeDocument/2006/relationships/hyperlink" Target="https://www.strava.com/activities/4156732637" TargetMode="External"/><Relationship Id="rId87" Type="http://schemas.openxmlformats.org/officeDocument/2006/relationships/hyperlink" Target="https://www.strava.com/activities/4255142862" TargetMode="External"/><Relationship Id="rId110" Type="http://schemas.openxmlformats.org/officeDocument/2006/relationships/hyperlink" Target="https://www.strava.com/activities/4369446049" TargetMode="External"/><Relationship Id="rId115" Type="http://schemas.openxmlformats.org/officeDocument/2006/relationships/hyperlink" Target="https://www.strava.com/activities/4393344969" TargetMode="External"/><Relationship Id="rId131" Type="http://schemas.openxmlformats.org/officeDocument/2006/relationships/hyperlink" Target="https://www.strava.com/activities/4487910580" TargetMode="External"/><Relationship Id="rId136" Type="http://schemas.openxmlformats.org/officeDocument/2006/relationships/hyperlink" Target="https://www.strava.com/activities/4520036617" TargetMode="External"/><Relationship Id="rId157" Type="http://schemas.openxmlformats.org/officeDocument/2006/relationships/hyperlink" Target="https://www.strava.com/activities/5895397928" TargetMode="External"/><Relationship Id="rId178" Type="http://schemas.openxmlformats.org/officeDocument/2006/relationships/hyperlink" Target="https://www.strava.com/activities/6263634451" TargetMode="External"/><Relationship Id="rId61" Type="http://schemas.openxmlformats.org/officeDocument/2006/relationships/hyperlink" Target="https://www.strava.com/activities/4135018569" TargetMode="External"/><Relationship Id="rId82" Type="http://schemas.openxmlformats.org/officeDocument/2006/relationships/hyperlink" Target="https://www.strava.com/activities/4226519733" TargetMode="External"/><Relationship Id="rId152" Type="http://schemas.openxmlformats.org/officeDocument/2006/relationships/hyperlink" Target="https://www.strava.com/activities/4773644744" TargetMode="External"/><Relationship Id="rId173" Type="http://schemas.openxmlformats.org/officeDocument/2006/relationships/hyperlink" Target="https://www.strava.com/activities/6219264538" TargetMode="External"/><Relationship Id="rId194" Type="http://schemas.openxmlformats.org/officeDocument/2006/relationships/hyperlink" Target="https://www.strava.com/activities/6303543644" TargetMode="External"/><Relationship Id="rId199" Type="http://schemas.openxmlformats.org/officeDocument/2006/relationships/hyperlink" Target="https://www.strava.com/activities/6356229886" TargetMode="External"/><Relationship Id="rId203" Type="http://schemas.openxmlformats.org/officeDocument/2006/relationships/hyperlink" Target="https://www.strava.com/activities/6332164467" TargetMode="External"/><Relationship Id="rId208" Type="http://schemas.openxmlformats.org/officeDocument/2006/relationships/hyperlink" Target="https://www.strava.com/activities/6375202417" TargetMode="External"/><Relationship Id="rId229" Type="http://schemas.openxmlformats.org/officeDocument/2006/relationships/printerSettings" Target="../printerSettings/printerSettings1.bin"/><Relationship Id="rId19" Type="http://schemas.openxmlformats.org/officeDocument/2006/relationships/hyperlink" Target="https://www.strava.com/activities/3938211598" TargetMode="External"/><Relationship Id="rId224" Type="http://schemas.openxmlformats.org/officeDocument/2006/relationships/hyperlink" Target="https://www.strava.com/activities/6444658374" TargetMode="External"/><Relationship Id="rId14" Type="http://schemas.openxmlformats.org/officeDocument/2006/relationships/hyperlink" Target="https://www.strava.com/activities/3913740869" TargetMode="External"/><Relationship Id="rId30" Type="http://schemas.openxmlformats.org/officeDocument/2006/relationships/hyperlink" Target="https://www.strava.com/activities/3985992166" TargetMode="External"/><Relationship Id="rId35" Type="http://schemas.openxmlformats.org/officeDocument/2006/relationships/hyperlink" Target="https://www.strava.com/activities/4011162166" TargetMode="External"/><Relationship Id="rId56" Type="http://schemas.openxmlformats.org/officeDocument/2006/relationships/hyperlink" Target="https://www.strava.com/activities/4110873764" TargetMode="External"/><Relationship Id="rId77" Type="http://schemas.openxmlformats.org/officeDocument/2006/relationships/hyperlink" Target="https://www.strava.com/activities/4203980957" TargetMode="External"/><Relationship Id="rId100" Type="http://schemas.openxmlformats.org/officeDocument/2006/relationships/hyperlink" Target="https://www.strava.com/activities/4333859121" TargetMode="External"/><Relationship Id="rId105" Type="http://schemas.openxmlformats.org/officeDocument/2006/relationships/hyperlink" Target="https://www.strava.com/activities/4348412974" TargetMode="External"/><Relationship Id="rId126" Type="http://schemas.openxmlformats.org/officeDocument/2006/relationships/hyperlink" Target="https://www.strava.com/activities/4456512509" TargetMode="External"/><Relationship Id="rId147" Type="http://schemas.openxmlformats.org/officeDocument/2006/relationships/hyperlink" Target="https://www.strava.com/activities/4624126459" TargetMode="External"/><Relationship Id="rId168" Type="http://schemas.openxmlformats.org/officeDocument/2006/relationships/hyperlink" Target="https://www.strava.com/activities/6176314750" TargetMode="External"/><Relationship Id="rId8" Type="http://schemas.openxmlformats.org/officeDocument/2006/relationships/hyperlink" Target="https://www.strava.com/activities/3889118606" TargetMode="External"/><Relationship Id="rId51" Type="http://schemas.openxmlformats.org/officeDocument/2006/relationships/hyperlink" Target="https://www.strava.com/activities/4090396074" TargetMode="External"/><Relationship Id="rId72" Type="http://schemas.openxmlformats.org/officeDocument/2006/relationships/hyperlink" Target="https://www.strava.com/activities/4183679740" TargetMode="External"/><Relationship Id="rId93" Type="http://schemas.openxmlformats.org/officeDocument/2006/relationships/hyperlink" Target="https://www.strava.com/activities/4282969123" TargetMode="External"/><Relationship Id="rId98" Type="http://schemas.openxmlformats.org/officeDocument/2006/relationships/hyperlink" Target="https://www.strava.com/activities/4336406658" TargetMode="External"/><Relationship Id="rId121" Type="http://schemas.openxmlformats.org/officeDocument/2006/relationships/hyperlink" Target="https://www.strava.com/activities/4432858801" TargetMode="External"/><Relationship Id="rId142" Type="http://schemas.openxmlformats.org/officeDocument/2006/relationships/hyperlink" Target="https://www.strava.com/activities/4551924496" TargetMode="External"/><Relationship Id="rId163" Type="http://schemas.openxmlformats.org/officeDocument/2006/relationships/hyperlink" Target="https://www.strava.com/activities/6154267656" TargetMode="External"/><Relationship Id="rId184" Type="http://schemas.openxmlformats.org/officeDocument/2006/relationships/hyperlink" Target="https://www.strava.com/activities/6272876239" TargetMode="External"/><Relationship Id="rId189" Type="http://schemas.openxmlformats.org/officeDocument/2006/relationships/hyperlink" Target="https://www.strava.com/activities/6317692528" TargetMode="External"/><Relationship Id="rId219" Type="http://schemas.openxmlformats.org/officeDocument/2006/relationships/hyperlink" Target="https://www.strava.com/activities/6035211080" TargetMode="External"/><Relationship Id="rId3" Type="http://schemas.openxmlformats.org/officeDocument/2006/relationships/hyperlink" Target="https://www.strava.com/activities/3860614082" TargetMode="External"/><Relationship Id="rId214" Type="http://schemas.openxmlformats.org/officeDocument/2006/relationships/hyperlink" Target="https://www.strava.com/activities/6400890165" TargetMode="External"/><Relationship Id="rId230" Type="http://schemas.openxmlformats.org/officeDocument/2006/relationships/table" Target="../tables/table1.xml"/><Relationship Id="rId25" Type="http://schemas.openxmlformats.org/officeDocument/2006/relationships/hyperlink" Target="https://www.strava.com/activities/3964602073" TargetMode="External"/><Relationship Id="rId46" Type="http://schemas.openxmlformats.org/officeDocument/2006/relationships/hyperlink" Target="https://www.strava.com/activities/4064157258" TargetMode="External"/><Relationship Id="rId67" Type="http://schemas.openxmlformats.org/officeDocument/2006/relationships/hyperlink" Target="https://www.strava.com/activities/4161090054" TargetMode="External"/><Relationship Id="rId116" Type="http://schemas.openxmlformats.org/officeDocument/2006/relationships/hyperlink" Target="https://www.strava.com/activities/4407633383" TargetMode="External"/><Relationship Id="rId137" Type="http://schemas.openxmlformats.org/officeDocument/2006/relationships/hyperlink" Target="https://www.strava.com/activities/4526500355" TargetMode="External"/><Relationship Id="rId158" Type="http://schemas.openxmlformats.org/officeDocument/2006/relationships/hyperlink" Target="https://www.strava.com/activities/5993255759" TargetMode="External"/><Relationship Id="rId20" Type="http://schemas.openxmlformats.org/officeDocument/2006/relationships/hyperlink" Target="https://www.strava.com/activities/3942945141" TargetMode="External"/><Relationship Id="rId41" Type="http://schemas.openxmlformats.org/officeDocument/2006/relationships/hyperlink" Target="https://www.strava.com/activities/4041678061" TargetMode="External"/><Relationship Id="rId62" Type="http://schemas.openxmlformats.org/officeDocument/2006/relationships/hyperlink" Target="https://www.strava.com/activities/4139249774" TargetMode="External"/><Relationship Id="rId83" Type="http://schemas.openxmlformats.org/officeDocument/2006/relationships/hyperlink" Target="https://www.strava.com/activities/4230715181" TargetMode="External"/><Relationship Id="rId88" Type="http://schemas.openxmlformats.org/officeDocument/2006/relationships/hyperlink" Target="https://www.strava.com/activities/4252138181" TargetMode="External"/><Relationship Id="rId111" Type="http://schemas.openxmlformats.org/officeDocument/2006/relationships/hyperlink" Target="https://www.strava.com/activities/4375929046" TargetMode="External"/><Relationship Id="rId132" Type="http://schemas.openxmlformats.org/officeDocument/2006/relationships/hyperlink" Target="https://www.strava.com/activities/4502054124" TargetMode="External"/><Relationship Id="rId153" Type="http://schemas.openxmlformats.org/officeDocument/2006/relationships/hyperlink" Target="https://www.strava.com/activities/4900154548" TargetMode="External"/><Relationship Id="rId174" Type="http://schemas.openxmlformats.org/officeDocument/2006/relationships/hyperlink" Target="https://www.strava.com/activities/6227103337" TargetMode="External"/><Relationship Id="rId179" Type="http://schemas.openxmlformats.org/officeDocument/2006/relationships/hyperlink" Target="https://www.strava.com/activities/6253803478" TargetMode="External"/><Relationship Id="rId195" Type="http://schemas.openxmlformats.org/officeDocument/2006/relationships/hyperlink" Target="https://www.strava.com/activities/6323821972" TargetMode="External"/><Relationship Id="rId209" Type="http://schemas.openxmlformats.org/officeDocument/2006/relationships/hyperlink" Target="https://www.strava.com/activities/6380863472" TargetMode="External"/><Relationship Id="rId190" Type="http://schemas.openxmlformats.org/officeDocument/2006/relationships/hyperlink" Target="https://www.strava.com/activities/6313258229" TargetMode="External"/><Relationship Id="rId204" Type="http://schemas.openxmlformats.org/officeDocument/2006/relationships/hyperlink" Target="https://www.strava.com/activities/6335484347" TargetMode="External"/><Relationship Id="rId220" Type="http://schemas.openxmlformats.org/officeDocument/2006/relationships/hyperlink" Target="https://www.strava.com/activities/6420145157" TargetMode="External"/><Relationship Id="rId225" Type="http://schemas.openxmlformats.org/officeDocument/2006/relationships/hyperlink" Target="https://www.strava.com/activities/6431978757" TargetMode="External"/><Relationship Id="rId15" Type="http://schemas.openxmlformats.org/officeDocument/2006/relationships/hyperlink" Target="https://www.strava.com/activities/3916444375" TargetMode="External"/><Relationship Id="rId36" Type="http://schemas.openxmlformats.org/officeDocument/2006/relationships/hyperlink" Target="https://www.strava.com/activities/4015193908" TargetMode="External"/><Relationship Id="rId57" Type="http://schemas.openxmlformats.org/officeDocument/2006/relationships/hyperlink" Target="https://www.strava.com/activities/4114368911" TargetMode="External"/><Relationship Id="rId106" Type="http://schemas.openxmlformats.org/officeDocument/2006/relationships/hyperlink" Target="https://www.strava.com/activities/4353418213" TargetMode="External"/><Relationship Id="rId127" Type="http://schemas.openxmlformats.org/officeDocument/2006/relationships/hyperlink" Target="https://www.strava.com/activities/4452527883" TargetMode="External"/><Relationship Id="rId10" Type="http://schemas.openxmlformats.org/officeDocument/2006/relationships/hyperlink" Target="https://www.strava.com/activities/3894844075" TargetMode="External"/><Relationship Id="rId31" Type="http://schemas.openxmlformats.org/officeDocument/2006/relationships/hyperlink" Target="https://www.strava.com/activities/3993598515" TargetMode="External"/><Relationship Id="rId52" Type="http://schemas.openxmlformats.org/officeDocument/2006/relationships/hyperlink" Target="https://www.strava.com/activities/4094293359" TargetMode="External"/><Relationship Id="rId73" Type="http://schemas.openxmlformats.org/officeDocument/2006/relationships/hyperlink" Target="https://www.strava.com/activities/4178527136" TargetMode="External"/><Relationship Id="rId78" Type="http://schemas.openxmlformats.org/officeDocument/2006/relationships/hyperlink" Target="https://www.strava.com/activities/4206157544" TargetMode="External"/><Relationship Id="rId94" Type="http://schemas.openxmlformats.org/officeDocument/2006/relationships/hyperlink" Target="https://www.strava.com/activities/4287637149" TargetMode="External"/><Relationship Id="rId99" Type="http://schemas.openxmlformats.org/officeDocument/2006/relationships/hyperlink" Target="https://www.strava.com/activities/4315123661" TargetMode="External"/><Relationship Id="rId101" Type="http://schemas.openxmlformats.org/officeDocument/2006/relationships/hyperlink" Target="https://www.strava.com/activities/4325380189" TargetMode="External"/><Relationship Id="rId122" Type="http://schemas.openxmlformats.org/officeDocument/2006/relationships/hyperlink" Target="https://www.strava.com/activities/4443890511" TargetMode="External"/><Relationship Id="rId143" Type="http://schemas.openxmlformats.org/officeDocument/2006/relationships/hyperlink" Target="https://www.strava.com/activities/4561861704" TargetMode="External"/><Relationship Id="rId148" Type="http://schemas.openxmlformats.org/officeDocument/2006/relationships/hyperlink" Target="https://www.strava.com/activities/4636997238" TargetMode="External"/><Relationship Id="rId164" Type="http://schemas.openxmlformats.org/officeDocument/2006/relationships/hyperlink" Target="https://www.strava.com/activities/6151563178" TargetMode="External"/><Relationship Id="rId169" Type="http://schemas.openxmlformats.org/officeDocument/2006/relationships/hyperlink" Target="https://www.strava.com/activities/6179720218" TargetMode="External"/><Relationship Id="rId185" Type="http://schemas.openxmlformats.org/officeDocument/2006/relationships/hyperlink" Target="https://www.strava.com/activities/6279665855" TargetMode="External"/><Relationship Id="rId4" Type="http://schemas.openxmlformats.org/officeDocument/2006/relationships/hyperlink" Target="https://www.strava.com/activities/3865545383" TargetMode="External"/><Relationship Id="rId9" Type="http://schemas.openxmlformats.org/officeDocument/2006/relationships/hyperlink" Target="https://www.strava.com/activities/3882700631" TargetMode="External"/><Relationship Id="rId180" Type="http://schemas.openxmlformats.org/officeDocument/2006/relationships/hyperlink" Target="https://www.strava.com/activities/6245770145" TargetMode="External"/><Relationship Id="rId210" Type="http://schemas.openxmlformats.org/officeDocument/2006/relationships/hyperlink" Target="https://www.strava.com/activities/6385337528" TargetMode="External"/><Relationship Id="rId215" Type="http://schemas.openxmlformats.org/officeDocument/2006/relationships/hyperlink" Target="https://www.strava.com/activities/6403358197" TargetMode="External"/><Relationship Id="rId26" Type="http://schemas.openxmlformats.org/officeDocument/2006/relationships/hyperlink" Target="https://www.strava.com/activities/3970823032" TargetMode="External"/><Relationship Id="rId47" Type="http://schemas.openxmlformats.org/officeDocument/2006/relationships/hyperlink" Target="https://www.strava.com/activities/4070785572" TargetMode="External"/><Relationship Id="rId68" Type="http://schemas.openxmlformats.org/officeDocument/2006/relationships/hyperlink" Target="https://www.strava.com/activities/4165576619" TargetMode="External"/><Relationship Id="rId89" Type="http://schemas.openxmlformats.org/officeDocument/2006/relationships/hyperlink" Target="https://www.strava.com/activities/4262272045" TargetMode="External"/><Relationship Id="rId112" Type="http://schemas.openxmlformats.org/officeDocument/2006/relationships/hyperlink" Target="https://www.strava.com/activities/4381959860" TargetMode="External"/><Relationship Id="rId133" Type="http://schemas.openxmlformats.org/officeDocument/2006/relationships/hyperlink" Target="https://www.strava.com/activities/4506513439" TargetMode="External"/><Relationship Id="rId154" Type="http://schemas.openxmlformats.org/officeDocument/2006/relationships/hyperlink" Target="https://www.strava.com/activities/4953429385" TargetMode="External"/><Relationship Id="rId175" Type="http://schemas.openxmlformats.org/officeDocument/2006/relationships/hyperlink" Target="https://www.strava.com/activities/6231748738" TargetMode="External"/><Relationship Id="rId196" Type="http://schemas.openxmlformats.org/officeDocument/2006/relationships/hyperlink" Target="https://www.strava.com/activities/6368171125" TargetMode="External"/><Relationship Id="rId200" Type="http://schemas.openxmlformats.org/officeDocument/2006/relationships/hyperlink" Target="https://www.strava.com/activities/6351618017" TargetMode="External"/><Relationship Id="rId16" Type="http://schemas.openxmlformats.org/officeDocument/2006/relationships/hyperlink" Target="https://www.strava.com/activities/3924273465" TargetMode="External"/><Relationship Id="rId221" Type="http://schemas.openxmlformats.org/officeDocument/2006/relationships/hyperlink" Target="https://www.strava.com/activities/6420927218" TargetMode="External"/><Relationship Id="rId37" Type="http://schemas.openxmlformats.org/officeDocument/2006/relationships/hyperlink" Target="https://www.strava.com/activities/4020152812" TargetMode="External"/><Relationship Id="rId58" Type="http://schemas.openxmlformats.org/officeDocument/2006/relationships/hyperlink" Target="https://www.strava.com/activities/4125612453" TargetMode="External"/><Relationship Id="rId79" Type="http://schemas.openxmlformats.org/officeDocument/2006/relationships/hyperlink" Target="https://www.strava.com/activities/4211792372" TargetMode="External"/><Relationship Id="rId102" Type="http://schemas.openxmlformats.org/officeDocument/2006/relationships/hyperlink" Target="https://www.strava.com/activities/4320472267" TargetMode="External"/><Relationship Id="rId123" Type="http://schemas.openxmlformats.org/officeDocument/2006/relationships/hyperlink" Target="https://www.strava.com/activities/4448274227" TargetMode="External"/><Relationship Id="rId144" Type="http://schemas.openxmlformats.org/officeDocument/2006/relationships/hyperlink" Target="https://www.strava.com/activities/4568549090" TargetMode="External"/><Relationship Id="rId90" Type="http://schemas.openxmlformats.org/officeDocument/2006/relationships/hyperlink" Target="https://www.strava.com/activities/4260338717" TargetMode="External"/><Relationship Id="rId165" Type="http://schemas.openxmlformats.org/officeDocument/2006/relationships/hyperlink" Target="https://www.strava.com/activities/6162695454" TargetMode="External"/><Relationship Id="rId186" Type="http://schemas.openxmlformats.org/officeDocument/2006/relationships/hyperlink" Target="https://www.strava.com/activities/6290564255" TargetMode="External"/><Relationship Id="rId211" Type="http://schemas.openxmlformats.org/officeDocument/2006/relationships/hyperlink" Target="https://www.strava.com/activities/638908474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C4F4-3612-4F0A-B049-A0343EEB09DD}">
  <dimension ref="A1:J546"/>
  <sheetViews>
    <sheetView tabSelected="1" workbookViewId="0">
      <selection activeCell="A3" sqref="A3"/>
    </sheetView>
  </sheetViews>
  <sheetFormatPr defaultRowHeight="14.4" x14ac:dyDescent="0.3"/>
  <cols>
    <col min="1" max="1" width="17.88671875" customWidth="1"/>
    <col min="2" max="2" width="16" style="3" customWidth="1"/>
    <col min="3" max="3" width="17.5546875" customWidth="1"/>
    <col min="4" max="4" width="18.44140625" customWidth="1"/>
    <col min="5" max="5" width="19.109375" style="3" customWidth="1"/>
    <col min="6" max="6" width="20.33203125" customWidth="1"/>
    <col min="7" max="7" width="40" customWidth="1"/>
    <col min="8" max="8" width="48.44140625" customWidth="1"/>
    <col min="9" max="9" width="11.6640625" customWidth="1"/>
    <col min="10" max="10" width="26.21875" customWidth="1"/>
  </cols>
  <sheetData>
    <row r="1" spans="1:10" x14ac:dyDescent="0.3">
      <c r="A1" s="1" t="s">
        <v>0</v>
      </c>
      <c r="B1" s="5" t="s">
        <v>1</v>
      </c>
      <c r="C1" t="s">
        <v>2</v>
      </c>
      <c r="D1" t="s">
        <v>3</v>
      </c>
      <c r="E1" s="3" t="s">
        <v>619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44044</v>
      </c>
      <c r="B2" s="5">
        <v>5.22</v>
      </c>
      <c r="C2">
        <f>43*60+6</f>
        <v>2586</v>
      </c>
      <c r="D2">
        <f>8*60+15</f>
        <v>495</v>
      </c>
      <c r="E2" s="4" t="str">
        <f>CONCATENATE(ROUNDDOWN(D2/60,0),":",IF(ROUNDDOWN(D2-ROUNDDOWN(D2/60,0)*60,0)&gt;=10,ROUNDDOWN(D2-ROUNDDOWN(D2/60,0)*60,3),CONCATENATE("0",ROUNDDOWN(D2-ROUNDDOWN(D2/60,0)*60,3))))</f>
        <v>8:15</v>
      </c>
      <c r="F2">
        <v>48</v>
      </c>
      <c r="G2" t="s">
        <v>9</v>
      </c>
      <c r="H2" s="2" t="s">
        <v>10</v>
      </c>
      <c r="I2">
        <f>COUNTIF($B$2:B2, "&lt;&gt;")</f>
        <v>1</v>
      </c>
      <c r="J2">
        <f>F2/B2</f>
        <v>9.1954022988505759</v>
      </c>
    </row>
    <row r="3" spans="1:10" x14ac:dyDescent="0.3">
      <c r="A3" s="1">
        <v>44045</v>
      </c>
      <c r="B3" s="5">
        <v>12.02</v>
      </c>
      <c r="C3">
        <f>1*3600+52*60+48</f>
        <v>6768</v>
      </c>
      <c r="D3">
        <f>9*60+23</f>
        <v>563</v>
      </c>
      <c r="E3" s="4" t="str">
        <f t="shared" ref="E3:E66" si="0">CONCATENATE(ROUNDDOWN(D3/60,0),":",IF(ROUNDDOWN(D3-ROUNDDOWN(D3/60,0)*60,0)&gt;=10,ROUNDDOWN(D3-ROUNDDOWN(D3/60,0)*60,3),CONCATENATE("0",ROUNDDOWN(D3-ROUNDDOWN(D3/60,0)*60,3))))</f>
        <v>9:23</v>
      </c>
      <c r="F3">
        <v>281</v>
      </c>
      <c r="G3" t="s">
        <v>11</v>
      </c>
      <c r="H3" s="2" t="s">
        <v>12</v>
      </c>
      <c r="I3">
        <f>COUNTIF($B$2:B3, "&lt;&gt;")</f>
        <v>2</v>
      </c>
      <c r="J3">
        <f>F3/B3</f>
        <v>23.377703826955077</v>
      </c>
    </row>
    <row r="4" spans="1:10" x14ac:dyDescent="0.3">
      <c r="A4" s="1">
        <v>44046</v>
      </c>
      <c r="B4" s="5">
        <v>5.0199999999999996</v>
      </c>
      <c r="C4">
        <f>37*60+7</f>
        <v>2227</v>
      </c>
      <c r="D4">
        <f>7*60+24</f>
        <v>444</v>
      </c>
      <c r="E4" s="4" t="str">
        <f t="shared" si="0"/>
        <v>7:24</v>
      </c>
      <c r="F4">
        <v>95</v>
      </c>
      <c r="G4" t="s">
        <v>13</v>
      </c>
      <c r="H4" s="2" t="s">
        <v>14</v>
      </c>
      <c r="I4">
        <f>COUNTIF($B$2:B4, "&lt;&gt;")</f>
        <v>3</v>
      </c>
      <c r="J4">
        <f>F4/B4</f>
        <v>18.924302788844624</v>
      </c>
    </row>
    <row r="5" spans="1:10" x14ac:dyDescent="0.3">
      <c r="A5" s="1">
        <v>44047</v>
      </c>
      <c r="B5" s="5">
        <v>3.01</v>
      </c>
      <c r="C5">
        <f>21*60+42</f>
        <v>1302</v>
      </c>
      <c r="D5">
        <f>7*60+11</f>
        <v>431</v>
      </c>
      <c r="E5" s="4" t="str">
        <f t="shared" si="0"/>
        <v>7:11</v>
      </c>
      <c r="F5">
        <v>71</v>
      </c>
      <c r="G5" t="s">
        <v>15</v>
      </c>
      <c r="H5" s="2" t="s">
        <v>16</v>
      </c>
      <c r="I5">
        <f>COUNTIF($B$2:B5, "&lt;&gt;")</f>
        <v>4</v>
      </c>
      <c r="J5">
        <f>F5/B5</f>
        <v>23.588039867109636</v>
      </c>
    </row>
    <row r="6" spans="1:10" x14ac:dyDescent="0.3">
      <c r="A6" s="1">
        <v>44048</v>
      </c>
      <c r="B6" s="5">
        <v>3.01</v>
      </c>
      <c r="C6">
        <f>21*60+19</f>
        <v>1279</v>
      </c>
      <c r="D6">
        <f>7*60+4</f>
        <v>424</v>
      </c>
      <c r="E6" s="4" t="str">
        <f t="shared" si="0"/>
        <v>7:04</v>
      </c>
      <c r="F6">
        <v>60</v>
      </c>
      <c r="G6" t="s">
        <v>17</v>
      </c>
      <c r="H6" s="2" t="s">
        <v>18</v>
      </c>
      <c r="I6">
        <f>COUNTIF($B$2:B6, "&lt;&gt;")</f>
        <v>5</v>
      </c>
      <c r="J6">
        <f>F6/B6</f>
        <v>19.933554817275748</v>
      </c>
    </row>
    <row r="7" spans="1:10" x14ac:dyDescent="0.3">
      <c r="A7" s="1">
        <v>44049</v>
      </c>
      <c r="B7" s="5">
        <v>3.12</v>
      </c>
      <c r="C7">
        <f>22*60+52</f>
        <v>1372</v>
      </c>
      <c r="D7">
        <f>7*60+20</f>
        <v>440</v>
      </c>
      <c r="E7" s="4" t="str">
        <f t="shared" si="0"/>
        <v>7:20</v>
      </c>
      <c r="F7">
        <v>71</v>
      </c>
      <c r="G7" t="s">
        <v>19</v>
      </c>
      <c r="H7" s="2" t="s">
        <v>20</v>
      </c>
      <c r="I7">
        <f>COUNTIF($B$2:B7, "&lt;&gt;")</f>
        <v>6</v>
      </c>
      <c r="J7">
        <f>F7/B7</f>
        <v>22.756410256410255</v>
      </c>
    </row>
    <row r="8" spans="1:10" x14ac:dyDescent="0.3">
      <c r="A8" s="1">
        <v>44050</v>
      </c>
      <c r="B8" s="5">
        <v>3.14</v>
      </c>
      <c r="C8">
        <f>27*60+29</f>
        <v>1649</v>
      </c>
      <c r="D8">
        <f>8*60+44</f>
        <v>524</v>
      </c>
      <c r="E8" s="4" t="str">
        <f t="shared" si="0"/>
        <v>8:44</v>
      </c>
      <c r="F8">
        <v>68</v>
      </c>
      <c r="G8" t="s">
        <v>17</v>
      </c>
      <c r="H8" s="2" t="s">
        <v>21</v>
      </c>
      <c r="I8">
        <f>COUNTIF($B$2:B8, "&lt;&gt;")</f>
        <v>7</v>
      </c>
      <c r="J8">
        <f>F8/B8</f>
        <v>21.656050955414013</v>
      </c>
    </row>
    <row r="9" spans="1:10" x14ac:dyDescent="0.3">
      <c r="A9" s="1">
        <v>44051</v>
      </c>
      <c r="B9" s="5">
        <v>5.21</v>
      </c>
      <c r="C9">
        <f>46*60+35</f>
        <v>2795</v>
      </c>
      <c r="D9">
        <f>8*60+56</f>
        <v>536</v>
      </c>
      <c r="E9" s="4" t="str">
        <f t="shared" si="0"/>
        <v>8:56</v>
      </c>
      <c r="F9">
        <v>204</v>
      </c>
      <c r="G9" t="s">
        <v>22</v>
      </c>
      <c r="H9" s="2" t="s">
        <v>23</v>
      </c>
      <c r="I9">
        <f>COUNTIF($B$2:B9, "&lt;&gt;")</f>
        <v>8</v>
      </c>
      <c r="J9">
        <f>F9/B9</f>
        <v>39.155470249520157</v>
      </c>
    </row>
    <row r="10" spans="1:10" x14ac:dyDescent="0.3">
      <c r="A10" s="1">
        <v>44052</v>
      </c>
      <c r="B10" s="5">
        <v>12.03</v>
      </c>
      <c r="C10">
        <f>2*3600+1*60+15</f>
        <v>7275</v>
      </c>
      <c r="D10">
        <f>10*60+5</f>
        <v>605</v>
      </c>
      <c r="E10" s="4" t="str">
        <f t="shared" si="0"/>
        <v>10:05</v>
      </c>
      <c r="F10">
        <v>578</v>
      </c>
      <c r="G10" t="s">
        <v>24</v>
      </c>
      <c r="H10" s="2" t="s">
        <v>25</v>
      </c>
      <c r="I10">
        <f>COUNTIF($B$2:B10, "&lt;&gt;")</f>
        <v>9</v>
      </c>
      <c r="J10">
        <f>F10/B10</f>
        <v>48.046550290939322</v>
      </c>
    </row>
    <row r="11" spans="1:10" x14ac:dyDescent="0.3">
      <c r="A11" s="1">
        <v>44053</v>
      </c>
      <c r="B11" s="5">
        <v>5.04</v>
      </c>
      <c r="C11">
        <f>40*60+25</f>
        <v>2425</v>
      </c>
      <c r="D11">
        <f>8*60</f>
        <v>480</v>
      </c>
      <c r="E11" s="4" t="str">
        <f t="shared" si="0"/>
        <v>8:00</v>
      </c>
      <c r="F11">
        <v>95</v>
      </c>
      <c r="G11" t="s">
        <v>13</v>
      </c>
      <c r="H11" s="2" t="s">
        <v>26</v>
      </c>
      <c r="I11">
        <f>COUNTIF($B$2:B11, "&lt;&gt;")</f>
        <v>10</v>
      </c>
      <c r="J11">
        <f>F11/B11</f>
        <v>18.849206349206348</v>
      </c>
    </row>
    <row r="12" spans="1:10" x14ac:dyDescent="0.3">
      <c r="A12" s="1">
        <v>44054</v>
      </c>
      <c r="B12" s="5">
        <v>3.11</v>
      </c>
      <c r="C12">
        <f>24*60+14</f>
        <v>1454</v>
      </c>
      <c r="D12">
        <f>7*60+46</f>
        <v>466</v>
      </c>
      <c r="E12" s="4" t="str">
        <f t="shared" si="0"/>
        <v>7:46</v>
      </c>
      <c r="F12">
        <v>13</v>
      </c>
      <c r="G12" t="s">
        <v>27</v>
      </c>
      <c r="H12" s="2" t="s">
        <v>28</v>
      </c>
      <c r="I12">
        <f>COUNTIF($B$2:B12, "&lt;&gt;")</f>
        <v>11</v>
      </c>
      <c r="J12">
        <f>F12/B12</f>
        <v>4.180064308681672</v>
      </c>
    </row>
    <row r="13" spans="1:10" x14ac:dyDescent="0.3">
      <c r="A13" s="1">
        <v>44055</v>
      </c>
      <c r="B13" s="5">
        <v>3.11</v>
      </c>
      <c r="C13">
        <f>23*60+5</f>
        <v>1385</v>
      </c>
      <c r="D13">
        <f>7*60+24</f>
        <v>444</v>
      </c>
      <c r="E13" s="4" t="str">
        <f t="shared" si="0"/>
        <v>7:24</v>
      </c>
      <c r="F13">
        <v>61</v>
      </c>
      <c r="G13" t="s">
        <v>17</v>
      </c>
      <c r="H13" s="2" t="s">
        <v>29</v>
      </c>
      <c r="I13">
        <f>COUNTIF($B$2:B13, "&lt;&gt;")</f>
        <v>12</v>
      </c>
      <c r="J13">
        <f>F13/B13</f>
        <v>19.614147909967848</v>
      </c>
    </row>
    <row r="14" spans="1:10" x14ac:dyDescent="0.3">
      <c r="A14" s="1">
        <v>44056</v>
      </c>
      <c r="B14" s="5">
        <v>3.01</v>
      </c>
      <c r="C14">
        <f>21*60+10</f>
        <v>1270</v>
      </c>
      <c r="D14">
        <f>7*60+1</f>
        <v>421</v>
      </c>
      <c r="E14" s="4" t="str">
        <f t="shared" si="0"/>
        <v>7:01</v>
      </c>
      <c r="F14">
        <v>70</v>
      </c>
      <c r="G14" t="s">
        <v>19</v>
      </c>
      <c r="H14" s="2" t="s">
        <v>30</v>
      </c>
      <c r="I14">
        <f>COUNTIF($B$2:B14, "&lt;&gt;")</f>
        <v>13</v>
      </c>
      <c r="J14">
        <f>F14/B14</f>
        <v>23.255813953488374</v>
      </c>
    </row>
    <row r="15" spans="1:10" x14ac:dyDescent="0.3">
      <c r="A15" s="1">
        <v>44057</v>
      </c>
      <c r="B15" s="5">
        <v>3.01</v>
      </c>
      <c r="C15">
        <f>24*60+36</f>
        <v>1476</v>
      </c>
      <c r="D15">
        <f>8*60+9</f>
        <v>489</v>
      </c>
      <c r="E15" s="4" t="str">
        <f t="shared" si="0"/>
        <v>8:09</v>
      </c>
      <c r="F15">
        <v>61</v>
      </c>
      <c r="G15" t="s">
        <v>17</v>
      </c>
      <c r="H15" s="2" t="s">
        <v>31</v>
      </c>
      <c r="I15">
        <f>COUNTIF($B$2:B15, "&lt;&gt;")</f>
        <v>14</v>
      </c>
      <c r="J15">
        <f>F15/B15</f>
        <v>20.26578073089701</v>
      </c>
    </row>
    <row r="16" spans="1:10" x14ac:dyDescent="0.3">
      <c r="A16" s="1">
        <v>44058</v>
      </c>
      <c r="B16" s="5">
        <v>6.45</v>
      </c>
      <c r="C16">
        <f>57*60+32</f>
        <v>3452</v>
      </c>
      <c r="D16">
        <f>8*60+55</f>
        <v>535</v>
      </c>
      <c r="E16" s="4" t="str">
        <f t="shared" si="0"/>
        <v>8:55</v>
      </c>
      <c r="F16">
        <v>8</v>
      </c>
      <c r="G16" t="s">
        <v>32</v>
      </c>
      <c r="H16" s="2" t="s">
        <v>33</v>
      </c>
      <c r="I16">
        <f>COUNTIF($B$2:B16, "&lt;&gt;")</f>
        <v>15</v>
      </c>
      <c r="J16">
        <f>F16/B16</f>
        <v>1.2403100775193798</v>
      </c>
    </row>
    <row r="17" spans="1:10" x14ac:dyDescent="0.3">
      <c r="A17" s="1">
        <v>44059</v>
      </c>
      <c r="B17" s="5">
        <v>3.16</v>
      </c>
      <c r="C17">
        <f>26*60+28</f>
        <v>1588</v>
      </c>
      <c r="D17">
        <f>8*60+21</f>
        <v>501</v>
      </c>
      <c r="E17" s="4" t="str">
        <f t="shared" si="0"/>
        <v>8:21</v>
      </c>
      <c r="F17">
        <v>151</v>
      </c>
      <c r="G17" t="s">
        <v>34</v>
      </c>
      <c r="H17" s="2" t="s">
        <v>35</v>
      </c>
      <c r="I17">
        <f>COUNTIF($B$2:B17, "&lt;&gt;")</f>
        <v>16</v>
      </c>
      <c r="J17">
        <f>F17/B17</f>
        <v>47.784810126582279</v>
      </c>
    </row>
    <row r="18" spans="1:10" x14ac:dyDescent="0.3">
      <c r="A18" s="1">
        <v>44060</v>
      </c>
      <c r="B18" s="5">
        <v>5.01</v>
      </c>
      <c r="C18">
        <f>38*60+48</f>
        <v>2328</v>
      </c>
      <c r="D18">
        <f>7*60+44</f>
        <v>464</v>
      </c>
      <c r="E18" s="4" t="str">
        <f t="shared" si="0"/>
        <v>7:44</v>
      </c>
      <c r="F18">
        <v>95</v>
      </c>
      <c r="G18" t="s">
        <v>13</v>
      </c>
      <c r="H18" s="2" t="s">
        <v>36</v>
      </c>
      <c r="I18">
        <f>COUNTIF($B$2:B18, "&lt;&gt;")</f>
        <v>17</v>
      </c>
      <c r="J18">
        <f>F18/B18</f>
        <v>18.962075848303392</v>
      </c>
    </row>
    <row r="19" spans="1:10" x14ac:dyDescent="0.3">
      <c r="A19" s="1">
        <v>44061</v>
      </c>
      <c r="B19" s="5">
        <v>3.11</v>
      </c>
      <c r="C19">
        <f>23*60+2</f>
        <v>1382</v>
      </c>
      <c r="D19">
        <f>7*60+24</f>
        <v>444</v>
      </c>
      <c r="E19" s="4" t="str">
        <f t="shared" si="0"/>
        <v>7:24</v>
      </c>
      <c r="F19">
        <v>10</v>
      </c>
      <c r="G19" t="s">
        <v>27</v>
      </c>
      <c r="H19" s="2" t="s">
        <v>37</v>
      </c>
      <c r="I19">
        <f>COUNTIF($B$2:B19, "&lt;&gt;")</f>
        <v>18</v>
      </c>
      <c r="J19">
        <f>F19/B19</f>
        <v>3.2154340836012865</v>
      </c>
    </row>
    <row r="20" spans="1:10" x14ac:dyDescent="0.3">
      <c r="A20" s="1">
        <v>44062</v>
      </c>
      <c r="B20" s="5">
        <v>3.12</v>
      </c>
      <c r="C20">
        <f>22*60+48</f>
        <v>1368</v>
      </c>
      <c r="D20">
        <f>7*60+18</f>
        <v>438</v>
      </c>
      <c r="E20" s="4" t="str">
        <f t="shared" si="0"/>
        <v>7:18</v>
      </c>
      <c r="F20">
        <v>61</v>
      </c>
      <c r="G20" t="s">
        <v>17</v>
      </c>
      <c r="H20" s="2" t="s">
        <v>38</v>
      </c>
      <c r="I20">
        <f>COUNTIF($B$2:B20, "&lt;&gt;")</f>
        <v>19</v>
      </c>
      <c r="J20">
        <f>F20/B20</f>
        <v>19.551282051282051</v>
      </c>
    </row>
    <row r="21" spans="1:10" x14ac:dyDescent="0.3">
      <c r="A21" s="1">
        <v>44063</v>
      </c>
      <c r="B21" s="5">
        <v>3.12</v>
      </c>
      <c r="C21">
        <f>21*60+14</f>
        <v>1274</v>
      </c>
      <c r="D21">
        <f>6*60+48</f>
        <v>408</v>
      </c>
      <c r="E21" s="4" t="str">
        <f t="shared" si="0"/>
        <v>6:48</v>
      </c>
      <c r="F21">
        <v>71</v>
      </c>
      <c r="G21" t="s">
        <v>19</v>
      </c>
      <c r="H21" s="2" t="s">
        <v>39</v>
      </c>
      <c r="I21">
        <f>COUNTIF($B$2:B21, "&lt;&gt;")</f>
        <v>20</v>
      </c>
      <c r="J21">
        <f>F21/B21</f>
        <v>22.756410256410255</v>
      </c>
    </row>
    <row r="22" spans="1:10" x14ac:dyDescent="0.3">
      <c r="A22" s="1">
        <v>44064</v>
      </c>
      <c r="B22" s="5">
        <v>3.11</v>
      </c>
      <c r="C22">
        <f>26*60+24</f>
        <v>1584</v>
      </c>
      <c r="D22">
        <f>8*60+29</f>
        <v>509</v>
      </c>
      <c r="E22" s="4" t="str">
        <f t="shared" si="0"/>
        <v>8:29</v>
      </c>
      <c r="F22">
        <v>149</v>
      </c>
      <c r="G22" t="s">
        <v>34</v>
      </c>
      <c r="H22" s="2" t="s">
        <v>40</v>
      </c>
      <c r="I22">
        <f>COUNTIF($B$2:B22, "&lt;&gt;")</f>
        <v>21</v>
      </c>
      <c r="J22">
        <f>F22/B22</f>
        <v>47.909967845659168</v>
      </c>
    </row>
    <row r="23" spans="1:10" x14ac:dyDescent="0.3">
      <c r="A23" s="1">
        <v>44065</v>
      </c>
      <c r="B23" s="5">
        <v>13.17</v>
      </c>
      <c r="C23">
        <f>1*3600+52*60+48</f>
        <v>6768</v>
      </c>
      <c r="D23">
        <f>8*60+34</f>
        <v>514</v>
      </c>
      <c r="E23" s="4" t="str">
        <f t="shared" si="0"/>
        <v>8:34</v>
      </c>
      <c r="F23">
        <v>352</v>
      </c>
      <c r="G23" t="s">
        <v>41</v>
      </c>
      <c r="H23" s="2" t="s">
        <v>42</v>
      </c>
      <c r="I23">
        <f>COUNTIF($B$2:B23, "&lt;&gt;")</f>
        <v>22</v>
      </c>
      <c r="J23">
        <f>F23/B23</f>
        <v>26.727410782080486</v>
      </c>
    </row>
    <row r="24" spans="1:10" x14ac:dyDescent="0.3">
      <c r="A24" s="1">
        <v>44066</v>
      </c>
      <c r="B24" s="5">
        <v>3.12</v>
      </c>
      <c r="C24">
        <f>22*60+28</f>
        <v>1348</v>
      </c>
      <c r="D24">
        <f>7*60+12</f>
        <v>432</v>
      </c>
      <c r="E24" s="4" t="str">
        <f t="shared" si="0"/>
        <v>7:12</v>
      </c>
      <c r="F24">
        <v>46</v>
      </c>
      <c r="G24" t="s">
        <v>43</v>
      </c>
      <c r="H24" s="2" t="s">
        <v>44</v>
      </c>
      <c r="I24">
        <f>COUNTIF($B$2:B24, "&lt;&gt;")</f>
        <v>23</v>
      </c>
      <c r="J24">
        <f>F24/B24</f>
        <v>14.743589743589743</v>
      </c>
    </row>
    <row r="25" spans="1:10" x14ac:dyDescent="0.3">
      <c r="A25" s="1">
        <v>44067</v>
      </c>
      <c r="B25" s="5">
        <v>8.25</v>
      </c>
      <c r="C25">
        <f>1*3600+9*60+18</f>
        <v>4158</v>
      </c>
      <c r="D25">
        <f>8*60+24</f>
        <v>504</v>
      </c>
      <c r="E25" s="4" t="str">
        <f t="shared" si="0"/>
        <v>8:24</v>
      </c>
      <c r="F25">
        <v>250</v>
      </c>
      <c r="G25" t="s">
        <v>45</v>
      </c>
      <c r="H25" s="2" t="s">
        <v>46</v>
      </c>
      <c r="I25">
        <f>COUNTIF($B$2:B25, "&lt;&gt;")</f>
        <v>24</v>
      </c>
      <c r="J25">
        <f>F25/B25</f>
        <v>30.303030303030305</v>
      </c>
    </row>
    <row r="26" spans="1:10" x14ac:dyDescent="0.3">
      <c r="A26" s="1">
        <v>44068</v>
      </c>
      <c r="B26" s="5">
        <v>3.01</v>
      </c>
      <c r="C26">
        <f>25*60+8</f>
        <v>1508</v>
      </c>
      <c r="D26">
        <f>8*60+20</f>
        <v>500</v>
      </c>
      <c r="E26" s="4" t="str">
        <f t="shared" si="0"/>
        <v>8:20</v>
      </c>
      <c r="F26">
        <v>139</v>
      </c>
      <c r="G26" t="s">
        <v>47</v>
      </c>
      <c r="H26" s="2" t="s">
        <v>48</v>
      </c>
      <c r="I26">
        <f>COUNTIF($B$2:B26, "&lt;&gt;")</f>
        <v>25</v>
      </c>
      <c r="J26">
        <f>F26/B26</f>
        <v>46.179401993355484</v>
      </c>
    </row>
    <row r="27" spans="1:10" x14ac:dyDescent="0.3">
      <c r="A27" s="1">
        <v>44069</v>
      </c>
      <c r="B27" s="5">
        <v>3.13</v>
      </c>
      <c r="C27">
        <f>22*60+52</f>
        <v>1372</v>
      </c>
      <c r="D27">
        <f>7*60+17</f>
        <v>437</v>
      </c>
      <c r="E27" s="4" t="str">
        <f t="shared" si="0"/>
        <v>7:17</v>
      </c>
      <c r="F27">
        <v>71</v>
      </c>
      <c r="G27" t="s">
        <v>17</v>
      </c>
      <c r="H27" s="2" t="s">
        <v>49</v>
      </c>
      <c r="I27">
        <f>COUNTIF($B$2:B27, "&lt;&gt;")</f>
        <v>26</v>
      </c>
      <c r="J27">
        <f>F27/B27</f>
        <v>22.683706070287542</v>
      </c>
    </row>
    <row r="28" spans="1:10" x14ac:dyDescent="0.3">
      <c r="A28" s="1">
        <v>44070</v>
      </c>
      <c r="B28" s="5">
        <v>3.12</v>
      </c>
      <c r="C28">
        <f>22*60+50</f>
        <v>1370</v>
      </c>
      <c r="D28">
        <f>7*60+19</f>
        <v>439</v>
      </c>
      <c r="E28" s="4" t="str">
        <f t="shared" si="0"/>
        <v>7:19</v>
      </c>
      <c r="F28">
        <v>71</v>
      </c>
      <c r="G28" t="s">
        <v>19</v>
      </c>
      <c r="H28" s="2" t="s">
        <v>50</v>
      </c>
      <c r="I28">
        <f>COUNTIF($B$2:B28, "&lt;&gt;")</f>
        <v>27</v>
      </c>
      <c r="J28">
        <f>F28/B28</f>
        <v>22.756410256410255</v>
      </c>
    </row>
    <row r="29" spans="1:10" x14ac:dyDescent="0.3">
      <c r="A29" s="1">
        <v>44071</v>
      </c>
      <c r="B29" s="5">
        <v>3.01</v>
      </c>
      <c r="C29">
        <f>24*60+51</f>
        <v>1491</v>
      </c>
      <c r="D29">
        <f>8*60+14</f>
        <v>494</v>
      </c>
      <c r="E29" s="4" t="str">
        <f t="shared" si="0"/>
        <v>8:14</v>
      </c>
      <c r="F29">
        <v>140</v>
      </c>
      <c r="G29" t="s">
        <v>47</v>
      </c>
      <c r="H29" s="2" t="s">
        <v>51</v>
      </c>
      <c r="I29">
        <f>COUNTIF($B$2:B29, "&lt;&gt;")</f>
        <v>28</v>
      </c>
      <c r="J29">
        <f>F29/B29</f>
        <v>46.511627906976749</v>
      </c>
    </row>
    <row r="30" spans="1:10" x14ac:dyDescent="0.3">
      <c r="A30" s="1">
        <v>44072</v>
      </c>
      <c r="B30" s="5">
        <v>3.11</v>
      </c>
      <c r="C30">
        <f>26*60+20</f>
        <v>1580</v>
      </c>
      <c r="D30">
        <f>8*60+27</f>
        <v>507</v>
      </c>
      <c r="E30" s="4" t="str">
        <f t="shared" si="0"/>
        <v>8:27</v>
      </c>
      <c r="F30">
        <v>171</v>
      </c>
      <c r="G30" t="s">
        <v>34</v>
      </c>
      <c r="H30" s="2" t="s">
        <v>52</v>
      </c>
      <c r="I30">
        <f>COUNTIF($B$2:B30, "&lt;&gt;")</f>
        <v>29</v>
      </c>
      <c r="J30">
        <f>F30/B30</f>
        <v>54.983922829581999</v>
      </c>
    </row>
    <row r="31" spans="1:10" x14ac:dyDescent="0.3">
      <c r="A31" s="1">
        <v>44073</v>
      </c>
      <c r="B31" s="5">
        <v>6.13</v>
      </c>
      <c r="C31">
        <f>54*60+24</f>
        <v>3264</v>
      </c>
      <c r="D31">
        <f>8*60+52</f>
        <v>532</v>
      </c>
      <c r="E31" s="4" t="str">
        <f t="shared" si="0"/>
        <v>8:52</v>
      </c>
      <c r="F31">
        <v>231</v>
      </c>
      <c r="G31" t="s">
        <v>53</v>
      </c>
      <c r="H31" s="2" t="s">
        <v>54</v>
      </c>
      <c r="I31">
        <f>COUNTIF($B$2:B31, "&lt;&gt;")</f>
        <v>30</v>
      </c>
      <c r="J31">
        <f>F31/B31</f>
        <v>37.68352365415987</v>
      </c>
    </row>
    <row r="32" spans="1:10" x14ac:dyDescent="0.3">
      <c r="A32" s="1">
        <v>44074</v>
      </c>
      <c r="B32" s="5">
        <v>5.0999999999999996</v>
      </c>
      <c r="C32">
        <f>37*60+35</f>
        <v>2255</v>
      </c>
      <c r="D32">
        <f>7*60+21</f>
        <v>441</v>
      </c>
      <c r="E32" s="4" t="str">
        <f t="shared" si="0"/>
        <v>7:21</v>
      </c>
      <c r="F32">
        <v>94</v>
      </c>
      <c r="G32" t="s">
        <v>13</v>
      </c>
      <c r="H32" s="2" t="s">
        <v>55</v>
      </c>
      <c r="I32">
        <f>COUNTIF($B$2:B32, "&lt;&gt;")</f>
        <v>31</v>
      </c>
      <c r="J32">
        <f>F32/B32</f>
        <v>18.43137254901961</v>
      </c>
    </row>
    <row r="33" spans="1:10" x14ac:dyDescent="0.3">
      <c r="A33" s="1">
        <v>44075</v>
      </c>
      <c r="B33" s="5">
        <v>3.01</v>
      </c>
      <c r="C33">
        <f>24*60+38</f>
        <v>1478</v>
      </c>
      <c r="D33">
        <f>8*60+10</f>
        <v>490</v>
      </c>
      <c r="E33" s="4" t="str">
        <f t="shared" si="0"/>
        <v>8:10</v>
      </c>
      <c r="F33">
        <v>0</v>
      </c>
      <c r="G33" t="s">
        <v>27</v>
      </c>
      <c r="H33" s="2" t="s">
        <v>56</v>
      </c>
      <c r="I33">
        <f>COUNTIF($B$2:B33, "&lt;&gt;")</f>
        <v>32</v>
      </c>
      <c r="J33">
        <f>F33/B33</f>
        <v>0</v>
      </c>
    </row>
    <row r="34" spans="1:10" x14ac:dyDescent="0.3">
      <c r="A34" s="1">
        <v>44076</v>
      </c>
      <c r="B34" s="5">
        <v>3.11</v>
      </c>
      <c r="C34">
        <f>23*60+4</f>
        <v>1384</v>
      </c>
      <c r="D34">
        <f>7*60+24</f>
        <v>444</v>
      </c>
      <c r="E34" s="4" t="str">
        <f t="shared" si="0"/>
        <v>7:24</v>
      </c>
      <c r="F34">
        <v>60</v>
      </c>
      <c r="G34" t="s">
        <v>17</v>
      </c>
      <c r="H34" s="2" t="s">
        <v>57</v>
      </c>
      <c r="I34">
        <f>COUNTIF($B$2:B34, "&lt;&gt;")</f>
        <v>33</v>
      </c>
      <c r="J34">
        <f>F34/B34</f>
        <v>19.292604501607716</v>
      </c>
    </row>
    <row r="35" spans="1:10" x14ac:dyDescent="0.3">
      <c r="A35" s="1">
        <v>44077</v>
      </c>
      <c r="B35" s="5">
        <v>3.01</v>
      </c>
      <c r="C35">
        <f>21*60+44</f>
        <v>1304</v>
      </c>
      <c r="D35">
        <f>7*60+13</f>
        <v>433</v>
      </c>
      <c r="E35" s="4" t="str">
        <f t="shared" si="0"/>
        <v>7:13</v>
      </c>
      <c r="F35">
        <v>71</v>
      </c>
      <c r="G35" t="s">
        <v>19</v>
      </c>
      <c r="H35" s="2" t="s">
        <v>58</v>
      </c>
      <c r="I35">
        <f>COUNTIF($B$2:B35, "&lt;&gt;")</f>
        <v>34</v>
      </c>
      <c r="J35">
        <f>F35/B35</f>
        <v>23.588039867109636</v>
      </c>
    </row>
    <row r="36" spans="1:10" x14ac:dyDescent="0.3">
      <c r="A36" s="1">
        <v>44078</v>
      </c>
      <c r="B36" s="5">
        <v>3.02</v>
      </c>
      <c r="C36">
        <f>24*60+47</f>
        <v>1487</v>
      </c>
      <c r="D36">
        <f>8*60+11</f>
        <v>491</v>
      </c>
      <c r="E36" s="4" t="str">
        <f t="shared" si="0"/>
        <v>8:11</v>
      </c>
      <c r="F36">
        <v>141</v>
      </c>
      <c r="G36" t="s">
        <v>47</v>
      </c>
      <c r="H36" s="2" t="s">
        <v>59</v>
      </c>
      <c r="I36">
        <f>COUNTIF($B$2:B36, "&lt;&gt;")</f>
        <v>35</v>
      </c>
      <c r="J36">
        <f>F36/B36</f>
        <v>46.688741721854306</v>
      </c>
    </row>
    <row r="37" spans="1:10" x14ac:dyDescent="0.3">
      <c r="A37" s="1">
        <v>44079</v>
      </c>
      <c r="B37" s="5">
        <v>6.62</v>
      </c>
      <c r="C37">
        <f>59*60+36</f>
        <v>3576</v>
      </c>
      <c r="D37">
        <f>9*60</f>
        <v>540</v>
      </c>
      <c r="E37" s="4" t="str">
        <f t="shared" si="0"/>
        <v>9:00</v>
      </c>
      <c r="F37">
        <v>79</v>
      </c>
      <c r="G37" t="s">
        <v>32</v>
      </c>
      <c r="H37" s="2" t="s">
        <v>60</v>
      </c>
      <c r="I37">
        <f>COUNTIF($B$2:B37, "&lt;&gt;")</f>
        <v>36</v>
      </c>
      <c r="J37">
        <f>F37/B37</f>
        <v>11.933534743202417</v>
      </c>
    </row>
    <row r="38" spans="1:10" x14ac:dyDescent="0.3">
      <c r="A38" s="1">
        <v>44080</v>
      </c>
      <c r="B38" s="5">
        <v>7.62</v>
      </c>
      <c r="C38">
        <f>1*3600+10*60+25</f>
        <v>4225</v>
      </c>
      <c r="D38">
        <f>9*60+14</f>
        <v>554</v>
      </c>
      <c r="E38" s="4" t="str">
        <f t="shared" si="0"/>
        <v>9:14</v>
      </c>
      <c r="F38">
        <v>250</v>
      </c>
      <c r="G38" t="s">
        <v>11</v>
      </c>
      <c r="H38" s="2" t="s">
        <v>61</v>
      </c>
      <c r="I38">
        <f>COUNTIF($B$2:B38, "&lt;&gt;")</f>
        <v>37</v>
      </c>
      <c r="J38">
        <f>F38/B38</f>
        <v>32.808398950131235</v>
      </c>
    </row>
    <row r="39" spans="1:10" x14ac:dyDescent="0.3">
      <c r="A39" s="1">
        <v>44081</v>
      </c>
      <c r="B39" s="5">
        <v>5.01</v>
      </c>
      <c r="C39">
        <f>40*60+40</f>
        <v>2440</v>
      </c>
      <c r="D39">
        <f>8*60+7</f>
        <v>487</v>
      </c>
      <c r="E39" s="4" t="str">
        <f t="shared" si="0"/>
        <v>8:07</v>
      </c>
      <c r="F39">
        <v>95</v>
      </c>
      <c r="G39" t="s">
        <v>13</v>
      </c>
      <c r="H39" s="2" t="s">
        <v>62</v>
      </c>
      <c r="I39">
        <f>COUNTIF($B$2:B39, "&lt;&gt;")</f>
        <v>38</v>
      </c>
      <c r="J39">
        <f>F39/B39</f>
        <v>18.962075848303392</v>
      </c>
    </row>
    <row r="40" spans="1:10" x14ac:dyDescent="0.3">
      <c r="A40" s="1">
        <v>44082</v>
      </c>
      <c r="B40" s="5">
        <v>3.01</v>
      </c>
      <c r="C40">
        <f>25*60+41</f>
        <v>1541</v>
      </c>
      <c r="D40">
        <f>8*60+32</f>
        <v>512</v>
      </c>
      <c r="E40" s="4" t="str">
        <f t="shared" si="0"/>
        <v>8:32</v>
      </c>
      <c r="F40">
        <v>7</v>
      </c>
      <c r="G40" t="s">
        <v>27</v>
      </c>
      <c r="H40" s="2" t="s">
        <v>63</v>
      </c>
      <c r="I40">
        <f>COUNTIF($B$2:B40, "&lt;&gt;")</f>
        <v>39</v>
      </c>
      <c r="J40">
        <f>F40/B40</f>
        <v>2.3255813953488373</v>
      </c>
    </row>
    <row r="41" spans="1:10" x14ac:dyDescent="0.3">
      <c r="A41" s="1">
        <v>44083</v>
      </c>
      <c r="B41" s="5">
        <v>3.11</v>
      </c>
      <c r="C41">
        <f>22*60+5</f>
        <v>1325</v>
      </c>
      <c r="D41">
        <f>7*60+6</f>
        <v>426</v>
      </c>
      <c r="E41" s="4" t="str">
        <f t="shared" si="0"/>
        <v>7:06</v>
      </c>
      <c r="F41">
        <v>61</v>
      </c>
      <c r="G41" t="s">
        <v>17</v>
      </c>
      <c r="H41" s="2" t="s">
        <v>64</v>
      </c>
      <c r="I41">
        <f>COUNTIF($B$2:B41, "&lt;&gt;")</f>
        <v>40</v>
      </c>
      <c r="J41">
        <f>F41/B41</f>
        <v>19.614147909967848</v>
      </c>
    </row>
    <row r="42" spans="1:10" x14ac:dyDescent="0.3">
      <c r="A42" s="1">
        <v>44084</v>
      </c>
      <c r="B42" s="5">
        <v>3.11</v>
      </c>
      <c r="C42">
        <f>21*60+26</f>
        <v>1286</v>
      </c>
      <c r="D42">
        <f>6*60+53</f>
        <v>413</v>
      </c>
      <c r="E42" s="4" t="str">
        <f t="shared" si="0"/>
        <v>6:53</v>
      </c>
      <c r="F42">
        <v>70</v>
      </c>
      <c r="G42" t="s">
        <v>19</v>
      </c>
      <c r="H42" s="2" t="s">
        <v>65</v>
      </c>
      <c r="I42">
        <f>COUNTIF($B$2:B42, "&lt;&gt;")</f>
        <v>41</v>
      </c>
      <c r="J42">
        <f>F42/B42</f>
        <v>22.508038585209004</v>
      </c>
    </row>
    <row r="43" spans="1:10" x14ac:dyDescent="0.3">
      <c r="A43" s="1">
        <v>44085</v>
      </c>
      <c r="B43" s="5">
        <v>9.08</v>
      </c>
      <c r="C43">
        <f>1*3600+22*60+29</f>
        <v>4949</v>
      </c>
      <c r="D43">
        <f>9*60+5</f>
        <v>545</v>
      </c>
      <c r="E43" s="4" t="str">
        <f t="shared" si="0"/>
        <v>9:05</v>
      </c>
      <c r="F43">
        <v>393</v>
      </c>
      <c r="G43" t="s">
        <v>66</v>
      </c>
      <c r="H43" s="2" t="s">
        <v>67</v>
      </c>
      <c r="I43">
        <f>COUNTIF($B$2:B43, "&lt;&gt;")</f>
        <v>42</v>
      </c>
      <c r="J43">
        <f>F43/B43</f>
        <v>43.281938325991192</v>
      </c>
    </row>
    <row r="44" spans="1:10" x14ac:dyDescent="0.3">
      <c r="A44" s="1">
        <v>44086</v>
      </c>
      <c r="B44" s="5">
        <v>6.22</v>
      </c>
      <c r="C44">
        <f>57*60+44</f>
        <v>3464</v>
      </c>
      <c r="D44">
        <f>9*60+17</f>
        <v>557</v>
      </c>
      <c r="E44" s="4" t="str">
        <f t="shared" si="0"/>
        <v>9:17</v>
      </c>
      <c r="F44">
        <v>160</v>
      </c>
      <c r="G44" t="s">
        <v>68</v>
      </c>
      <c r="H44" s="2" t="s">
        <v>69</v>
      </c>
      <c r="I44">
        <f>COUNTIF($B$2:B44, "&lt;&gt;")</f>
        <v>43</v>
      </c>
      <c r="J44">
        <f>F44/B44</f>
        <v>25.723472668810292</v>
      </c>
    </row>
    <row r="45" spans="1:10" x14ac:dyDescent="0.3">
      <c r="A45" s="1">
        <v>44087</v>
      </c>
      <c r="B45" s="5">
        <v>4.76</v>
      </c>
      <c r="C45">
        <f>36*60+36</f>
        <v>2196</v>
      </c>
      <c r="D45">
        <f>7*60+41</f>
        <v>461</v>
      </c>
      <c r="E45" s="4" t="str">
        <f t="shared" si="0"/>
        <v>7:41</v>
      </c>
      <c r="F45">
        <v>100</v>
      </c>
      <c r="G45" t="s">
        <v>70</v>
      </c>
      <c r="H45" s="2" t="s">
        <v>71</v>
      </c>
      <c r="I45">
        <f>COUNTIF($B$2:B45, "&lt;&gt;")</f>
        <v>44</v>
      </c>
      <c r="J45">
        <f>F45/B45</f>
        <v>21.008403361344538</v>
      </c>
    </row>
    <row r="46" spans="1:10" x14ac:dyDescent="0.3">
      <c r="A46" s="1">
        <v>44088</v>
      </c>
      <c r="B46" s="5">
        <v>14.18</v>
      </c>
      <c r="C46">
        <f>1*3600+56*60+13</f>
        <v>6973</v>
      </c>
      <c r="D46">
        <f>8*60+12</f>
        <v>492</v>
      </c>
      <c r="E46" s="4" t="str">
        <f t="shared" si="0"/>
        <v>8:12</v>
      </c>
      <c r="F46">
        <v>252</v>
      </c>
      <c r="G46" t="s">
        <v>13</v>
      </c>
      <c r="H46" s="2" t="s">
        <v>72</v>
      </c>
      <c r="I46">
        <f>COUNTIF($B$2:B46, "&lt;&gt;")</f>
        <v>45</v>
      </c>
      <c r="J46">
        <f>F46/B46</f>
        <v>17.77150916784203</v>
      </c>
    </row>
    <row r="47" spans="1:10" x14ac:dyDescent="0.3">
      <c r="A47" s="1">
        <v>44089</v>
      </c>
      <c r="B47" s="5">
        <v>3.11</v>
      </c>
      <c r="C47">
        <f>26*60+4</f>
        <v>1564</v>
      </c>
      <c r="D47">
        <f>8*60+22</f>
        <v>502</v>
      </c>
      <c r="E47" s="4" t="str">
        <f t="shared" si="0"/>
        <v>8:22</v>
      </c>
      <c r="F47">
        <v>141</v>
      </c>
      <c r="G47" t="s">
        <v>47</v>
      </c>
      <c r="H47" s="2" t="s">
        <v>73</v>
      </c>
      <c r="I47">
        <f>COUNTIF($B$2:B47, "&lt;&gt;")</f>
        <v>46</v>
      </c>
      <c r="J47">
        <f>F47/B47</f>
        <v>45.337620578778136</v>
      </c>
    </row>
    <row r="48" spans="1:10" x14ac:dyDescent="0.3">
      <c r="A48" s="1">
        <v>44090</v>
      </c>
      <c r="B48" s="5">
        <v>3.11</v>
      </c>
      <c r="C48">
        <f>22*60+41</f>
        <v>1361</v>
      </c>
      <c r="D48">
        <f>7*60+17</f>
        <v>437</v>
      </c>
      <c r="E48" s="4" t="str">
        <f t="shared" si="0"/>
        <v>7:17</v>
      </c>
      <c r="F48">
        <v>67</v>
      </c>
      <c r="G48" t="s">
        <v>17</v>
      </c>
      <c r="H48" s="2" t="s">
        <v>74</v>
      </c>
      <c r="I48">
        <f>COUNTIF($B$2:B48, "&lt;&gt;")</f>
        <v>47</v>
      </c>
      <c r="J48">
        <f>F48/B48</f>
        <v>21.54340836012862</v>
      </c>
    </row>
    <row r="49" spans="1:10" x14ac:dyDescent="0.3">
      <c r="A49" s="1">
        <v>44091</v>
      </c>
      <c r="B49" s="5">
        <v>3.11</v>
      </c>
      <c r="C49">
        <f>21*60+26</f>
        <v>1286</v>
      </c>
      <c r="D49">
        <f>6*60+53</f>
        <v>413</v>
      </c>
      <c r="E49" s="4" t="str">
        <f t="shared" si="0"/>
        <v>6:53</v>
      </c>
      <c r="F49">
        <v>71</v>
      </c>
      <c r="G49" t="s">
        <v>19</v>
      </c>
      <c r="H49" s="2" t="s">
        <v>75</v>
      </c>
      <c r="I49">
        <f>COUNTIF($B$2:B49, "&lt;&gt;")</f>
        <v>48</v>
      </c>
      <c r="J49">
        <f>F49/B49</f>
        <v>22.829581993569132</v>
      </c>
    </row>
    <row r="50" spans="1:10" x14ac:dyDescent="0.3">
      <c r="A50" s="1">
        <v>44092</v>
      </c>
      <c r="B50" s="5">
        <v>3.16</v>
      </c>
      <c r="C50">
        <f>26*60+17</f>
        <v>1577</v>
      </c>
      <c r="D50">
        <f>8*60+19</f>
        <v>499</v>
      </c>
      <c r="E50" s="4" t="str">
        <f t="shared" si="0"/>
        <v>8:19</v>
      </c>
      <c r="F50">
        <v>130</v>
      </c>
      <c r="G50" t="s">
        <v>76</v>
      </c>
      <c r="H50" s="2" t="s">
        <v>77</v>
      </c>
      <c r="I50">
        <f>COUNTIF($B$2:B50, "&lt;&gt;")</f>
        <v>49</v>
      </c>
      <c r="J50">
        <f>F50/B50</f>
        <v>41.139240506329109</v>
      </c>
    </row>
    <row r="51" spans="1:10" x14ac:dyDescent="0.3">
      <c r="A51" s="1">
        <v>44093</v>
      </c>
      <c r="B51" s="5">
        <v>6.22</v>
      </c>
      <c r="C51">
        <f>56*60+43</f>
        <v>3403</v>
      </c>
      <c r="D51">
        <f>9*60+6</f>
        <v>546</v>
      </c>
      <c r="E51" s="4" t="str">
        <f t="shared" si="0"/>
        <v>9:06</v>
      </c>
      <c r="F51">
        <v>143</v>
      </c>
      <c r="G51" t="s">
        <v>78</v>
      </c>
      <c r="H51" s="2" t="s">
        <v>79</v>
      </c>
      <c r="I51">
        <f>COUNTIF($B$2:B51, "&lt;&gt;")</f>
        <v>50</v>
      </c>
      <c r="J51">
        <f>F51/B51</f>
        <v>22.990353697749196</v>
      </c>
    </row>
    <row r="52" spans="1:10" x14ac:dyDescent="0.3">
      <c r="A52" s="1">
        <v>44094</v>
      </c>
      <c r="B52" s="5">
        <v>3.01</v>
      </c>
      <c r="C52">
        <f>27*60+23</f>
        <v>1643</v>
      </c>
      <c r="D52">
        <f>9*60+5</f>
        <v>545</v>
      </c>
      <c r="E52" s="4" t="str">
        <f t="shared" si="0"/>
        <v>9:05</v>
      </c>
      <c r="F52">
        <v>116</v>
      </c>
      <c r="G52" t="s">
        <v>76</v>
      </c>
      <c r="H52" s="2" t="s">
        <v>80</v>
      </c>
      <c r="I52">
        <f>COUNTIF($B$2:B52, "&lt;&gt;")</f>
        <v>51</v>
      </c>
      <c r="J52">
        <f>F52/B52</f>
        <v>38.538205980066451</v>
      </c>
    </row>
    <row r="53" spans="1:10" x14ac:dyDescent="0.3">
      <c r="A53" s="1">
        <v>44095</v>
      </c>
      <c r="B53" s="5">
        <v>5.01</v>
      </c>
      <c r="C53">
        <f>39*60+28</f>
        <v>2368</v>
      </c>
      <c r="D53">
        <f>7*60+52</f>
        <v>472</v>
      </c>
      <c r="E53" s="4" t="str">
        <f t="shared" si="0"/>
        <v>7:52</v>
      </c>
      <c r="F53">
        <v>95</v>
      </c>
      <c r="G53" t="s">
        <v>13</v>
      </c>
      <c r="H53" s="2" t="s">
        <v>81</v>
      </c>
      <c r="I53">
        <f>COUNTIF($B$2:B53, "&lt;&gt;")</f>
        <v>52</v>
      </c>
      <c r="J53">
        <f>F53/B53</f>
        <v>18.962075848303392</v>
      </c>
    </row>
    <row r="54" spans="1:10" x14ac:dyDescent="0.3">
      <c r="A54" s="1">
        <v>44096</v>
      </c>
      <c r="B54" s="5">
        <v>3.11</v>
      </c>
      <c r="C54">
        <f>21*60+22</f>
        <v>1282</v>
      </c>
      <c r="D54">
        <f>6*60+51</f>
        <v>411</v>
      </c>
      <c r="E54" s="4" t="str">
        <f t="shared" si="0"/>
        <v>6:51</v>
      </c>
      <c r="F54">
        <v>81</v>
      </c>
      <c r="G54" t="s">
        <v>15</v>
      </c>
      <c r="H54" s="2" t="s">
        <v>82</v>
      </c>
      <c r="I54">
        <f>COUNTIF($B$2:B54, "&lt;&gt;")</f>
        <v>53</v>
      </c>
      <c r="J54">
        <f>F54/B54</f>
        <v>26.04501607717042</v>
      </c>
    </row>
    <row r="55" spans="1:10" x14ac:dyDescent="0.3">
      <c r="A55" s="1">
        <v>44097</v>
      </c>
      <c r="B55" s="5">
        <v>3.11</v>
      </c>
      <c r="C55">
        <f>21*60+59</f>
        <v>1319</v>
      </c>
      <c r="D55">
        <f>7*60+3</f>
        <v>423</v>
      </c>
      <c r="E55" s="4" t="str">
        <f t="shared" si="0"/>
        <v>7:03</v>
      </c>
      <c r="F55">
        <v>61</v>
      </c>
      <c r="G55" t="s">
        <v>17</v>
      </c>
      <c r="H55" s="2" t="s">
        <v>83</v>
      </c>
      <c r="I55">
        <f>COUNTIF($B$2:B55, "&lt;&gt;")</f>
        <v>54</v>
      </c>
      <c r="J55">
        <f>F55/B55</f>
        <v>19.614147909967848</v>
      </c>
    </row>
    <row r="56" spans="1:10" x14ac:dyDescent="0.3">
      <c r="A56" s="1">
        <v>44098</v>
      </c>
      <c r="B56" s="5">
        <v>3.11</v>
      </c>
      <c r="C56">
        <f>20*60+54</f>
        <v>1254</v>
      </c>
      <c r="D56">
        <f>6*60+43</f>
        <v>403</v>
      </c>
      <c r="E56" s="4" t="str">
        <f t="shared" si="0"/>
        <v>6:43</v>
      </c>
      <c r="F56">
        <v>71</v>
      </c>
      <c r="G56" t="s">
        <v>19</v>
      </c>
      <c r="H56" s="2" t="s">
        <v>84</v>
      </c>
      <c r="I56">
        <f>COUNTIF($B$2:B56, "&lt;&gt;")</f>
        <v>55</v>
      </c>
      <c r="J56">
        <f>F56/B56</f>
        <v>22.829581993569132</v>
      </c>
    </row>
    <row r="57" spans="1:10" x14ac:dyDescent="0.3">
      <c r="A57" s="1">
        <v>44099</v>
      </c>
      <c r="B57" s="5">
        <v>3</v>
      </c>
      <c r="C57">
        <f>26*60+10</f>
        <v>1570</v>
      </c>
      <c r="D57">
        <f>8*60+42</f>
        <v>522</v>
      </c>
      <c r="E57" s="4" t="str">
        <f t="shared" si="0"/>
        <v>8:42</v>
      </c>
      <c r="F57">
        <v>127</v>
      </c>
      <c r="G57" t="s">
        <v>47</v>
      </c>
      <c r="H57" s="2" t="s">
        <v>85</v>
      </c>
      <c r="I57">
        <f>COUNTIF($B$2:B57, "&lt;&gt;")</f>
        <v>56</v>
      </c>
      <c r="J57">
        <f>F57/B57</f>
        <v>42.333333333333336</v>
      </c>
    </row>
    <row r="58" spans="1:10" x14ac:dyDescent="0.3">
      <c r="A58" s="1">
        <v>44100</v>
      </c>
      <c r="B58" s="5">
        <v>6.22</v>
      </c>
      <c r="C58">
        <f>51*60+35</f>
        <v>3095</v>
      </c>
      <c r="D58">
        <f>8*60+17</f>
        <v>497</v>
      </c>
      <c r="E58" s="4" t="str">
        <f t="shared" si="0"/>
        <v>8:17</v>
      </c>
      <c r="F58">
        <v>129</v>
      </c>
      <c r="G58" t="s">
        <v>41</v>
      </c>
      <c r="H58" s="2" t="s">
        <v>86</v>
      </c>
      <c r="I58">
        <f>COUNTIF($B$2:B58, "&lt;&gt;")</f>
        <v>57</v>
      </c>
      <c r="J58">
        <f>F58/B58</f>
        <v>20.739549839228296</v>
      </c>
    </row>
    <row r="59" spans="1:10" x14ac:dyDescent="0.3">
      <c r="A59" s="1">
        <v>44101</v>
      </c>
      <c r="B59" s="5">
        <v>8.01</v>
      </c>
      <c r="C59">
        <f>1*3600+9*60+26</f>
        <v>4166</v>
      </c>
      <c r="D59">
        <f>8*60+40</f>
        <v>520</v>
      </c>
      <c r="E59" s="4" t="str">
        <f t="shared" si="0"/>
        <v>8:40</v>
      </c>
      <c r="F59">
        <v>107</v>
      </c>
      <c r="G59" t="s">
        <v>68</v>
      </c>
      <c r="H59" s="2" t="s">
        <v>87</v>
      </c>
      <c r="I59">
        <f>COUNTIF($B$2:B59, "&lt;&gt;")</f>
        <v>58</v>
      </c>
      <c r="J59">
        <f>F59/B59</f>
        <v>13.358302122347066</v>
      </c>
    </row>
    <row r="60" spans="1:10" x14ac:dyDescent="0.3">
      <c r="A60" s="1">
        <v>44102</v>
      </c>
      <c r="B60" s="5">
        <v>5.01</v>
      </c>
      <c r="C60">
        <f>38*60+15</f>
        <v>2295</v>
      </c>
      <c r="D60">
        <f>7*60+37</f>
        <v>457</v>
      </c>
      <c r="E60" s="4" t="str">
        <f t="shared" si="0"/>
        <v>7:37</v>
      </c>
      <c r="F60">
        <v>95</v>
      </c>
      <c r="G60" t="s">
        <v>13</v>
      </c>
      <c r="H60" s="2" t="s">
        <v>88</v>
      </c>
      <c r="I60">
        <f>COUNTIF($B$2:B60, "&lt;&gt;")</f>
        <v>59</v>
      </c>
      <c r="J60">
        <f>F60/B60</f>
        <v>18.962075848303392</v>
      </c>
    </row>
    <row r="61" spans="1:10" x14ac:dyDescent="0.3">
      <c r="A61" s="1">
        <v>44103</v>
      </c>
      <c r="B61" s="5">
        <v>3.12</v>
      </c>
      <c r="C61">
        <f>22*60+5</f>
        <v>1325</v>
      </c>
      <c r="D61">
        <f>7*60+4</f>
        <v>424</v>
      </c>
      <c r="E61" s="4" t="str">
        <f t="shared" si="0"/>
        <v>7:04</v>
      </c>
      <c r="F61">
        <v>79</v>
      </c>
      <c r="G61" t="s">
        <v>15</v>
      </c>
      <c r="H61" s="2" t="s">
        <v>89</v>
      </c>
      <c r="I61">
        <f>COUNTIF($B$2:B61, "&lt;&gt;")</f>
        <v>60</v>
      </c>
      <c r="J61">
        <f>F61/B61</f>
        <v>25.320512820512821</v>
      </c>
    </row>
    <row r="62" spans="1:10" x14ac:dyDescent="0.3">
      <c r="A62" s="1">
        <v>44104</v>
      </c>
      <c r="B62" s="5">
        <v>4.28</v>
      </c>
      <c r="C62">
        <f>30*60+37</f>
        <v>1837</v>
      </c>
      <c r="D62">
        <f>7*60+9</f>
        <v>429</v>
      </c>
      <c r="E62" s="4" t="str">
        <f t="shared" si="0"/>
        <v>7:09</v>
      </c>
      <c r="F62">
        <v>188</v>
      </c>
      <c r="G62" t="s">
        <v>90</v>
      </c>
      <c r="H62" s="2" t="s">
        <v>91</v>
      </c>
      <c r="I62">
        <f>COUNTIF($B$2:B62, "&lt;&gt;")</f>
        <v>61</v>
      </c>
      <c r="J62">
        <f>F62/B62</f>
        <v>43.925233644859809</v>
      </c>
    </row>
    <row r="63" spans="1:10" x14ac:dyDescent="0.3">
      <c r="A63" s="1">
        <v>44105</v>
      </c>
      <c r="B63" s="5">
        <v>3.11</v>
      </c>
      <c r="C63">
        <f>21*60+58</f>
        <v>1318</v>
      </c>
      <c r="D63">
        <f>7*60+3</f>
        <v>423</v>
      </c>
      <c r="E63" s="4" t="str">
        <f t="shared" si="0"/>
        <v>7:03</v>
      </c>
      <c r="F63">
        <v>72</v>
      </c>
      <c r="G63" t="s">
        <v>19</v>
      </c>
      <c r="H63" s="2" t="s">
        <v>92</v>
      </c>
      <c r="I63">
        <f>COUNTIF($B$2:B63, "&lt;&gt;")</f>
        <v>62</v>
      </c>
      <c r="J63">
        <f>F63/B63</f>
        <v>23.15112540192926</v>
      </c>
    </row>
    <row r="64" spans="1:10" x14ac:dyDescent="0.3">
      <c r="A64" s="1">
        <v>44106</v>
      </c>
      <c r="B64" s="5">
        <v>3.12</v>
      </c>
      <c r="C64">
        <f>25*60+52</f>
        <v>1552</v>
      </c>
      <c r="D64">
        <f>8*60+17</f>
        <v>497</v>
      </c>
      <c r="E64" s="4" t="str">
        <f t="shared" si="0"/>
        <v>8:17</v>
      </c>
      <c r="F64">
        <v>118</v>
      </c>
      <c r="G64" t="s">
        <v>76</v>
      </c>
      <c r="H64" s="2" t="s">
        <v>93</v>
      </c>
      <c r="I64">
        <f>COUNTIF($B$2:B64, "&lt;&gt;")</f>
        <v>63</v>
      </c>
      <c r="J64">
        <f>F64/B64</f>
        <v>37.820512820512818</v>
      </c>
    </row>
    <row r="65" spans="1:10" x14ac:dyDescent="0.3">
      <c r="A65" s="1">
        <v>44107</v>
      </c>
      <c r="B65" s="5">
        <v>6.56</v>
      </c>
      <c r="C65">
        <f>58*60+3</f>
        <v>3483</v>
      </c>
      <c r="D65">
        <f>8*60+50</f>
        <v>530</v>
      </c>
      <c r="E65" s="4" t="str">
        <f t="shared" si="0"/>
        <v>8:50</v>
      </c>
      <c r="F65">
        <v>0</v>
      </c>
      <c r="G65" t="s">
        <v>32</v>
      </c>
      <c r="H65" s="2" t="s">
        <v>94</v>
      </c>
      <c r="I65">
        <f>COUNTIF($B$2:B65, "&lt;&gt;")</f>
        <v>64</v>
      </c>
      <c r="J65">
        <f>F65/B65</f>
        <v>0</v>
      </c>
    </row>
    <row r="66" spans="1:10" x14ac:dyDescent="0.3">
      <c r="A66" s="1">
        <v>44108</v>
      </c>
      <c r="B66" s="5">
        <v>10.93</v>
      </c>
      <c r="C66">
        <f>1*3600+35*60+46</f>
        <v>5746</v>
      </c>
      <c r="D66">
        <f>8*60+45</f>
        <v>525</v>
      </c>
      <c r="E66" s="4" t="str">
        <f t="shared" si="0"/>
        <v>8:45</v>
      </c>
      <c r="F66">
        <v>246</v>
      </c>
      <c r="G66" t="s">
        <v>95</v>
      </c>
      <c r="H66" s="2" t="s">
        <v>96</v>
      </c>
      <c r="I66">
        <f>COUNTIF($B$2:B66, "&lt;&gt;")</f>
        <v>65</v>
      </c>
      <c r="J66">
        <f>F66/B66</f>
        <v>22.50686184812443</v>
      </c>
    </row>
    <row r="67" spans="1:10" x14ac:dyDescent="0.3">
      <c r="A67" s="1">
        <v>44109</v>
      </c>
      <c r="B67" s="5">
        <v>26.3</v>
      </c>
      <c r="C67">
        <f>4*3600+4*60+34</f>
        <v>14674</v>
      </c>
      <c r="D67">
        <f>9*60+18</f>
        <v>558</v>
      </c>
      <c r="E67" s="4" t="str">
        <f t="shared" ref="E67:E130" si="1">CONCATENATE(ROUNDDOWN(D67/60,0),":",IF(ROUNDDOWN(D67-ROUNDDOWN(D67/60,0)*60,0)&gt;=10,ROUNDDOWN(D67-ROUNDDOWN(D67/60,0)*60,3),CONCATENATE("0",ROUNDDOWN(D67-ROUNDDOWN(D67/60,0)*60,3))))</f>
        <v>9:18</v>
      </c>
      <c r="F67">
        <v>580</v>
      </c>
      <c r="G67" t="s">
        <v>45</v>
      </c>
      <c r="H67" s="2" t="s">
        <v>97</v>
      </c>
      <c r="I67">
        <f>COUNTIF($B$2:B67, "&lt;&gt;")</f>
        <v>66</v>
      </c>
      <c r="J67">
        <f>F67/B67</f>
        <v>22.053231939163499</v>
      </c>
    </row>
    <row r="68" spans="1:10" x14ac:dyDescent="0.3">
      <c r="A68" s="1">
        <v>44110</v>
      </c>
      <c r="B68" s="5">
        <v>3.91</v>
      </c>
      <c r="C68">
        <f>25*60+54</f>
        <v>1554</v>
      </c>
      <c r="D68">
        <f>6*60+37</f>
        <v>397</v>
      </c>
      <c r="E68" s="4" t="str">
        <f t="shared" si="1"/>
        <v>6:37</v>
      </c>
      <c r="F68">
        <v>0</v>
      </c>
      <c r="G68" t="s">
        <v>98</v>
      </c>
      <c r="H68" s="2" t="s">
        <v>99</v>
      </c>
      <c r="I68">
        <f>COUNTIF($B$2:B68, "&lt;&gt;")</f>
        <v>67</v>
      </c>
      <c r="J68">
        <f>F68/B68</f>
        <v>0</v>
      </c>
    </row>
    <row r="69" spans="1:10" x14ac:dyDescent="0.3">
      <c r="A69" s="1">
        <v>44111</v>
      </c>
      <c r="B69" s="5">
        <v>4.1900000000000004</v>
      </c>
      <c r="C69">
        <f>31*60+33</f>
        <v>1893</v>
      </c>
      <c r="D69">
        <f>7*60+31</f>
        <v>451</v>
      </c>
      <c r="E69" s="4" t="str">
        <f t="shared" si="1"/>
        <v>7:31</v>
      </c>
      <c r="F69">
        <v>179</v>
      </c>
      <c r="G69" t="s">
        <v>90</v>
      </c>
      <c r="H69" s="2" t="s">
        <v>100</v>
      </c>
      <c r="I69">
        <f>COUNTIF($B$2:B69, "&lt;&gt;")</f>
        <v>68</v>
      </c>
      <c r="J69">
        <f>F69/B69</f>
        <v>42.720763723150355</v>
      </c>
    </row>
    <row r="70" spans="1:10" x14ac:dyDescent="0.3">
      <c r="A70" s="1">
        <v>44112</v>
      </c>
      <c r="B70" s="5">
        <v>4.01</v>
      </c>
      <c r="C70">
        <f>30*60+44</f>
        <v>1844</v>
      </c>
      <c r="D70">
        <f>7*60+39</f>
        <v>459</v>
      </c>
      <c r="E70" s="4" t="str">
        <f t="shared" si="1"/>
        <v>7:39</v>
      </c>
      <c r="F70">
        <v>113</v>
      </c>
      <c r="G70" t="s">
        <v>101</v>
      </c>
      <c r="H70" s="2" t="s">
        <v>102</v>
      </c>
      <c r="I70">
        <f>COUNTIF($B$2:B70, "&lt;&gt;")</f>
        <v>69</v>
      </c>
      <c r="J70">
        <f>F70/B70</f>
        <v>28.179551122194514</v>
      </c>
    </row>
    <row r="71" spans="1:10" x14ac:dyDescent="0.3">
      <c r="A71" s="1">
        <v>44113</v>
      </c>
      <c r="B71" s="5">
        <v>3.02</v>
      </c>
      <c r="C71">
        <f>28*60+50</f>
        <v>1730</v>
      </c>
      <c r="D71">
        <f>9*60+31</f>
        <v>571</v>
      </c>
      <c r="E71" s="4" t="str">
        <f t="shared" si="1"/>
        <v>9:31</v>
      </c>
      <c r="F71">
        <v>151</v>
      </c>
      <c r="G71" t="s">
        <v>47</v>
      </c>
      <c r="H71" s="2" t="s">
        <v>103</v>
      </c>
      <c r="I71">
        <f>COUNTIF($B$2:B71, "&lt;&gt;")</f>
        <v>70</v>
      </c>
      <c r="J71">
        <f>F71/B71</f>
        <v>50</v>
      </c>
    </row>
    <row r="72" spans="1:10" x14ac:dyDescent="0.3">
      <c r="A72" s="1">
        <v>44114</v>
      </c>
      <c r="B72" s="5">
        <v>3.24</v>
      </c>
      <c r="C72">
        <f>28*60+50</f>
        <v>1730</v>
      </c>
      <c r="D72">
        <f>8*60+53</f>
        <v>533</v>
      </c>
      <c r="E72" s="4" t="str">
        <f t="shared" si="1"/>
        <v>8:53</v>
      </c>
      <c r="F72">
        <v>210</v>
      </c>
      <c r="G72" t="s">
        <v>104</v>
      </c>
      <c r="H72" s="2" t="s">
        <v>105</v>
      </c>
      <c r="I72">
        <f>COUNTIF($B$2:B72, "&lt;&gt;")</f>
        <v>71</v>
      </c>
      <c r="J72">
        <f>F72/B72</f>
        <v>64.81481481481481</v>
      </c>
    </row>
    <row r="73" spans="1:10" x14ac:dyDescent="0.3">
      <c r="A73" s="1">
        <v>44115</v>
      </c>
      <c r="B73" s="5">
        <v>3.02</v>
      </c>
      <c r="C73">
        <f>25*60+21</f>
        <v>1521</v>
      </c>
      <c r="D73">
        <f>8*60+23</f>
        <v>503</v>
      </c>
      <c r="E73" s="4" t="str">
        <f t="shared" si="1"/>
        <v>8:23</v>
      </c>
      <c r="F73">
        <v>89</v>
      </c>
      <c r="G73" t="s">
        <v>106</v>
      </c>
      <c r="H73" s="2" t="s">
        <v>107</v>
      </c>
      <c r="I73">
        <f>COUNTIF($B$2:B73, "&lt;&gt;")</f>
        <v>72</v>
      </c>
      <c r="J73">
        <f>F73/B73</f>
        <v>29.47019867549669</v>
      </c>
    </row>
    <row r="74" spans="1:10" x14ac:dyDescent="0.3">
      <c r="A74" s="1">
        <v>44116</v>
      </c>
      <c r="B74" s="5">
        <v>3.04</v>
      </c>
      <c r="C74">
        <f>26*60+5</f>
        <v>1565</v>
      </c>
      <c r="D74">
        <f>8*60+35</f>
        <v>515</v>
      </c>
      <c r="E74" s="4" t="str">
        <f t="shared" si="1"/>
        <v>8:35</v>
      </c>
      <c r="F74">
        <v>128</v>
      </c>
      <c r="G74" t="s">
        <v>76</v>
      </c>
      <c r="H74" s="2" t="s">
        <v>108</v>
      </c>
      <c r="I74">
        <f>COUNTIF($B$2:B74, "&lt;&gt;")</f>
        <v>73</v>
      </c>
      <c r="J74">
        <f>F74/B74</f>
        <v>42.10526315789474</v>
      </c>
    </row>
    <row r="75" spans="1:10" x14ac:dyDescent="0.3">
      <c r="A75" s="1">
        <v>44117</v>
      </c>
      <c r="B75" s="5">
        <v>3.51</v>
      </c>
      <c r="C75">
        <f>24*60+17</f>
        <v>1457</v>
      </c>
      <c r="D75">
        <f>6*60+55</f>
        <v>415</v>
      </c>
      <c r="E75" s="4" t="str">
        <f t="shared" si="1"/>
        <v>6:55</v>
      </c>
      <c r="F75">
        <v>115</v>
      </c>
      <c r="G75" t="s">
        <v>109</v>
      </c>
      <c r="H75" s="2" t="s">
        <v>110</v>
      </c>
      <c r="I75">
        <f>COUNTIF($B$2:B75, "&lt;&gt;")</f>
        <v>74</v>
      </c>
      <c r="J75">
        <f>F75/B75</f>
        <v>32.763532763532766</v>
      </c>
    </row>
    <row r="76" spans="1:10" x14ac:dyDescent="0.3">
      <c r="A76" s="1">
        <v>44118</v>
      </c>
      <c r="B76" s="5">
        <v>4.1100000000000003</v>
      </c>
      <c r="C76">
        <f>29*60+49</f>
        <v>1789</v>
      </c>
      <c r="D76">
        <f>7*60+15</f>
        <v>435</v>
      </c>
      <c r="E76" s="4" t="str">
        <f t="shared" si="1"/>
        <v>7:15</v>
      </c>
      <c r="F76">
        <v>179</v>
      </c>
      <c r="G76" t="s">
        <v>90</v>
      </c>
      <c r="H76" s="2" t="s">
        <v>111</v>
      </c>
      <c r="I76">
        <f>COUNTIF($B$2:B76, "&lt;&gt;")</f>
        <v>75</v>
      </c>
      <c r="J76">
        <f>F76/B76</f>
        <v>43.552311435523109</v>
      </c>
    </row>
    <row r="77" spans="1:10" x14ac:dyDescent="0.3">
      <c r="A77" s="1">
        <v>44119</v>
      </c>
      <c r="B77" s="5">
        <v>4.01</v>
      </c>
      <c r="C77">
        <f>29*60</f>
        <v>1740</v>
      </c>
      <c r="D77">
        <f>7*60+15</f>
        <v>435</v>
      </c>
      <c r="E77" s="4" t="str">
        <f t="shared" si="1"/>
        <v>7:15</v>
      </c>
      <c r="F77">
        <v>113</v>
      </c>
      <c r="G77" t="s">
        <v>101</v>
      </c>
      <c r="H77" s="2" t="s">
        <v>112</v>
      </c>
      <c r="I77">
        <f>COUNTIF($B$2:B77, "&lt;&gt;")</f>
        <v>76</v>
      </c>
      <c r="J77">
        <f>F77/B77</f>
        <v>28.179551122194514</v>
      </c>
    </row>
    <row r="78" spans="1:10" x14ac:dyDescent="0.3">
      <c r="A78" s="1">
        <v>44120</v>
      </c>
      <c r="B78" s="5">
        <v>10.02</v>
      </c>
      <c r="C78">
        <f>1*3600+13*60+13</f>
        <v>4393</v>
      </c>
      <c r="D78">
        <f>7*60+18</f>
        <v>438</v>
      </c>
      <c r="E78" s="4" t="str">
        <f t="shared" si="1"/>
        <v>7:18</v>
      </c>
      <c r="F78">
        <v>187</v>
      </c>
      <c r="G78" t="s">
        <v>13</v>
      </c>
      <c r="H78" s="2" t="s">
        <v>113</v>
      </c>
      <c r="I78">
        <f>COUNTIF($B$2:B78, "&lt;&gt;")</f>
        <v>77</v>
      </c>
      <c r="J78">
        <f>F78/B78</f>
        <v>18.662674650698605</v>
      </c>
    </row>
    <row r="79" spans="1:10" x14ac:dyDescent="0.3">
      <c r="A79" s="1">
        <v>44121</v>
      </c>
      <c r="B79" s="5">
        <v>3.39</v>
      </c>
      <c r="C79">
        <f>28*60+23</f>
        <v>1703</v>
      </c>
      <c r="D79">
        <f>8*60+21</f>
        <v>501</v>
      </c>
      <c r="E79" s="4" t="str">
        <f t="shared" si="1"/>
        <v>8:21</v>
      </c>
      <c r="F79">
        <v>95</v>
      </c>
      <c r="G79" t="s">
        <v>68</v>
      </c>
      <c r="H79" s="2" t="s">
        <v>114</v>
      </c>
      <c r="I79">
        <f>COUNTIF($B$2:B79, "&lt;&gt;")</f>
        <v>78</v>
      </c>
      <c r="J79">
        <f>F79/B79</f>
        <v>28.023598820058996</v>
      </c>
    </row>
    <row r="80" spans="1:10" x14ac:dyDescent="0.3">
      <c r="A80" s="1">
        <v>44122</v>
      </c>
      <c r="B80" s="5">
        <v>9.3800000000000008</v>
      </c>
      <c r="C80">
        <f>1*3600+21*60+21</f>
        <v>4881</v>
      </c>
      <c r="D80">
        <f>8*60+40</f>
        <v>520</v>
      </c>
      <c r="E80" s="4" t="str">
        <f t="shared" si="1"/>
        <v>8:40</v>
      </c>
      <c r="F80">
        <v>149</v>
      </c>
      <c r="G80" t="s">
        <v>95</v>
      </c>
      <c r="H80" s="2" t="s">
        <v>115</v>
      </c>
      <c r="I80">
        <f>COUNTIF($B$2:B80, "&lt;&gt;")</f>
        <v>79</v>
      </c>
      <c r="J80">
        <f>F80/B80</f>
        <v>15.884861407249465</v>
      </c>
    </row>
    <row r="81" spans="1:10" x14ac:dyDescent="0.3">
      <c r="A81" s="1">
        <v>44123</v>
      </c>
      <c r="B81" s="5">
        <v>6.05</v>
      </c>
      <c r="C81">
        <f>47*60+47</f>
        <v>2867</v>
      </c>
      <c r="D81">
        <f>7*60+53</f>
        <v>473</v>
      </c>
      <c r="E81" s="4" t="str">
        <f t="shared" si="1"/>
        <v>7:53</v>
      </c>
      <c r="F81">
        <v>131</v>
      </c>
      <c r="G81" t="s">
        <v>45</v>
      </c>
      <c r="H81" s="2" t="s">
        <v>116</v>
      </c>
      <c r="I81">
        <f>COUNTIF($B$2:B81, "&lt;&gt;")</f>
        <v>80</v>
      </c>
      <c r="J81">
        <f>F81/B81</f>
        <v>21.652892561983471</v>
      </c>
    </row>
    <row r="82" spans="1:10" x14ac:dyDescent="0.3">
      <c r="A82" s="1">
        <v>44124</v>
      </c>
      <c r="B82" s="5">
        <v>3.64</v>
      </c>
      <c r="C82">
        <f>25*60+44</f>
        <v>1544</v>
      </c>
      <c r="D82">
        <f>7*60+3</f>
        <v>423</v>
      </c>
      <c r="E82" s="4" t="str">
        <f t="shared" si="1"/>
        <v>7:03</v>
      </c>
      <c r="F82">
        <v>116</v>
      </c>
      <c r="G82" t="s">
        <v>109</v>
      </c>
      <c r="H82" s="2" t="s">
        <v>117</v>
      </c>
      <c r="I82">
        <f>COUNTIF($B$2:B82, "&lt;&gt;")</f>
        <v>81</v>
      </c>
      <c r="J82">
        <f>F82/B82</f>
        <v>31.868131868131869</v>
      </c>
    </row>
    <row r="83" spans="1:10" x14ac:dyDescent="0.3">
      <c r="A83" s="1">
        <v>44125</v>
      </c>
      <c r="B83" s="5">
        <v>4.22</v>
      </c>
      <c r="C83">
        <f>30*60+59</f>
        <v>1859</v>
      </c>
      <c r="D83">
        <f>7*60+20</f>
        <v>440</v>
      </c>
      <c r="E83" s="4" t="str">
        <f t="shared" si="1"/>
        <v>7:20</v>
      </c>
      <c r="F83">
        <v>180</v>
      </c>
      <c r="G83" t="s">
        <v>90</v>
      </c>
      <c r="H83" s="2" t="s">
        <v>118</v>
      </c>
      <c r="I83">
        <f>COUNTIF($B$2:B83, "&lt;&gt;")</f>
        <v>82</v>
      </c>
      <c r="J83">
        <f>F83/B83</f>
        <v>42.654028436018962</v>
      </c>
    </row>
    <row r="84" spans="1:10" x14ac:dyDescent="0.3">
      <c r="A84" s="1">
        <v>44126</v>
      </c>
      <c r="B84" s="5">
        <v>4.0199999999999996</v>
      </c>
      <c r="C84">
        <f>27*60+42</f>
        <v>1662</v>
      </c>
      <c r="D84">
        <f>6*60+53</f>
        <v>413</v>
      </c>
      <c r="E84" s="4" t="str">
        <f t="shared" si="1"/>
        <v>6:53</v>
      </c>
      <c r="F84">
        <v>115</v>
      </c>
      <c r="G84" t="s">
        <v>101</v>
      </c>
      <c r="H84" s="2" t="s">
        <v>119</v>
      </c>
      <c r="I84">
        <f>COUNTIF($B$2:B84, "&lt;&gt;")</f>
        <v>83</v>
      </c>
      <c r="J84">
        <f>F84/B84</f>
        <v>28.606965174129357</v>
      </c>
    </row>
    <row r="85" spans="1:10" x14ac:dyDescent="0.3">
      <c r="A85" s="1">
        <v>44127</v>
      </c>
      <c r="B85" s="5">
        <v>3.11</v>
      </c>
      <c r="C85">
        <f>25*60+31</f>
        <v>1531</v>
      </c>
      <c r="D85">
        <f>8*60+12</f>
        <v>492</v>
      </c>
      <c r="E85" s="4" t="str">
        <f t="shared" si="1"/>
        <v>8:12</v>
      </c>
      <c r="F85">
        <v>107</v>
      </c>
      <c r="G85" t="s">
        <v>76</v>
      </c>
      <c r="H85" s="2" t="s">
        <v>120</v>
      </c>
      <c r="I85">
        <f>COUNTIF($B$2:B85, "&lt;&gt;")</f>
        <v>84</v>
      </c>
      <c r="J85">
        <f>F85/B85</f>
        <v>34.40514469453376</v>
      </c>
    </row>
    <row r="86" spans="1:10" x14ac:dyDescent="0.3">
      <c r="A86" s="1">
        <v>44128</v>
      </c>
      <c r="B86" s="5">
        <v>6.02</v>
      </c>
      <c r="C86">
        <f>50*60+30</f>
        <v>3030</v>
      </c>
      <c r="D86">
        <f>8*60+23</f>
        <v>503</v>
      </c>
      <c r="E86" s="4" t="str">
        <f t="shared" si="1"/>
        <v>8:23</v>
      </c>
      <c r="F86">
        <v>134</v>
      </c>
      <c r="G86" t="s">
        <v>41</v>
      </c>
      <c r="H86" s="2" t="s">
        <v>121</v>
      </c>
      <c r="I86">
        <f>COUNTIF($B$2:B86, "&lt;&gt;")</f>
        <v>85</v>
      </c>
      <c r="J86">
        <f>F86/B86</f>
        <v>22.259136212624586</v>
      </c>
    </row>
    <row r="87" spans="1:10" x14ac:dyDescent="0.3">
      <c r="A87" s="1">
        <v>44129</v>
      </c>
      <c r="B87" s="5">
        <v>3.13</v>
      </c>
      <c r="C87">
        <f>25*60+49</f>
        <v>1549</v>
      </c>
      <c r="D87">
        <f>8*60+14</f>
        <v>494</v>
      </c>
      <c r="E87" s="4" t="str">
        <f t="shared" si="1"/>
        <v>8:14</v>
      </c>
      <c r="F87">
        <v>108</v>
      </c>
      <c r="G87" t="s">
        <v>76</v>
      </c>
      <c r="H87" s="2" t="s">
        <v>122</v>
      </c>
      <c r="I87">
        <f>COUNTIF($B$2:B87, "&lt;&gt;")</f>
        <v>86</v>
      </c>
      <c r="J87">
        <f>F87/B87</f>
        <v>34.504792332268373</v>
      </c>
    </row>
    <row r="88" spans="1:10" x14ac:dyDescent="0.3">
      <c r="A88" s="1">
        <v>44130</v>
      </c>
      <c r="B88" s="5">
        <v>6.01</v>
      </c>
      <c r="C88">
        <f>45*60+45</f>
        <v>2745</v>
      </c>
      <c r="D88">
        <f>7*60+36</f>
        <v>456</v>
      </c>
      <c r="E88" s="4" t="str">
        <f t="shared" si="1"/>
        <v>7:36</v>
      </c>
      <c r="F88">
        <v>127</v>
      </c>
      <c r="G88" t="s">
        <v>45</v>
      </c>
      <c r="H88" s="2" t="s">
        <v>123</v>
      </c>
      <c r="I88">
        <f>COUNTIF($B$2:B88, "&lt;&gt;")</f>
        <v>87</v>
      </c>
      <c r="J88">
        <f>F88/B88</f>
        <v>21.131447587354408</v>
      </c>
    </row>
    <row r="89" spans="1:10" x14ac:dyDescent="0.3">
      <c r="A89" s="1">
        <v>44131</v>
      </c>
      <c r="B89" s="5">
        <v>3.63</v>
      </c>
      <c r="C89">
        <f>26*60+30</f>
        <v>1590</v>
      </c>
      <c r="D89">
        <f>7*60+18</f>
        <v>438</v>
      </c>
      <c r="E89" s="4" t="str">
        <f t="shared" si="1"/>
        <v>7:18</v>
      </c>
      <c r="F89">
        <v>113</v>
      </c>
      <c r="G89" t="s">
        <v>109</v>
      </c>
      <c r="H89" s="2" t="s">
        <v>124</v>
      </c>
      <c r="I89">
        <f>COUNTIF($B$2:B89, "&lt;&gt;")</f>
        <v>88</v>
      </c>
      <c r="J89">
        <f>F89/B89</f>
        <v>31.12947658402204</v>
      </c>
    </row>
    <row r="90" spans="1:10" x14ac:dyDescent="0.3">
      <c r="A90" s="1">
        <v>44132</v>
      </c>
      <c r="B90" s="5">
        <v>3.01</v>
      </c>
      <c r="C90">
        <f>26*60+21</f>
        <v>1581</v>
      </c>
      <c r="D90">
        <f>8*60+44</f>
        <v>524</v>
      </c>
      <c r="E90" s="4" t="str">
        <f t="shared" si="1"/>
        <v>8:44</v>
      </c>
      <c r="F90">
        <v>152</v>
      </c>
      <c r="G90" t="s">
        <v>47</v>
      </c>
      <c r="H90" s="2" t="s">
        <v>125</v>
      </c>
      <c r="I90">
        <f>COUNTIF($B$2:B90, "&lt;&gt;")</f>
        <v>89</v>
      </c>
      <c r="J90">
        <f>F90/B90</f>
        <v>50.498338870431894</v>
      </c>
    </row>
    <row r="91" spans="1:10" x14ac:dyDescent="0.3">
      <c r="A91" s="1">
        <v>44133</v>
      </c>
      <c r="B91" s="5">
        <v>4.0199999999999996</v>
      </c>
      <c r="C91">
        <f>30*60+56</f>
        <v>1856</v>
      </c>
      <c r="D91">
        <f>7*60+41</f>
        <v>461</v>
      </c>
      <c r="E91" s="4" t="str">
        <f t="shared" si="1"/>
        <v>7:41</v>
      </c>
      <c r="F91">
        <v>111</v>
      </c>
      <c r="G91" t="s">
        <v>101</v>
      </c>
      <c r="H91" s="2" t="s">
        <v>126</v>
      </c>
      <c r="I91">
        <f>COUNTIF($B$2:B91, "&lt;&gt;")</f>
        <v>90</v>
      </c>
      <c r="J91">
        <f>F91/B91</f>
        <v>27.611940298507466</v>
      </c>
    </row>
    <row r="92" spans="1:10" x14ac:dyDescent="0.3">
      <c r="A92" s="1">
        <v>44134</v>
      </c>
      <c r="B92" s="5">
        <v>3.04</v>
      </c>
      <c r="C92">
        <f>26*60+26</f>
        <v>1586</v>
      </c>
      <c r="D92">
        <f>8*60+40</f>
        <v>520</v>
      </c>
      <c r="E92" s="4" t="str">
        <f t="shared" si="1"/>
        <v>8:40</v>
      </c>
      <c r="F92">
        <v>142</v>
      </c>
      <c r="G92" t="s">
        <v>47</v>
      </c>
      <c r="H92" s="2" t="s">
        <v>127</v>
      </c>
      <c r="I92">
        <f>COUNTIF($B$2:B92, "&lt;&gt;")</f>
        <v>91</v>
      </c>
      <c r="J92">
        <f>F92/B92</f>
        <v>46.710526315789473</v>
      </c>
    </row>
    <row r="93" spans="1:10" x14ac:dyDescent="0.3">
      <c r="A93" s="1">
        <v>44135</v>
      </c>
      <c r="B93" s="5">
        <v>3.02</v>
      </c>
      <c r="C93">
        <f>26*60+36</f>
        <v>1596</v>
      </c>
      <c r="D93">
        <f>8*60+48</f>
        <v>528</v>
      </c>
      <c r="E93" s="4" t="str">
        <f t="shared" si="1"/>
        <v>8:48</v>
      </c>
      <c r="F93">
        <v>109</v>
      </c>
      <c r="G93" t="s">
        <v>76</v>
      </c>
      <c r="H93" s="2" t="s">
        <v>128</v>
      </c>
      <c r="I93">
        <f>COUNTIF($B$2:B93, "&lt;&gt;")</f>
        <v>92</v>
      </c>
      <c r="J93">
        <f>F93/B93</f>
        <v>36.092715231788077</v>
      </c>
    </row>
    <row r="94" spans="1:10" x14ac:dyDescent="0.3">
      <c r="A94" s="1">
        <v>44136</v>
      </c>
      <c r="B94" s="5">
        <v>8.01</v>
      </c>
      <c r="C94">
        <f>1*3600+2*60+6</f>
        <v>3726</v>
      </c>
      <c r="D94">
        <f>7*60+45</f>
        <v>465</v>
      </c>
      <c r="E94" s="4" t="str">
        <f t="shared" si="1"/>
        <v>7:45</v>
      </c>
      <c r="F94">
        <v>348</v>
      </c>
      <c r="G94" t="s">
        <v>24</v>
      </c>
      <c r="H94" s="2" t="s">
        <v>129</v>
      </c>
      <c r="I94">
        <f>COUNTIF($B$2:B94, "&lt;&gt;")</f>
        <v>93</v>
      </c>
      <c r="J94">
        <f>F94/B94</f>
        <v>43.445692883895134</v>
      </c>
    </row>
    <row r="95" spans="1:10" x14ac:dyDescent="0.3">
      <c r="A95" s="1">
        <v>44137</v>
      </c>
      <c r="B95" s="5">
        <v>8.01</v>
      </c>
      <c r="C95">
        <f>1*3600+8*60+3</f>
        <v>4083</v>
      </c>
      <c r="D95">
        <f>8*60+29</f>
        <v>509</v>
      </c>
      <c r="E95" s="4" t="str">
        <f t="shared" si="1"/>
        <v>8:29</v>
      </c>
      <c r="F95">
        <v>163</v>
      </c>
      <c r="G95" t="s">
        <v>45</v>
      </c>
      <c r="H95" s="2" t="s">
        <v>130</v>
      </c>
      <c r="I95">
        <f>COUNTIF($B$2:B95, "&lt;&gt;")</f>
        <v>94</v>
      </c>
      <c r="J95">
        <f>F95/B95</f>
        <v>20.349563046192259</v>
      </c>
    </row>
    <row r="96" spans="1:10" x14ac:dyDescent="0.3">
      <c r="A96" s="1">
        <v>44138</v>
      </c>
      <c r="B96" s="5">
        <v>3.6</v>
      </c>
      <c r="C96">
        <f>24*60+23</f>
        <v>1463</v>
      </c>
      <c r="D96">
        <f>6*60+46</f>
        <v>406</v>
      </c>
      <c r="E96" s="4" t="str">
        <f t="shared" si="1"/>
        <v>6:46</v>
      </c>
      <c r="F96">
        <v>114</v>
      </c>
      <c r="G96" t="s">
        <v>109</v>
      </c>
      <c r="H96" s="2" t="s">
        <v>131</v>
      </c>
      <c r="I96">
        <f>COUNTIF($B$2:B96, "&lt;&gt;")</f>
        <v>95</v>
      </c>
      <c r="J96">
        <f>F96/B96</f>
        <v>31.666666666666664</v>
      </c>
    </row>
    <row r="97" spans="1:10" x14ac:dyDescent="0.3">
      <c r="A97" s="1">
        <v>44139</v>
      </c>
      <c r="B97" s="5">
        <v>7.01</v>
      </c>
      <c r="C97">
        <f>51*60+24</f>
        <v>3084</v>
      </c>
      <c r="D97">
        <f>7*60+19</f>
        <v>439</v>
      </c>
      <c r="E97" s="4" t="str">
        <f t="shared" si="1"/>
        <v>7:19</v>
      </c>
      <c r="F97">
        <v>276</v>
      </c>
      <c r="G97" t="s">
        <v>132</v>
      </c>
      <c r="H97" s="2" t="s">
        <v>133</v>
      </c>
      <c r="I97">
        <f>COUNTIF($B$2:B97, "&lt;&gt;")</f>
        <v>96</v>
      </c>
      <c r="J97">
        <f>F97/B97</f>
        <v>39.372325249643367</v>
      </c>
    </row>
    <row r="98" spans="1:10" x14ac:dyDescent="0.3">
      <c r="A98" s="1">
        <v>44140</v>
      </c>
      <c r="B98" s="5">
        <v>8.01</v>
      </c>
      <c r="C98">
        <f>1*3600</f>
        <v>3600</v>
      </c>
      <c r="D98">
        <f>7*60+29</f>
        <v>449</v>
      </c>
      <c r="E98" s="4" t="str">
        <f t="shared" si="1"/>
        <v>7:29</v>
      </c>
      <c r="F98">
        <v>223</v>
      </c>
      <c r="G98" t="s">
        <v>101</v>
      </c>
      <c r="H98" s="2" t="s">
        <v>134</v>
      </c>
      <c r="I98">
        <f>COUNTIF($B$2:B98, "&lt;&gt;")</f>
        <v>97</v>
      </c>
      <c r="J98">
        <f>F98/B98</f>
        <v>27.840199750312109</v>
      </c>
    </row>
    <row r="99" spans="1:10" x14ac:dyDescent="0.3">
      <c r="A99" s="1">
        <v>44141</v>
      </c>
      <c r="B99" s="5">
        <v>20.010000000000002</v>
      </c>
      <c r="C99">
        <f>2*3600+51*60+19</f>
        <v>10279</v>
      </c>
      <c r="D99">
        <f>8*60+34</f>
        <v>514</v>
      </c>
      <c r="E99" s="4" t="str">
        <f t="shared" si="1"/>
        <v>8:34</v>
      </c>
      <c r="F99">
        <v>418</v>
      </c>
      <c r="G99" t="s">
        <v>13</v>
      </c>
      <c r="H99" s="2" t="s">
        <v>135</v>
      </c>
      <c r="I99">
        <f>COUNTIF($B$2:B99, "&lt;&gt;")</f>
        <v>98</v>
      </c>
      <c r="J99">
        <f>F99/B99</f>
        <v>20.889555222388804</v>
      </c>
    </row>
    <row r="100" spans="1:10" x14ac:dyDescent="0.3">
      <c r="A100" s="1">
        <v>44142</v>
      </c>
      <c r="B100" s="5">
        <v>7.67</v>
      </c>
      <c r="C100">
        <f>1*3600+9</f>
        <v>3609</v>
      </c>
      <c r="D100">
        <f>7*60+50</f>
        <v>470</v>
      </c>
      <c r="E100" s="4" t="str">
        <f t="shared" si="1"/>
        <v>7:50</v>
      </c>
      <c r="F100">
        <v>138</v>
      </c>
      <c r="G100" t="s">
        <v>68</v>
      </c>
      <c r="H100" s="2" t="s">
        <v>136</v>
      </c>
      <c r="I100">
        <f>COUNTIF($B$2:B100, "&lt;&gt;")</f>
        <v>99</v>
      </c>
      <c r="J100">
        <f>F100/B100</f>
        <v>17.992177314211212</v>
      </c>
    </row>
    <row r="101" spans="1:10" x14ac:dyDescent="0.3">
      <c r="A101" s="1">
        <v>44143</v>
      </c>
      <c r="B101" s="5">
        <v>8.0399999999999991</v>
      </c>
      <c r="C101">
        <f>1*3600+11*60+25</f>
        <v>4285</v>
      </c>
      <c r="D101">
        <f>8*60+53</f>
        <v>533</v>
      </c>
      <c r="E101" s="4" t="str">
        <f t="shared" si="1"/>
        <v>8:53</v>
      </c>
      <c r="F101">
        <v>113</v>
      </c>
      <c r="G101" t="s">
        <v>95</v>
      </c>
      <c r="H101" s="2" t="s">
        <v>137</v>
      </c>
      <c r="I101">
        <f>COUNTIF($B$2:B101, "&lt;&gt;")</f>
        <v>100</v>
      </c>
      <c r="J101">
        <f>F101/B101</f>
        <v>14.054726368159205</v>
      </c>
    </row>
    <row r="102" spans="1:10" x14ac:dyDescent="0.3">
      <c r="A102" s="1">
        <v>44144</v>
      </c>
      <c r="B102" s="5">
        <v>7.09</v>
      </c>
      <c r="C102">
        <f>1*3600+1*60+33</f>
        <v>3693</v>
      </c>
      <c r="D102">
        <f>8*60+41</f>
        <v>521</v>
      </c>
      <c r="E102" s="4" t="str">
        <f t="shared" si="1"/>
        <v>8:41</v>
      </c>
      <c r="F102">
        <v>142</v>
      </c>
      <c r="G102" t="s">
        <v>45</v>
      </c>
      <c r="H102" s="2" t="s">
        <v>138</v>
      </c>
      <c r="I102">
        <f>COUNTIF($B$2:B102, "&lt;&gt;")</f>
        <v>101</v>
      </c>
      <c r="J102">
        <f>F102/B102</f>
        <v>20.028208744710859</v>
      </c>
    </row>
    <row r="103" spans="1:10" x14ac:dyDescent="0.3">
      <c r="A103" s="1">
        <v>44145</v>
      </c>
      <c r="B103" s="5">
        <v>3.01</v>
      </c>
      <c r="C103">
        <f>31*60+58</f>
        <v>1918</v>
      </c>
      <c r="D103">
        <f>10*60+37</f>
        <v>637</v>
      </c>
      <c r="E103" s="4" t="str">
        <f t="shared" si="1"/>
        <v>10:37</v>
      </c>
      <c r="F103">
        <v>222</v>
      </c>
      <c r="G103" t="s">
        <v>139</v>
      </c>
      <c r="H103" s="2" t="s">
        <v>140</v>
      </c>
      <c r="I103">
        <f>COUNTIF($B$2:B103, "&lt;&gt;")</f>
        <v>102</v>
      </c>
      <c r="J103">
        <f>F103/B103</f>
        <v>73.754152823920265</v>
      </c>
    </row>
    <row r="104" spans="1:10" x14ac:dyDescent="0.3">
      <c r="A104" s="1">
        <v>44146</v>
      </c>
      <c r="B104" s="5">
        <v>3.03</v>
      </c>
      <c r="C104">
        <f>32*60+40</f>
        <v>1960</v>
      </c>
      <c r="D104">
        <f>10*60+46</f>
        <v>646</v>
      </c>
      <c r="E104" s="4" t="str">
        <f t="shared" si="1"/>
        <v>10:46</v>
      </c>
      <c r="F104">
        <v>129</v>
      </c>
      <c r="G104" t="s">
        <v>141</v>
      </c>
      <c r="H104" s="2" t="s">
        <v>142</v>
      </c>
      <c r="I104">
        <f>COUNTIF($B$2:B104, "&lt;&gt;")</f>
        <v>103</v>
      </c>
      <c r="J104">
        <f>F104/B104</f>
        <v>42.57425742574258</v>
      </c>
    </row>
    <row r="105" spans="1:10" x14ac:dyDescent="0.3">
      <c r="A105" s="1">
        <v>44147</v>
      </c>
      <c r="B105" s="5">
        <v>3.03</v>
      </c>
      <c r="C105">
        <f>32*60+51</f>
        <v>1971</v>
      </c>
      <c r="D105">
        <f>10*60+50</f>
        <v>650</v>
      </c>
      <c r="E105" s="4" t="str">
        <f t="shared" si="1"/>
        <v>10:50</v>
      </c>
      <c r="F105">
        <v>147</v>
      </c>
      <c r="G105" t="s">
        <v>139</v>
      </c>
      <c r="H105" s="2" t="s">
        <v>140</v>
      </c>
      <c r="I105">
        <f>COUNTIF($B$2:B105, "&lt;&gt;")</f>
        <v>104</v>
      </c>
      <c r="J105">
        <f>F105/B105</f>
        <v>48.514851485148519</v>
      </c>
    </row>
    <row r="106" spans="1:10" x14ac:dyDescent="0.3">
      <c r="A106" s="1">
        <v>44148</v>
      </c>
      <c r="B106" s="5">
        <v>3.12</v>
      </c>
      <c r="C106">
        <f>26*60+25</f>
        <v>1585</v>
      </c>
      <c r="D106">
        <f>8*60+28</f>
        <v>508</v>
      </c>
      <c r="E106" s="4" t="str">
        <f t="shared" si="1"/>
        <v>8:28</v>
      </c>
      <c r="F106">
        <v>108</v>
      </c>
      <c r="G106" t="s">
        <v>76</v>
      </c>
      <c r="H106" s="2" t="s">
        <v>143</v>
      </c>
      <c r="I106">
        <f>COUNTIF($B$2:B106, "&lt;&gt;")</f>
        <v>105</v>
      </c>
      <c r="J106">
        <f>F106/B106</f>
        <v>34.615384615384613</v>
      </c>
    </row>
    <row r="107" spans="1:10" x14ac:dyDescent="0.3">
      <c r="A107" s="1">
        <v>44149</v>
      </c>
      <c r="B107" s="5">
        <v>7.48</v>
      </c>
      <c r="C107">
        <f>58*60+9</f>
        <v>3489</v>
      </c>
      <c r="D107">
        <f>7*60+43</f>
        <v>463</v>
      </c>
      <c r="E107" s="4" t="str">
        <f t="shared" si="1"/>
        <v>7:43</v>
      </c>
      <c r="F107">
        <v>98</v>
      </c>
      <c r="G107" t="s">
        <v>68</v>
      </c>
      <c r="H107" s="2" t="s">
        <v>144</v>
      </c>
      <c r="I107">
        <f>COUNTIF($B$2:B107, "&lt;&gt;")</f>
        <v>106</v>
      </c>
      <c r="J107">
        <f>F107/B107</f>
        <v>13.101604278074866</v>
      </c>
    </row>
    <row r="108" spans="1:10" x14ac:dyDescent="0.3">
      <c r="A108" s="1">
        <v>44150</v>
      </c>
      <c r="B108" s="5">
        <v>3.12</v>
      </c>
      <c r="C108">
        <f>24*60+50</f>
        <v>1490</v>
      </c>
      <c r="D108">
        <f>7*60+57</f>
        <v>477</v>
      </c>
      <c r="E108" s="4" t="str">
        <f t="shared" si="1"/>
        <v>7:57</v>
      </c>
      <c r="F108">
        <v>108</v>
      </c>
      <c r="G108" t="s">
        <v>76</v>
      </c>
      <c r="H108" s="2" t="s">
        <v>145</v>
      </c>
      <c r="I108">
        <f>COUNTIF($B$2:B108, "&lt;&gt;")</f>
        <v>107</v>
      </c>
      <c r="J108">
        <f>F108/B108</f>
        <v>34.615384615384613</v>
      </c>
    </row>
    <row r="109" spans="1:10" x14ac:dyDescent="0.3">
      <c r="A109" s="1">
        <v>44151</v>
      </c>
      <c r="B109" s="5">
        <v>7.02</v>
      </c>
      <c r="C109">
        <f>57*60+27</f>
        <v>3447</v>
      </c>
      <c r="D109">
        <f>8*60+11</f>
        <v>491</v>
      </c>
      <c r="E109" s="4" t="str">
        <f t="shared" si="1"/>
        <v>8:11</v>
      </c>
      <c r="F109">
        <v>161</v>
      </c>
      <c r="G109" t="s">
        <v>45</v>
      </c>
      <c r="H109" s="2" t="s">
        <v>146</v>
      </c>
      <c r="I109">
        <f>COUNTIF($B$2:B109, "&lt;&gt;")</f>
        <v>108</v>
      </c>
      <c r="J109">
        <f>F109/B109</f>
        <v>22.934472934472936</v>
      </c>
    </row>
    <row r="110" spans="1:10" x14ac:dyDescent="0.3">
      <c r="A110" s="1">
        <v>44152</v>
      </c>
      <c r="B110" s="5">
        <v>3.61</v>
      </c>
      <c r="C110">
        <f>25*60+25</f>
        <v>1525</v>
      </c>
      <c r="D110">
        <f>7*60+2</f>
        <v>422</v>
      </c>
      <c r="E110" s="4" t="str">
        <f t="shared" si="1"/>
        <v>7:02</v>
      </c>
      <c r="F110">
        <v>114</v>
      </c>
      <c r="G110" t="s">
        <v>109</v>
      </c>
      <c r="H110" s="2" t="s">
        <v>147</v>
      </c>
      <c r="I110">
        <f>COUNTIF($B$2:B110, "&lt;&gt;")</f>
        <v>109</v>
      </c>
      <c r="J110">
        <f>F110/B110</f>
        <v>31.578947368421055</v>
      </c>
    </row>
    <row r="111" spans="1:10" x14ac:dyDescent="0.3">
      <c r="A111" s="1">
        <v>44153</v>
      </c>
      <c r="B111" s="5">
        <v>7.02</v>
      </c>
      <c r="C111">
        <f>53*60+26</f>
        <v>3206</v>
      </c>
      <c r="D111">
        <f>7*60+36</f>
        <v>456</v>
      </c>
      <c r="E111" s="4" t="str">
        <f t="shared" si="1"/>
        <v>7:36</v>
      </c>
      <c r="F111">
        <v>278</v>
      </c>
      <c r="G111" t="s">
        <v>132</v>
      </c>
      <c r="H111" s="2" t="s">
        <v>148</v>
      </c>
      <c r="I111">
        <f>COUNTIF($B$2:B111, "&lt;&gt;")</f>
        <v>110</v>
      </c>
      <c r="J111">
        <f>F111/B111</f>
        <v>39.6011396011396</v>
      </c>
    </row>
    <row r="112" spans="1:10" x14ac:dyDescent="0.3">
      <c r="A112" s="1">
        <v>44154</v>
      </c>
      <c r="B112" s="5">
        <v>4.01</v>
      </c>
      <c r="C112">
        <f>30*60+36</f>
        <v>1836</v>
      </c>
      <c r="D112">
        <f>7*60+37</f>
        <v>457</v>
      </c>
      <c r="E112" s="4" t="str">
        <f t="shared" si="1"/>
        <v>7:37</v>
      </c>
      <c r="F112">
        <v>81</v>
      </c>
      <c r="G112" t="s">
        <v>149</v>
      </c>
      <c r="H112" s="2" t="s">
        <v>150</v>
      </c>
      <c r="I112">
        <f>COUNTIF($B$2:B112, "&lt;&gt;")</f>
        <v>111</v>
      </c>
      <c r="J112">
        <f>F112/B112</f>
        <v>20.199501246882793</v>
      </c>
    </row>
    <row r="113" spans="1:10" x14ac:dyDescent="0.3">
      <c r="A113" s="1">
        <v>44155</v>
      </c>
      <c r="B113" s="5">
        <v>3.03</v>
      </c>
      <c r="C113">
        <f>26*60+20</f>
        <v>1580</v>
      </c>
      <c r="D113">
        <f>8*60+41</f>
        <v>521</v>
      </c>
      <c r="E113" s="4" t="str">
        <f t="shared" si="1"/>
        <v>8:41</v>
      </c>
      <c r="F113">
        <v>146</v>
      </c>
      <c r="G113" t="s">
        <v>47</v>
      </c>
      <c r="H113" s="2" t="s">
        <v>151</v>
      </c>
      <c r="I113">
        <f>COUNTIF($B$2:B113, "&lt;&gt;")</f>
        <v>112</v>
      </c>
      <c r="J113">
        <f>F113/B113</f>
        <v>48.18481848184819</v>
      </c>
    </row>
    <row r="114" spans="1:10" x14ac:dyDescent="0.3">
      <c r="A114" s="1">
        <v>44156</v>
      </c>
      <c r="B114" s="5">
        <v>8.56</v>
      </c>
      <c r="C114">
        <f>1*3600+7*60+22</f>
        <v>4042</v>
      </c>
      <c r="D114">
        <f>7*60+52</f>
        <v>472</v>
      </c>
      <c r="E114" s="4" t="str">
        <f t="shared" si="1"/>
        <v>7:52</v>
      </c>
      <c r="F114">
        <v>168</v>
      </c>
      <c r="G114" t="s">
        <v>152</v>
      </c>
      <c r="H114" s="2" t="s">
        <v>153</v>
      </c>
      <c r="I114">
        <f>COUNTIF($B$2:B114, "&lt;&gt;")</f>
        <v>113</v>
      </c>
      <c r="J114">
        <f>F114/B114</f>
        <v>19.626168224299064</v>
      </c>
    </row>
    <row r="115" spans="1:10" x14ac:dyDescent="0.3">
      <c r="A115" s="1">
        <v>44157</v>
      </c>
      <c r="B115" s="5">
        <v>10.06</v>
      </c>
      <c r="C115">
        <f>1*3600+27*60+37</f>
        <v>5257</v>
      </c>
      <c r="D115">
        <f>8*60+42</f>
        <v>522</v>
      </c>
      <c r="E115" s="4" t="str">
        <f t="shared" si="1"/>
        <v>8:42</v>
      </c>
      <c r="F115">
        <v>197</v>
      </c>
      <c r="G115" t="s">
        <v>95</v>
      </c>
      <c r="H115" s="2" t="s">
        <v>154</v>
      </c>
      <c r="I115">
        <f>COUNTIF($B$2:B115, "&lt;&gt;")</f>
        <v>114</v>
      </c>
      <c r="J115">
        <f>F115/B115</f>
        <v>19.582504970178924</v>
      </c>
    </row>
    <row r="116" spans="1:10" x14ac:dyDescent="0.3">
      <c r="A116" s="1">
        <v>44158</v>
      </c>
      <c r="B116" s="5">
        <v>7.06</v>
      </c>
      <c r="C116">
        <f>57*60+53</f>
        <v>3473</v>
      </c>
      <c r="D116">
        <f>8*60+12</f>
        <v>492</v>
      </c>
      <c r="E116" s="4" t="str">
        <f t="shared" si="1"/>
        <v>8:12</v>
      </c>
      <c r="F116">
        <v>141</v>
      </c>
      <c r="G116" t="s">
        <v>45</v>
      </c>
      <c r="H116" s="2" t="s">
        <v>155</v>
      </c>
      <c r="I116">
        <f>COUNTIF($B$2:B116, "&lt;&gt;")</f>
        <v>115</v>
      </c>
      <c r="J116">
        <f>F116/B116</f>
        <v>19.971671388101985</v>
      </c>
    </row>
    <row r="117" spans="1:10" x14ac:dyDescent="0.3">
      <c r="A117" s="1">
        <v>44159</v>
      </c>
      <c r="B117" s="5">
        <v>3.65</v>
      </c>
      <c r="C117">
        <f>25*60+48</f>
        <v>1548</v>
      </c>
      <c r="D117">
        <f>7*60+3</f>
        <v>423</v>
      </c>
      <c r="E117" s="4" t="str">
        <f t="shared" si="1"/>
        <v>7:03</v>
      </c>
      <c r="F117">
        <v>114</v>
      </c>
      <c r="G117" t="s">
        <v>109</v>
      </c>
      <c r="H117" s="2" t="s">
        <v>156</v>
      </c>
      <c r="I117">
        <f>COUNTIF($B$2:B117, "&lt;&gt;")</f>
        <v>116</v>
      </c>
      <c r="J117">
        <f>F117/B117</f>
        <v>31.232876712328768</v>
      </c>
    </row>
    <row r="118" spans="1:10" x14ac:dyDescent="0.3">
      <c r="A118" s="1">
        <v>44160</v>
      </c>
      <c r="B118" s="5">
        <v>7.01</v>
      </c>
      <c r="C118">
        <f>53*60+49</f>
        <v>3229</v>
      </c>
      <c r="D118">
        <f>7*60+40</f>
        <v>460</v>
      </c>
      <c r="E118" s="4" t="str">
        <f t="shared" si="1"/>
        <v>7:40</v>
      </c>
      <c r="F118">
        <v>277</v>
      </c>
      <c r="G118" t="s">
        <v>132</v>
      </c>
      <c r="H118" s="2" t="s">
        <v>157</v>
      </c>
      <c r="I118">
        <f>COUNTIF($B$2:B118, "&lt;&gt;")</f>
        <v>117</v>
      </c>
      <c r="J118">
        <f>F118/B118</f>
        <v>39.51497860199715</v>
      </c>
    </row>
    <row r="119" spans="1:10" x14ac:dyDescent="0.3">
      <c r="A119" s="1">
        <v>44161</v>
      </c>
      <c r="B119" s="5">
        <v>5.01</v>
      </c>
      <c r="C119">
        <f>39*60</f>
        <v>2340</v>
      </c>
      <c r="D119">
        <f>7*60+46</f>
        <v>466</v>
      </c>
      <c r="E119" s="4" t="str">
        <f t="shared" si="1"/>
        <v>7:46</v>
      </c>
      <c r="F119">
        <v>170</v>
      </c>
      <c r="G119" t="s">
        <v>158</v>
      </c>
      <c r="H119" s="2" t="s">
        <v>159</v>
      </c>
      <c r="I119">
        <f>COUNTIF($B$2:B119, "&lt;&gt;")</f>
        <v>118</v>
      </c>
      <c r="J119">
        <f>F119/B119</f>
        <v>33.932135728542917</v>
      </c>
    </row>
    <row r="120" spans="1:10" x14ac:dyDescent="0.3">
      <c r="A120" s="1">
        <v>44162</v>
      </c>
      <c r="B120" s="5">
        <v>12.02</v>
      </c>
      <c r="C120">
        <f>1*3600+45*60+51</f>
        <v>6351</v>
      </c>
      <c r="D120">
        <f>8*60+48</f>
        <v>528</v>
      </c>
      <c r="E120" s="4" t="str">
        <f t="shared" si="1"/>
        <v>8:48</v>
      </c>
      <c r="F120">
        <v>409</v>
      </c>
      <c r="G120" t="s">
        <v>160</v>
      </c>
      <c r="H120" s="2" t="s">
        <v>161</v>
      </c>
      <c r="I120">
        <f>COUNTIF($B$2:B120, "&lt;&gt;")</f>
        <v>119</v>
      </c>
      <c r="J120">
        <f>F120/B120</f>
        <v>34.026622296173045</v>
      </c>
    </row>
    <row r="121" spans="1:10" x14ac:dyDescent="0.3">
      <c r="A121" s="1">
        <v>44163</v>
      </c>
      <c r="B121" s="5">
        <v>5.46</v>
      </c>
      <c r="C121">
        <f>44*60+19</f>
        <v>2659</v>
      </c>
      <c r="D121">
        <f>8*60+7</f>
        <v>487</v>
      </c>
      <c r="E121" s="4" t="str">
        <f t="shared" si="1"/>
        <v>8:07</v>
      </c>
      <c r="F121">
        <v>117</v>
      </c>
      <c r="G121" t="s">
        <v>41</v>
      </c>
      <c r="H121" s="2" t="s">
        <v>162</v>
      </c>
      <c r="I121">
        <f>COUNTIF($B$2:B121, "&lt;&gt;")</f>
        <v>120</v>
      </c>
      <c r="J121">
        <f>F121/B121</f>
        <v>21.428571428571427</v>
      </c>
    </row>
    <row r="122" spans="1:10" x14ac:dyDescent="0.3">
      <c r="A122" s="1">
        <v>44164</v>
      </c>
      <c r="B122" s="5">
        <v>5.0199999999999996</v>
      </c>
      <c r="C122">
        <f>47*60+52</f>
        <v>2872</v>
      </c>
      <c r="D122">
        <f>9*60+32</f>
        <v>572</v>
      </c>
      <c r="E122" s="4" t="str">
        <f t="shared" si="1"/>
        <v>9:32</v>
      </c>
      <c r="F122">
        <v>241</v>
      </c>
      <c r="G122" t="s">
        <v>158</v>
      </c>
      <c r="H122" s="2" t="s">
        <v>163</v>
      </c>
      <c r="I122">
        <f>COUNTIF($B$2:B122, "&lt;&gt;")</f>
        <v>121</v>
      </c>
      <c r="J122">
        <f>F122/B122</f>
        <v>48.007968127490045</v>
      </c>
    </row>
    <row r="123" spans="1:10" x14ac:dyDescent="0.3">
      <c r="A123" s="1">
        <v>44165</v>
      </c>
      <c r="B123" s="5">
        <v>7.01</v>
      </c>
      <c r="C123">
        <f>54*60+52</f>
        <v>3292</v>
      </c>
      <c r="D123">
        <f>7*60+49</f>
        <v>469</v>
      </c>
      <c r="E123" s="4" t="str">
        <f t="shared" si="1"/>
        <v>7:49</v>
      </c>
      <c r="F123">
        <v>123</v>
      </c>
      <c r="G123" t="s">
        <v>164</v>
      </c>
      <c r="H123" s="2" t="s">
        <v>165</v>
      </c>
      <c r="I123">
        <f>COUNTIF($B$2:B123, "&lt;&gt;")</f>
        <v>122</v>
      </c>
      <c r="J123">
        <f>F123/B123</f>
        <v>17.546362339514978</v>
      </c>
    </row>
    <row r="124" spans="1:10" x14ac:dyDescent="0.3">
      <c r="A124" s="1">
        <v>44166</v>
      </c>
      <c r="B124" s="5">
        <v>3.64</v>
      </c>
      <c r="C124">
        <f>25*60+4</f>
        <v>1504</v>
      </c>
      <c r="D124">
        <f>6*60+53</f>
        <v>413</v>
      </c>
      <c r="E124" s="4" t="str">
        <f t="shared" si="1"/>
        <v>6:53</v>
      </c>
      <c r="F124">
        <v>112</v>
      </c>
      <c r="G124" t="s">
        <v>109</v>
      </c>
      <c r="H124" s="2" t="s">
        <v>166</v>
      </c>
      <c r="I124">
        <f>COUNTIF($B$2:B124, "&lt;&gt;")</f>
        <v>123</v>
      </c>
      <c r="J124">
        <f>F124/B124</f>
        <v>30.769230769230766</v>
      </c>
    </row>
    <row r="125" spans="1:10" x14ac:dyDescent="0.3">
      <c r="A125" s="1">
        <v>44167</v>
      </c>
      <c r="B125" s="5">
        <v>4.26</v>
      </c>
      <c r="C125">
        <f>32*60+8</f>
        <v>1928</v>
      </c>
      <c r="D125">
        <f>7*60+32</f>
        <v>452</v>
      </c>
      <c r="E125" s="4" t="str">
        <f t="shared" si="1"/>
        <v>7:32</v>
      </c>
      <c r="F125">
        <v>178</v>
      </c>
      <c r="G125" t="s">
        <v>90</v>
      </c>
      <c r="H125" s="2" t="s">
        <v>167</v>
      </c>
      <c r="I125">
        <f>COUNTIF($B$2:B125, "&lt;&gt;")</f>
        <v>124</v>
      </c>
      <c r="J125">
        <f>F125/B125</f>
        <v>41.784037558685448</v>
      </c>
    </row>
    <row r="126" spans="1:10" x14ac:dyDescent="0.3">
      <c r="A126" s="1">
        <v>44168</v>
      </c>
      <c r="B126" s="5">
        <v>4.01</v>
      </c>
      <c r="C126">
        <f>29*60+22</f>
        <v>1762</v>
      </c>
      <c r="D126">
        <f>7*60+18</f>
        <v>438</v>
      </c>
      <c r="E126" s="4" t="str">
        <f t="shared" si="1"/>
        <v>7:18</v>
      </c>
      <c r="F126">
        <v>111</v>
      </c>
      <c r="G126" t="s">
        <v>101</v>
      </c>
      <c r="H126" s="2" t="s">
        <v>168</v>
      </c>
      <c r="I126">
        <f>COUNTIF($B$2:B126, "&lt;&gt;")</f>
        <v>125</v>
      </c>
      <c r="J126">
        <f>F126/B126</f>
        <v>27.680798004987533</v>
      </c>
    </row>
    <row r="127" spans="1:10" x14ac:dyDescent="0.3">
      <c r="A127" s="1">
        <v>44169</v>
      </c>
      <c r="B127" s="5">
        <v>3.18</v>
      </c>
      <c r="C127">
        <f>26*60+36</f>
        <v>1596</v>
      </c>
      <c r="D127">
        <f>8*60+21</f>
        <v>501</v>
      </c>
      <c r="E127" s="4" t="str">
        <f t="shared" si="1"/>
        <v>8:21</v>
      </c>
      <c r="F127">
        <v>67</v>
      </c>
      <c r="G127" t="s">
        <v>169</v>
      </c>
      <c r="H127" s="2" t="s">
        <v>170</v>
      </c>
      <c r="I127">
        <f>COUNTIF($B$2:B127, "&lt;&gt;")</f>
        <v>126</v>
      </c>
      <c r="J127">
        <f>F127/B127</f>
        <v>21.069182389937104</v>
      </c>
    </row>
    <row r="128" spans="1:10" x14ac:dyDescent="0.3">
      <c r="A128" s="1">
        <v>44170</v>
      </c>
      <c r="B128" s="5">
        <v>6.01</v>
      </c>
      <c r="C128">
        <f>53*60+56</f>
        <v>3236</v>
      </c>
      <c r="D128">
        <f>8*60+58</f>
        <v>538</v>
      </c>
      <c r="E128" s="4" t="str">
        <f t="shared" si="1"/>
        <v>8:58</v>
      </c>
      <c r="F128">
        <v>131</v>
      </c>
      <c r="G128" t="s">
        <v>41</v>
      </c>
      <c r="H128" s="2" t="s">
        <v>171</v>
      </c>
      <c r="I128">
        <f>COUNTIF($B$2:B128, "&lt;&gt;")</f>
        <v>127</v>
      </c>
      <c r="J128">
        <f>F128/B128</f>
        <v>21.797004991680534</v>
      </c>
    </row>
    <row r="129" spans="1:10" x14ac:dyDescent="0.3">
      <c r="A129" s="1">
        <v>44171</v>
      </c>
      <c r="B129" s="5">
        <v>15.03</v>
      </c>
      <c r="C129">
        <f>2*3600+16*60+44</f>
        <v>8204</v>
      </c>
      <c r="D129">
        <f>9*60+6</f>
        <v>546</v>
      </c>
      <c r="E129" s="4" t="str">
        <f t="shared" si="1"/>
        <v>9:06</v>
      </c>
      <c r="F129">
        <v>315</v>
      </c>
      <c r="G129" t="s">
        <v>172</v>
      </c>
      <c r="H129" s="2" t="s">
        <v>173</v>
      </c>
      <c r="I129">
        <f>COUNTIF($B$2:B129, "&lt;&gt;")</f>
        <v>128</v>
      </c>
      <c r="J129">
        <f>F129/B129</f>
        <v>20.95808383233533</v>
      </c>
    </row>
    <row r="130" spans="1:10" x14ac:dyDescent="0.3">
      <c r="A130" s="1">
        <v>44172</v>
      </c>
      <c r="B130" s="5">
        <v>9</v>
      </c>
      <c r="C130">
        <f>1*3600+37*60+53</f>
        <v>5873</v>
      </c>
      <c r="D130">
        <f>10*60+52</f>
        <v>652</v>
      </c>
      <c r="E130" s="4" t="str">
        <f t="shared" si="1"/>
        <v>10:52</v>
      </c>
      <c r="F130">
        <v>161</v>
      </c>
      <c r="G130" t="s">
        <v>164</v>
      </c>
      <c r="H130" s="2" t="s">
        <v>174</v>
      </c>
      <c r="I130">
        <f>COUNTIF($B$2:B130, "&lt;&gt;")</f>
        <v>129</v>
      </c>
      <c r="J130">
        <f>F130/B130</f>
        <v>17.888888888888889</v>
      </c>
    </row>
    <row r="131" spans="1:10" x14ac:dyDescent="0.3">
      <c r="A131" s="1">
        <v>44173</v>
      </c>
      <c r="B131" s="5">
        <v>3.67</v>
      </c>
      <c r="C131">
        <f>25*60+54</f>
        <v>1554</v>
      </c>
      <c r="D131">
        <f>7*60+3</f>
        <v>423</v>
      </c>
      <c r="E131" s="4" t="str">
        <f t="shared" ref="E131:E194" si="2">CONCATENATE(ROUNDDOWN(D131/60,0),":",IF(ROUNDDOWN(D131-ROUNDDOWN(D131/60,0)*60,0)&gt;=10,ROUNDDOWN(D131-ROUNDDOWN(D131/60,0)*60,3),CONCATENATE("0",ROUNDDOWN(D131-ROUNDDOWN(D131/60,0)*60,3))))</f>
        <v>7:03</v>
      </c>
      <c r="F131">
        <v>113</v>
      </c>
      <c r="G131" t="s">
        <v>109</v>
      </c>
      <c r="H131" s="2" t="s">
        <v>175</v>
      </c>
      <c r="I131">
        <f>COUNTIF($B$2:B131, "&lt;&gt;")</f>
        <v>130</v>
      </c>
      <c r="J131">
        <f>F131/B131</f>
        <v>30.790190735694825</v>
      </c>
    </row>
    <row r="132" spans="1:10" x14ac:dyDescent="0.3">
      <c r="A132" s="1">
        <v>44174</v>
      </c>
      <c r="B132" s="5">
        <v>4.13</v>
      </c>
      <c r="C132">
        <f>30*60+36</f>
        <v>1836</v>
      </c>
      <c r="D132">
        <f>7*60+24</f>
        <v>444</v>
      </c>
      <c r="E132" s="4" t="str">
        <f t="shared" si="2"/>
        <v>7:24</v>
      </c>
      <c r="F132">
        <v>178</v>
      </c>
      <c r="G132" t="s">
        <v>90</v>
      </c>
      <c r="H132" s="2" t="s">
        <v>176</v>
      </c>
      <c r="I132">
        <f>COUNTIF($B$2:B132, "&lt;&gt;")</f>
        <v>131</v>
      </c>
      <c r="J132">
        <f>F132/B132</f>
        <v>43.099273607748188</v>
      </c>
    </row>
    <row r="133" spans="1:10" x14ac:dyDescent="0.3">
      <c r="A133" s="1">
        <v>44175</v>
      </c>
      <c r="B133" s="5">
        <v>8.01</v>
      </c>
      <c r="C133">
        <f>1*3600+60+16</f>
        <v>3676</v>
      </c>
      <c r="D133">
        <f>7*60+38</f>
        <v>458</v>
      </c>
      <c r="E133" s="4" t="str">
        <f t="shared" si="2"/>
        <v>7:38</v>
      </c>
      <c r="F133">
        <v>223</v>
      </c>
      <c r="G133" t="s">
        <v>101</v>
      </c>
      <c r="H133" s="2" t="s">
        <v>177</v>
      </c>
      <c r="I133">
        <f>COUNTIF($B$2:B133, "&lt;&gt;")</f>
        <v>132</v>
      </c>
      <c r="J133">
        <f>F133/B133</f>
        <v>27.840199750312109</v>
      </c>
    </row>
    <row r="134" spans="1:10" x14ac:dyDescent="0.3">
      <c r="A134" s="1">
        <v>44176</v>
      </c>
      <c r="B134" s="5">
        <v>8.02</v>
      </c>
      <c r="C134">
        <f>1*3600+12*60+42</f>
        <v>4362</v>
      </c>
      <c r="D134">
        <f>9*60+4</f>
        <v>544</v>
      </c>
      <c r="E134" s="4" t="str">
        <f t="shared" si="2"/>
        <v>9:04</v>
      </c>
      <c r="F134">
        <v>315</v>
      </c>
      <c r="G134" t="s">
        <v>76</v>
      </c>
      <c r="H134" s="2" t="s">
        <v>178</v>
      </c>
      <c r="I134">
        <f>COUNTIF($B$2:B134, "&lt;&gt;")</f>
        <v>133</v>
      </c>
      <c r="J134">
        <f>F134/B134</f>
        <v>39.276807980049874</v>
      </c>
    </row>
    <row r="135" spans="1:10" x14ac:dyDescent="0.3">
      <c r="A135" s="1">
        <v>44177</v>
      </c>
      <c r="B135" s="5">
        <v>6.03</v>
      </c>
      <c r="C135">
        <f>53*60+55</f>
        <v>3235</v>
      </c>
      <c r="D135">
        <f>8*60+56</f>
        <v>536</v>
      </c>
      <c r="E135" s="4" t="str">
        <f t="shared" si="2"/>
        <v>8:56</v>
      </c>
      <c r="F135">
        <v>196</v>
      </c>
      <c r="G135" t="s">
        <v>152</v>
      </c>
      <c r="H135" s="2" t="s">
        <v>179</v>
      </c>
      <c r="I135">
        <f>COUNTIF($B$2:B135, "&lt;&gt;")</f>
        <v>134</v>
      </c>
      <c r="J135">
        <f>F135/B135</f>
        <v>32.504145936981757</v>
      </c>
    </row>
    <row r="136" spans="1:10" x14ac:dyDescent="0.3">
      <c r="A136" s="1">
        <v>44178</v>
      </c>
      <c r="B136" s="5">
        <v>17</v>
      </c>
      <c r="C136">
        <f>2*3600+34*60+29</f>
        <v>9269</v>
      </c>
      <c r="D136">
        <f>9*60+5</f>
        <v>545</v>
      </c>
      <c r="E136" s="4" t="str">
        <f t="shared" si="2"/>
        <v>9:05</v>
      </c>
      <c r="F136">
        <v>372</v>
      </c>
      <c r="G136" t="s">
        <v>172</v>
      </c>
      <c r="H136" s="2" t="s">
        <v>180</v>
      </c>
      <c r="I136">
        <f>COUNTIF($B$2:B136, "&lt;&gt;")</f>
        <v>135</v>
      </c>
      <c r="J136">
        <f>F136/B136</f>
        <v>21.882352941176471</v>
      </c>
    </row>
    <row r="137" spans="1:10" x14ac:dyDescent="0.3">
      <c r="A137" s="1">
        <v>44179</v>
      </c>
      <c r="B137" s="5">
        <v>7.04</v>
      </c>
      <c r="C137">
        <f>59*60+40</f>
        <v>3580</v>
      </c>
      <c r="D137">
        <f>8*60+28</f>
        <v>508</v>
      </c>
      <c r="E137" s="4" t="str">
        <f t="shared" si="2"/>
        <v>8:28</v>
      </c>
      <c r="F137">
        <v>142</v>
      </c>
      <c r="G137" t="s">
        <v>45</v>
      </c>
      <c r="H137" s="2" t="s">
        <v>181</v>
      </c>
      <c r="I137">
        <f>COUNTIF($B$2:B137, "&lt;&gt;")</f>
        <v>136</v>
      </c>
      <c r="J137">
        <f>F137/B137</f>
        <v>20.170454545454547</v>
      </c>
    </row>
    <row r="138" spans="1:10" x14ac:dyDescent="0.3">
      <c r="A138" s="1">
        <v>44180</v>
      </c>
      <c r="B138" s="5">
        <v>3.64</v>
      </c>
      <c r="C138">
        <f>27*60+40</f>
        <v>1660</v>
      </c>
      <c r="D138">
        <f>7*60+35</f>
        <v>455</v>
      </c>
      <c r="E138" s="4" t="str">
        <f t="shared" si="2"/>
        <v>7:35</v>
      </c>
      <c r="F138">
        <v>114</v>
      </c>
      <c r="G138" t="s">
        <v>109</v>
      </c>
      <c r="H138" s="2" t="s">
        <v>182</v>
      </c>
      <c r="I138">
        <f>COUNTIF($B$2:B138, "&lt;&gt;")</f>
        <v>137</v>
      </c>
      <c r="J138">
        <f>F138/B138</f>
        <v>31.318681318681318</v>
      </c>
    </row>
    <row r="139" spans="1:10" x14ac:dyDescent="0.3">
      <c r="A139" s="1">
        <v>44181</v>
      </c>
      <c r="B139" s="5">
        <v>4.26</v>
      </c>
      <c r="C139">
        <f>34*60+33</f>
        <v>2073</v>
      </c>
      <c r="D139">
        <f>8*60+6</f>
        <v>486</v>
      </c>
      <c r="E139" s="4" t="str">
        <f t="shared" si="2"/>
        <v>8:06</v>
      </c>
      <c r="F139">
        <v>179</v>
      </c>
      <c r="G139" t="s">
        <v>90</v>
      </c>
      <c r="H139" s="2" t="s">
        <v>183</v>
      </c>
      <c r="I139">
        <f>COUNTIF($B$2:B139, "&lt;&gt;")</f>
        <v>138</v>
      </c>
      <c r="J139">
        <f>F139/B139</f>
        <v>42.018779342723008</v>
      </c>
    </row>
    <row r="140" spans="1:10" x14ac:dyDescent="0.3">
      <c r="A140" s="1">
        <v>44182</v>
      </c>
      <c r="B140" s="5">
        <v>4.01</v>
      </c>
      <c r="C140">
        <f>29*60+49</f>
        <v>1789</v>
      </c>
      <c r="D140">
        <f>7*60+25</f>
        <v>445</v>
      </c>
      <c r="E140" s="4" t="str">
        <f t="shared" si="2"/>
        <v>7:25</v>
      </c>
      <c r="F140">
        <v>111</v>
      </c>
      <c r="G140" t="s">
        <v>101</v>
      </c>
      <c r="H140" s="2" t="s">
        <v>184</v>
      </c>
      <c r="I140">
        <f>COUNTIF($B$2:B140, "&lt;&gt;")</f>
        <v>139</v>
      </c>
      <c r="J140">
        <f>F140/B140</f>
        <v>27.680798004987533</v>
      </c>
    </row>
    <row r="141" spans="1:10" x14ac:dyDescent="0.3">
      <c r="A141" s="1">
        <v>44183</v>
      </c>
      <c r="B141" s="5">
        <v>3.16</v>
      </c>
      <c r="C141">
        <f>28*60+25</f>
        <v>1705</v>
      </c>
      <c r="D141">
        <f>8*60+59</f>
        <v>539</v>
      </c>
      <c r="E141" s="4" t="str">
        <f t="shared" si="2"/>
        <v>8:59</v>
      </c>
      <c r="F141">
        <v>110</v>
      </c>
      <c r="G141" t="s">
        <v>76</v>
      </c>
      <c r="H141" s="2" t="s">
        <v>185</v>
      </c>
      <c r="I141">
        <f>COUNTIF($B$2:B141, "&lt;&gt;")</f>
        <v>140</v>
      </c>
      <c r="J141">
        <f>F141/B141</f>
        <v>34.810126582278478</v>
      </c>
    </row>
    <row r="142" spans="1:10" x14ac:dyDescent="0.3">
      <c r="A142" s="1">
        <v>44184</v>
      </c>
      <c r="B142" s="5">
        <v>6.09</v>
      </c>
      <c r="C142">
        <f>52*60+12</f>
        <v>3132</v>
      </c>
      <c r="D142">
        <f>8*60+34</f>
        <v>514</v>
      </c>
      <c r="E142" s="4" t="str">
        <f t="shared" si="2"/>
        <v>8:34</v>
      </c>
      <c r="F142">
        <v>454</v>
      </c>
      <c r="G142" t="s">
        <v>186</v>
      </c>
      <c r="H142" s="2" t="s">
        <v>187</v>
      </c>
      <c r="I142">
        <f>COUNTIF($B$2:B142, "&lt;&gt;")</f>
        <v>141</v>
      </c>
      <c r="J142">
        <f>F142/B142</f>
        <v>74.548440065681447</v>
      </c>
    </row>
    <row r="143" spans="1:10" x14ac:dyDescent="0.3">
      <c r="A143" s="1">
        <v>44185</v>
      </c>
      <c r="B143" s="5">
        <v>6.15</v>
      </c>
      <c r="C143">
        <f>55*60+59</f>
        <v>3359</v>
      </c>
      <c r="D143">
        <f>9*60+6</f>
        <v>546</v>
      </c>
      <c r="E143" s="4" t="str">
        <f t="shared" si="2"/>
        <v>9:06</v>
      </c>
      <c r="F143">
        <v>115</v>
      </c>
      <c r="G143" t="s">
        <v>188</v>
      </c>
      <c r="H143" s="2" t="s">
        <v>189</v>
      </c>
      <c r="I143">
        <f>COUNTIF($B$2:B143, "&lt;&gt;")</f>
        <v>142</v>
      </c>
      <c r="J143">
        <f>F143/B143</f>
        <v>18.699186991869919</v>
      </c>
    </row>
    <row r="144" spans="1:10" x14ac:dyDescent="0.3">
      <c r="A144" s="1">
        <v>44186</v>
      </c>
      <c r="B144" s="5">
        <v>7.04</v>
      </c>
      <c r="C144">
        <f>56*60+45</f>
        <v>3405</v>
      </c>
      <c r="D144">
        <f>8*60+3</f>
        <v>483</v>
      </c>
      <c r="E144" s="4" t="str">
        <f t="shared" si="2"/>
        <v>8:03</v>
      </c>
      <c r="F144">
        <v>143</v>
      </c>
      <c r="G144" t="s">
        <v>45</v>
      </c>
      <c r="H144" s="2" t="s">
        <v>190</v>
      </c>
      <c r="I144">
        <f>COUNTIF($B$2:B144, "&lt;&gt;")</f>
        <v>143</v>
      </c>
      <c r="J144">
        <f>F144/B144</f>
        <v>20.3125</v>
      </c>
    </row>
    <row r="145" spans="1:10" x14ac:dyDescent="0.3">
      <c r="A145" s="1">
        <v>44187</v>
      </c>
      <c r="B145" s="5">
        <v>3.66</v>
      </c>
      <c r="C145">
        <f>26*60+50</f>
        <v>1610</v>
      </c>
      <c r="D145">
        <f>7*60+19</f>
        <v>439</v>
      </c>
      <c r="E145" s="4" t="str">
        <f t="shared" si="2"/>
        <v>7:19</v>
      </c>
      <c r="F145">
        <v>113</v>
      </c>
      <c r="G145" t="s">
        <v>109</v>
      </c>
      <c r="H145" s="2" t="s">
        <v>191</v>
      </c>
      <c r="I145">
        <f>COUNTIF($B$2:B145, "&lt;&gt;")</f>
        <v>144</v>
      </c>
      <c r="J145">
        <f>F145/B145</f>
        <v>30.874316939890708</v>
      </c>
    </row>
    <row r="146" spans="1:10" x14ac:dyDescent="0.3">
      <c r="A146" s="1">
        <v>44188</v>
      </c>
      <c r="B146" s="5">
        <v>4.22</v>
      </c>
      <c r="C146">
        <f>32*60+7</f>
        <v>1927</v>
      </c>
      <c r="D146">
        <f>7*60+36</f>
        <v>456</v>
      </c>
      <c r="E146" s="4" t="str">
        <f t="shared" si="2"/>
        <v>7:36</v>
      </c>
      <c r="F146">
        <v>178</v>
      </c>
      <c r="G146" t="s">
        <v>90</v>
      </c>
      <c r="H146" s="2" t="s">
        <v>192</v>
      </c>
      <c r="I146">
        <f>COUNTIF($B$2:B146, "&lt;&gt;")</f>
        <v>145</v>
      </c>
      <c r="J146">
        <f>F146/B146</f>
        <v>42.18009478672986</v>
      </c>
    </row>
    <row r="147" spans="1:10" x14ac:dyDescent="0.3">
      <c r="A147" s="1">
        <v>44189</v>
      </c>
      <c r="B147" s="5">
        <v>3.32</v>
      </c>
      <c r="C147">
        <f>27*60+47</f>
        <v>1667</v>
      </c>
      <c r="D147">
        <f>8*60+21</f>
        <v>501</v>
      </c>
      <c r="E147" s="4" t="str">
        <f t="shared" si="2"/>
        <v>8:21</v>
      </c>
      <c r="F147">
        <v>117</v>
      </c>
      <c r="G147" t="s">
        <v>76</v>
      </c>
      <c r="H147" s="2" t="s">
        <v>193</v>
      </c>
      <c r="I147">
        <f>COUNTIF($B$2:B147, "&lt;&gt;")</f>
        <v>146</v>
      </c>
      <c r="J147">
        <f>F147/B147</f>
        <v>35.24096385542169</v>
      </c>
    </row>
    <row r="148" spans="1:10" x14ac:dyDescent="0.3">
      <c r="A148" s="1">
        <v>44190</v>
      </c>
      <c r="B148" s="5">
        <v>3.38</v>
      </c>
      <c r="C148">
        <f>30*60+2</f>
        <v>1802</v>
      </c>
      <c r="D148">
        <f>8*60+52</f>
        <v>532</v>
      </c>
      <c r="E148" s="4" t="str">
        <f t="shared" si="2"/>
        <v>8:52</v>
      </c>
      <c r="F148">
        <v>310</v>
      </c>
      <c r="G148" t="s">
        <v>194</v>
      </c>
      <c r="H148" s="2" t="s">
        <v>195</v>
      </c>
      <c r="I148">
        <f>COUNTIF($B$2:B148, "&lt;&gt;")</f>
        <v>147</v>
      </c>
      <c r="J148">
        <f>F148/B148</f>
        <v>91.715976331360949</v>
      </c>
    </row>
    <row r="149" spans="1:10" x14ac:dyDescent="0.3">
      <c r="A149" s="1">
        <v>44191</v>
      </c>
      <c r="B149" s="5">
        <v>6.01</v>
      </c>
      <c r="C149">
        <f>57*60+41</f>
        <v>3461</v>
      </c>
      <c r="D149">
        <f>9*60+35</f>
        <v>575</v>
      </c>
      <c r="E149" s="4" t="str">
        <f t="shared" si="2"/>
        <v>9:35</v>
      </c>
      <c r="F149">
        <v>130</v>
      </c>
      <c r="G149" t="s">
        <v>41</v>
      </c>
      <c r="H149" s="2" t="s">
        <v>196</v>
      </c>
      <c r="I149">
        <f>COUNTIF($B$2:B149, "&lt;&gt;")</f>
        <v>148</v>
      </c>
      <c r="J149">
        <f>F149/B149</f>
        <v>21.630615640599004</v>
      </c>
    </row>
    <row r="150" spans="1:10" x14ac:dyDescent="0.3">
      <c r="A150" s="1">
        <v>44192</v>
      </c>
      <c r="B150" s="5">
        <v>3.12</v>
      </c>
      <c r="C150">
        <f>23*60+37</f>
        <v>1417</v>
      </c>
      <c r="D150">
        <f>7*60+34</f>
        <v>454</v>
      </c>
      <c r="E150" s="4" t="str">
        <f t="shared" si="2"/>
        <v>7:34</v>
      </c>
      <c r="F150">
        <v>109</v>
      </c>
      <c r="G150" t="s">
        <v>76</v>
      </c>
      <c r="H150" s="2" t="s">
        <v>197</v>
      </c>
      <c r="I150">
        <f>COUNTIF($B$2:B150, "&lt;&gt;")</f>
        <v>149</v>
      </c>
      <c r="J150">
        <f>F150/B150</f>
        <v>34.935897435897438</v>
      </c>
    </row>
    <row r="151" spans="1:10" x14ac:dyDescent="0.3">
      <c r="A151" s="1">
        <v>44193</v>
      </c>
      <c r="B151" s="5">
        <v>3.02</v>
      </c>
      <c r="C151">
        <f>27*60+59</f>
        <v>1679</v>
      </c>
      <c r="D151">
        <f>9*60+15</f>
        <v>555</v>
      </c>
      <c r="E151" s="4" t="str">
        <f t="shared" si="2"/>
        <v>9:15</v>
      </c>
      <c r="F151">
        <v>98</v>
      </c>
      <c r="G151" t="s">
        <v>198</v>
      </c>
      <c r="H151" s="2" t="s">
        <v>199</v>
      </c>
      <c r="I151">
        <f>COUNTIF($B$2:B151, "&lt;&gt;")</f>
        <v>150</v>
      </c>
      <c r="J151">
        <f>F151/B151</f>
        <v>32.450331125827816</v>
      </c>
    </row>
    <row r="152" spans="1:10" x14ac:dyDescent="0.3">
      <c r="A152" s="1">
        <v>44194</v>
      </c>
      <c r="B152" s="5">
        <v>3.54</v>
      </c>
      <c r="C152">
        <f>25*60+4</f>
        <v>1504</v>
      </c>
      <c r="D152">
        <f>7*60+4</f>
        <v>424</v>
      </c>
      <c r="E152" s="4" t="str">
        <f t="shared" si="2"/>
        <v>7:04</v>
      </c>
      <c r="F152">
        <v>112</v>
      </c>
      <c r="G152" t="s">
        <v>109</v>
      </c>
      <c r="H152" s="2" t="s">
        <v>200</v>
      </c>
      <c r="I152">
        <f>COUNTIF($B$2:B152, "&lt;&gt;")</f>
        <v>151</v>
      </c>
      <c r="J152">
        <f>F152/B152</f>
        <v>31.638418079096045</v>
      </c>
    </row>
    <row r="153" spans="1:10" x14ac:dyDescent="0.3">
      <c r="A153" s="1">
        <v>44195</v>
      </c>
      <c r="B153" s="5">
        <v>6.02</v>
      </c>
      <c r="C153">
        <f>56*60+23</f>
        <v>3383</v>
      </c>
      <c r="D153">
        <f>9*60+22</f>
        <v>562</v>
      </c>
      <c r="E153" s="4" t="str">
        <f t="shared" si="2"/>
        <v>9:22</v>
      </c>
      <c r="F153">
        <v>268</v>
      </c>
      <c r="G153" t="s">
        <v>90</v>
      </c>
      <c r="H153" s="2" t="s">
        <v>201</v>
      </c>
      <c r="I153">
        <f>COUNTIF($B$2:B153, "&lt;&gt;")</f>
        <v>152</v>
      </c>
      <c r="J153">
        <f>F153/B153</f>
        <v>44.518272425249172</v>
      </c>
    </row>
    <row r="154" spans="1:10" x14ac:dyDescent="0.3">
      <c r="A154" s="1">
        <v>44196</v>
      </c>
      <c r="B154" s="5">
        <v>26.25</v>
      </c>
      <c r="C154">
        <f>3*3600+59*60+33</f>
        <v>14373</v>
      </c>
      <c r="D154">
        <f>9*60+7</f>
        <v>547</v>
      </c>
      <c r="E154" s="4" t="str">
        <f t="shared" si="2"/>
        <v>9:07</v>
      </c>
      <c r="F154">
        <v>346</v>
      </c>
      <c r="G154" t="s">
        <v>164</v>
      </c>
      <c r="H154" s="2" t="s">
        <v>202</v>
      </c>
      <c r="I154">
        <f>COUNTIF($B$2:B154, "&lt;&gt;")</f>
        <v>153</v>
      </c>
      <c r="J154">
        <f>F154/B154</f>
        <v>13.18095238095238</v>
      </c>
    </row>
    <row r="155" spans="1:10" x14ac:dyDescent="0.3">
      <c r="A155" s="1">
        <v>44197</v>
      </c>
      <c r="B155" s="5">
        <v>3.11</v>
      </c>
      <c r="C155">
        <f>28*60+45</f>
        <v>1725</v>
      </c>
      <c r="D155">
        <f>9*60+13</f>
        <v>553</v>
      </c>
      <c r="E155" s="4" t="str">
        <f t="shared" si="2"/>
        <v>9:13</v>
      </c>
      <c r="F155">
        <v>117</v>
      </c>
      <c r="G155" t="s">
        <v>76</v>
      </c>
      <c r="H155" s="2" t="s">
        <v>203</v>
      </c>
      <c r="I155">
        <f>COUNTIF($B$2:B155, "&lt;&gt;")</f>
        <v>154</v>
      </c>
      <c r="J155">
        <f>F155/B155</f>
        <v>37.620578778135048</v>
      </c>
    </row>
    <row r="156" spans="1:10" x14ac:dyDescent="0.3">
      <c r="A156" s="1">
        <v>44198</v>
      </c>
      <c r="B156" s="5">
        <v>5.16</v>
      </c>
      <c r="C156">
        <f>41*60+8</f>
        <v>2468</v>
      </c>
      <c r="D156">
        <f>7*60+58</f>
        <v>478</v>
      </c>
      <c r="E156" s="4" t="str">
        <f t="shared" si="2"/>
        <v>7:58</v>
      </c>
      <c r="F156">
        <v>180</v>
      </c>
      <c r="G156" t="s">
        <v>204</v>
      </c>
      <c r="H156" s="2" t="s">
        <v>205</v>
      </c>
      <c r="I156">
        <f>COUNTIF($B$2:B156, "&lt;&gt;")</f>
        <v>155</v>
      </c>
      <c r="J156">
        <f>F156/B156</f>
        <v>34.883720930232556</v>
      </c>
    </row>
    <row r="157" spans="1:10" x14ac:dyDescent="0.3">
      <c r="A157" s="1">
        <v>44199</v>
      </c>
      <c r="B157" s="5">
        <v>21.14</v>
      </c>
      <c r="C157">
        <f>3*3600+16*60+40</f>
        <v>11800</v>
      </c>
      <c r="D157">
        <f>9*60+18</f>
        <v>558</v>
      </c>
      <c r="E157" s="4" t="str">
        <f t="shared" si="2"/>
        <v>9:18</v>
      </c>
      <c r="F157">
        <v>554</v>
      </c>
      <c r="G157" t="s">
        <v>172</v>
      </c>
      <c r="H157" s="2" t="s">
        <v>206</v>
      </c>
      <c r="I157">
        <f>COUNTIF($B$2:B157, "&lt;&gt;")</f>
        <v>156</v>
      </c>
      <c r="J157">
        <f>F157/B157</f>
        <v>26.206244087038787</v>
      </c>
    </row>
    <row r="158" spans="1:10" x14ac:dyDescent="0.3">
      <c r="A158" s="1">
        <v>44200</v>
      </c>
      <c r="B158" s="5">
        <v>5.13</v>
      </c>
      <c r="C158">
        <f>41*60+36</f>
        <v>2496</v>
      </c>
      <c r="D158">
        <f>8*60+6</f>
        <v>486</v>
      </c>
      <c r="E158" s="4" t="str">
        <f t="shared" si="2"/>
        <v>8:06</v>
      </c>
      <c r="F158">
        <v>92</v>
      </c>
      <c r="G158" t="s">
        <v>13</v>
      </c>
      <c r="H158" s="2" t="s">
        <v>207</v>
      </c>
      <c r="I158">
        <f>COUNTIF($B$2:B158, "&lt;&gt;")</f>
        <v>157</v>
      </c>
      <c r="J158">
        <f>F158/B158</f>
        <v>17.933723196881093</v>
      </c>
    </row>
    <row r="159" spans="1:10" x14ac:dyDescent="0.3">
      <c r="A159" s="1">
        <v>44201</v>
      </c>
      <c r="B159" s="5">
        <v>3.75</v>
      </c>
      <c r="C159">
        <f>28*60+34</f>
        <v>1714</v>
      </c>
      <c r="D159">
        <f>7*60+36</f>
        <v>456</v>
      </c>
      <c r="E159" s="4" t="str">
        <f t="shared" si="2"/>
        <v>7:36</v>
      </c>
      <c r="F159">
        <v>113</v>
      </c>
      <c r="G159" t="s">
        <v>109</v>
      </c>
      <c r="H159" s="2" t="s">
        <v>208</v>
      </c>
      <c r="I159">
        <f>COUNTIF($B$2:B159, "&lt;&gt;")</f>
        <v>158</v>
      </c>
      <c r="J159">
        <f>F159/B159</f>
        <v>30.133333333333333</v>
      </c>
    </row>
    <row r="160" spans="1:10" x14ac:dyDescent="0.3">
      <c r="A160" s="1">
        <v>44202</v>
      </c>
      <c r="B160" s="5">
        <v>3.11</v>
      </c>
      <c r="C160">
        <f>27*60+2</f>
        <v>1622</v>
      </c>
      <c r="D160">
        <f>8*60+41</f>
        <v>521</v>
      </c>
      <c r="E160" s="4" t="str">
        <f t="shared" si="2"/>
        <v>8:41</v>
      </c>
      <c r="F160">
        <v>134</v>
      </c>
      <c r="G160" t="s">
        <v>76</v>
      </c>
      <c r="H160" s="2" t="s">
        <v>209</v>
      </c>
      <c r="I160">
        <f>COUNTIF($B$2:B160, "&lt;&gt;")</f>
        <v>159</v>
      </c>
      <c r="J160">
        <f>F160/B160</f>
        <v>43.086816720257239</v>
      </c>
    </row>
    <row r="161" spans="1:10" x14ac:dyDescent="0.3">
      <c r="A161" s="1">
        <v>44203</v>
      </c>
      <c r="B161" s="5">
        <v>4.03</v>
      </c>
      <c r="C161">
        <f>31*60+13</f>
        <v>1873</v>
      </c>
      <c r="D161">
        <f>7*60+45</f>
        <v>465</v>
      </c>
      <c r="E161" s="4" t="str">
        <f t="shared" si="2"/>
        <v>7:45</v>
      </c>
      <c r="F161">
        <v>79</v>
      </c>
      <c r="G161" t="s">
        <v>149</v>
      </c>
      <c r="H161" s="2" t="s">
        <v>210</v>
      </c>
      <c r="I161">
        <f>COUNTIF($B$2:B161, "&lt;&gt;")</f>
        <v>160</v>
      </c>
      <c r="J161">
        <f>F161/B161</f>
        <v>19.602977667493796</v>
      </c>
    </row>
    <row r="162" spans="1:10" x14ac:dyDescent="0.3">
      <c r="A162" s="1">
        <v>44204</v>
      </c>
      <c r="B162" s="5">
        <v>3.11</v>
      </c>
      <c r="C162">
        <f>26*60+17</f>
        <v>1577</v>
      </c>
      <c r="D162">
        <f>8*60+26</f>
        <v>506</v>
      </c>
      <c r="E162" s="4" t="str">
        <f t="shared" si="2"/>
        <v>8:26</v>
      </c>
      <c r="F162">
        <v>125</v>
      </c>
      <c r="G162" t="s">
        <v>76</v>
      </c>
      <c r="H162" s="2" t="s">
        <v>211</v>
      </c>
      <c r="I162">
        <f>COUNTIF($B$2:B162, "&lt;&gt;")</f>
        <v>161</v>
      </c>
      <c r="J162">
        <f>F162/B162</f>
        <v>40.19292604501608</v>
      </c>
    </row>
    <row r="163" spans="1:10" x14ac:dyDescent="0.3">
      <c r="A163" s="1">
        <v>44205</v>
      </c>
      <c r="B163" s="5">
        <v>4.6900000000000004</v>
      </c>
      <c r="C163">
        <f>35*60+45</f>
        <v>2145</v>
      </c>
      <c r="D163">
        <f>7*60+37</f>
        <v>457</v>
      </c>
      <c r="E163" s="4" t="str">
        <f t="shared" si="2"/>
        <v>7:37</v>
      </c>
      <c r="F163">
        <v>16</v>
      </c>
      <c r="G163" t="s">
        <v>32</v>
      </c>
      <c r="H163" s="2" t="s">
        <v>212</v>
      </c>
      <c r="I163">
        <f>COUNTIF($B$2:B163, "&lt;&gt;")</f>
        <v>162</v>
      </c>
      <c r="J163">
        <f>F163/B163</f>
        <v>3.4115138592750531</v>
      </c>
    </row>
    <row r="164" spans="1:10" x14ac:dyDescent="0.3">
      <c r="A164" s="1">
        <v>44206</v>
      </c>
      <c r="B164" s="5">
        <v>17.75</v>
      </c>
      <c r="C164">
        <f>2*3600+36*60+34</f>
        <v>9394</v>
      </c>
      <c r="D164">
        <f>8*60+49</f>
        <v>529</v>
      </c>
      <c r="E164" s="4" t="str">
        <f t="shared" si="2"/>
        <v>8:49</v>
      </c>
      <c r="F164">
        <v>392</v>
      </c>
      <c r="G164" t="s">
        <v>172</v>
      </c>
      <c r="H164" s="2" t="s">
        <v>213</v>
      </c>
      <c r="I164">
        <f>COUNTIF($B$2:B164, "&lt;&gt;")</f>
        <v>163</v>
      </c>
      <c r="J164">
        <f>F164/B164</f>
        <v>22.08450704225352</v>
      </c>
    </row>
    <row r="165" spans="1:10" x14ac:dyDescent="0.3">
      <c r="A165" s="1">
        <v>44207</v>
      </c>
      <c r="B165" s="5">
        <v>5.0599999999999996</v>
      </c>
      <c r="C165">
        <f>40*60+52</f>
        <v>2452</v>
      </c>
      <c r="D165">
        <f>8*60+4</f>
        <v>484</v>
      </c>
      <c r="E165" s="4" t="str">
        <f t="shared" si="2"/>
        <v>8:04</v>
      </c>
      <c r="F165">
        <v>118</v>
      </c>
      <c r="G165" t="s">
        <v>13</v>
      </c>
      <c r="H165" s="2" t="s">
        <v>214</v>
      </c>
      <c r="I165">
        <f>COUNTIF($B$2:B165, "&lt;&gt;")</f>
        <v>164</v>
      </c>
      <c r="J165">
        <f>F165/B165</f>
        <v>23.320158102766801</v>
      </c>
    </row>
    <row r="166" spans="1:10" x14ac:dyDescent="0.3">
      <c r="A166" s="1">
        <v>44208</v>
      </c>
      <c r="B166" s="5">
        <v>4.01</v>
      </c>
      <c r="C166">
        <f>29*60</f>
        <v>1740</v>
      </c>
      <c r="D166">
        <f>7*60+13</f>
        <v>433</v>
      </c>
      <c r="E166" s="4" t="str">
        <f t="shared" si="2"/>
        <v>7:13</v>
      </c>
      <c r="F166">
        <v>113</v>
      </c>
      <c r="G166" t="s">
        <v>109</v>
      </c>
      <c r="H166" s="2" t="s">
        <v>215</v>
      </c>
      <c r="I166">
        <f>COUNTIF($B$2:B166, "&lt;&gt;")</f>
        <v>165</v>
      </c>
      <c r="J166">
        <f>F166/B166</f>
        <v>28.179551122194514</v>
      </c>
    </row>
    <row r="167" spans="1:10" x14ac:dyDescent="0.3">
      <c r="A167" s="1">
        <v>44209</v>
      </c>
      <c r="B167" s="5">
        <v>4.25</v>
      </c>
      <c r="C167">
        <f>31*60+4</f>
        <v>1864</v>
      </c>
      <c r="D167">
        <f>7*60+18</f>
        <v>438</v>
      </c>
      <c r="E167" s="4" t="str">
        <f t="shared" si="2"/>
        <v>7:18</v>
      </c>
      <c r="F167">
        <v>178</v>
      </c>
      <c r="G167" t="s">
        <v>90</v>
      </c>
      <c r="H167" s="2" t="s">
        <v>216</v>
      </c>
      <c r="I167">
        <f>COUNTIF($B$2:B167, "&lt;&gt;")</f>
        <v>166</v>
      </c>
      <c r="J167">
        <f>F167/B167</f>
        <v>41.882352941176471</v>
      </c>
    </row>
    <row r="168" spans="1:10" x14ac:dyDescent="0.3">
      <c r="A168" s="1">
        <v>44210</v>
      </c>
      <c r="B168" s="5">
        <v>4.0199999999999996</v>
      </c>
      <c r="C168">
        <f>32*60+11</f>
        <v>1931</v>
      </c>
      <c r="D168">
        <f>8*60</f>
        <v>480</v>
      </c>
      <c r="E168" s="4" t="str">
        <f t="shared" si="2"/>
        <v>8:00</v>
      </c>
      <c r="F168">
        <v>108</v>
      </c>
      <c r="G168" t="s">
        <v>101</v>
      </c>
      <c r="H168" s="2" t="s">
        <v>217</v>
      </c>
      <c r="I168">
        <f>COUNTIF($B$2:B168, "&lt;&gt;")</f>
        <v>167</v>
      </c>
      <c r="J168">
        <f>F168/B168</f>
        <v>26.865671641791046</v>
      </c>
    </row>
    <row r="169" spans="1:10" x14ac:dyDescent="0.3">
      <c r="A169" s="1">
        <v>44211</v>
      </c>
      <c r="B169" s="5">
        <v>3.11</v>
      </c>
      <c r="C169">
        <f>26*60+56</f>
        <v>1616</v>
      </c>
      <c r="D169">
        <f>8*60+38</f>
        <v>518</v>
      </c>
      <c r="E169" s="4" t="str">
        <f t="shared" si="2"/>
        <v>8:38</v>
      </c>
      <c r="F169">
        <v>107</v>
      </c>
      <c r="G169" t="s">
        <v>76</v>
      </c>
      <c r="H169" s="2" t="s">
        <v>218</v>
      </c>
      <c r="I169">
        <f>COUNTIF($B$2:B169, "&lt;&gt;")</f>
        <v>168</v>
      </c>
      <c r="J169">
        <f>F169/B169</f>
        <v>34.40514469453376</v>
      </c>
    </row>
    <row r="170" spans="1:10" x14ac:dyDescent="0.3">
      <c r="A170" s="1">
        <v>44212</v>
      </c>
      <c r="B170" s="5">
        <v>6.02</v>
      </c>
      <c r="C170">
        <f>53*60+34</f>
        <v>3214</v>
      </c>
      <c r="D170">
        <f>8*60+54</f>
        <v>534</v>
      </c>
      <c r="E170" s="4" t="str">
        <f t="shared" si="2"/>
        <v>8:54</v>
      </c>
      <c r="F170">
        <v>167</v>
      </c>
      <c r="G170" t="s">
        <v>22</v>
      </c>
      <c r="H170" s="2" t="s">
        <v>219</v>
      </c>
      <c r="I170">
        <f>COUNTIF($B$2:B170, "&lt;&gt;")</f>
        <v>169</v>
      </c>
      <c r="J170">
        <f>F170/B170</f>
        <v>27.740863787375417</v>
      </c>
    </row>
    <row r="171" spans="1:10" x14ac:dyDescent="0.3">
      <c r="A171" s="1">
        <v>44213</v>
      </c>
      <c r="B171" s="5">
        <v>16.690000000000001</v>
      </c>
      <c r="C171">
        <f>2*3600+25*60+5</f>
        <v>8705</v>
      </c>
      <c r="D171">
        <f>8*60+41</f>
        <v>521</v>
      </c>
      <c r="E171" s="4" t="str">
        <f t="shared" si="2"/>
        <v>8:41</v>
      </c>
      <c r="F171">
        <v>377</v>
      </c>
      <c r="G171" t="s">
        <v>172</v>
      </c>
      <c r="H171" s="2" t="s">
        <v>220</v>
      </c>
      <c r="I171">
        <f>COUNTIF($B$2:B171, "&lt;&gt;")</f>
        <v>170</v>
      </c>
      <c r="J171">
        <f>F171/B171</f>
        <v>22.588376273217495</v>
      </c>
    </row>
    <row r="172" spans="1:10" x14ac:dyDescent="0.3">
      <c r="A172" s="1">
        <v>44214</v>
      </c>
      <c r="B172" s="5">
        <v>9.75</v>
      </c>
      <c r="C172">
        <f>1*3600+25*60+19</f>
        <v>5119</v>
      </c>
      <c r="D172">
        <f>8*60+45</f>
        <v>525</v>
      </c>
      <c r="E172" s="4" t="str">
        <f t="shared" si="2"/>
        <v>8:45</v>
      </c>
      <c r="F172">
        <v>164</v>
      </c>
      <c r="G172" t="s">
        <v>13</v>
      </c>
      <c r="H172" s="2" t="s">
        <v>221</v>
      </c>
      <c r="I172">
        <f>COUNTIF($B$2:B172, "&lt;&gt;")</f>
        <v>171</v>
      </c>
      <c r="J172">
        <f>F172/B172</f>
        <v>16.820512820512821</v>
      </c>
    </row>
    <row r="173" spans="1:10" x14ac:dyDescent="0.3">
      <c r="A173" s="1">
        <v>44215</v>
      </c>
      <c r="B173" s="5">
        <v>3.71</v>
      </c>
      <c r="C173">
        <f>25*60+22</f>
        <v>1522</v>
      </c>
      <c r="D173">
        <f>6*60+49</f>
        <v>409</v>
      </c>
      <c r="E173" s="4" t="str">
        <f t="shared" si="2"/>
        <v>6:49</v>
      </c>
      <c r="F173">
        <v>112</v>
      </c>
      <c r="G173" t="s">
        <v>109</v>
      </c>
      <c r="H173" s="2" t="s">
        <v>222</v>
      </c>
      <c r="I173">
        <f>COUNTIF($B$2:B173, "&lt;&gt;")</f>
        <v>172</v>
      </c>
      <c r="J173">
        <f>F173/B173</f>
        <v>30.188679245283019</v>
      </c>
    </row>
    <row r="174" spans="1:10" x14ac:dyDescent="0.3">
      <c r="A174" s="1">
        <v>44216</v>
      </c>
      <c r="B174" s="5">
        <v>4.22</v>
      </c>
      <c r="C174">
        <f>31*60+44</f>
        <v>1904</v>
      </c>
      <c r="D174">
        <f>7*60+31</f>
        <v>451</v>
      </c>
      <c r="E174" s="4" t="str">
        <f t="shared" si="2"/>
        <v>7:31</v>
      </c>
      <c r="F174">
        <v>158</v>
      </c>
      <c r="G174" t="s">
        <v>90</v>
      </c>
      <c r="H174" s="2" t="s">
        <v>223</v>
      </c>
      <c r="I174">
        <f>COUNTIF($B$2:B174, "&lt;&gt;")</f>
        <v>173</v>
      </c>
      <c r="J174">
        <f>F174/B174</f>
        <v>37.440758293838861</v>
      </c>
    </row>
    <row r="175" spans="1:10" x14ac:dyDescent="0.3">
      <c r="A175" s="1">
        <v>44217</v>
      </c>
      <c r="B175" s="5">
        <v>4.01</v>
      </c>
      <c r="C175">
        <f>31*60+27</f>
        <v>1887</v>
      </c>
      <c r="D175">
        <f>7*60+50</f>
        <v>470</v>
      </c>
      <c r="E175" s="4" t="str">
        <f t="shared" si="2"/>
        <v>7:50</v>
      </c>
      <c r="F175">
        <v>109</v>
      </c>
      <c r="G175" t="s">
        <v>101</v>
      </c>
      <c r="H175" s="2" t="s">
        <v>224</v>
      </c>
      <c r="I175">
        <f>COUNTIF($B$2:B175, "&lt;&gt;")</f>
        <v>174</v>
      </c>
      <c r="J175">
        <f>F175/B175</f>
        <v>27.182044887780549</v>
      </c>
    </row>
    <row r="176" spans="1:10" x14ac:dyDescent="0.3">
      <c r="A176" s="1">
        <v>44218</v>
      </c>
      <c r="B176" s="5">
        <v>3.11</v>
      </c>
      <c r="C176">
        <f>25*60+17</f>
        <v>1517</v>
      </c>
      <c r="D176">
        <f>8*60+7</f>
        <v>487</v>
      </c>
      <c r="E176" s="4" t="str">
        <f t="shared" si="2"/>
        <v>8:07</v>
      </c>
      <c r="F176">
        <v>110</v>
      </c>
      <c r="G176" t="s">
        <v>76</v>
      </c>
      <c r="H176" s="2" t="s">
        <v>225</v>
      </c>
      <c r="I176">
        <f>COUNTIF($B$2:B176, "&lt;&gt;")</f>
        <v>175</v>
      </c>
      <c r="J176">
        <f>F176/B176</f>
        <v>35.369774919614152</v>
      </c>
    </row>
    <row r="177" spans="1:10" x14ac:dyDescent="0.3">
      <c r="A177" s="1">
        <v>44219</v>
      </c>
      <c r="B177" s="5">
        <v>6.07</v>
      </c>
      <c r="C177">
        <f>49*60+49</f>
        <v>2989</v>
      </c>
      <c r="D177">
        <f>8*60+12</f>
        <v>492</v>
      </c>
      <c r="E177" s="4" t="str">
        <f t="shared" si="2"/>
        <v>8:12</v>
      </c>
      <c r="F177">
        <v>88</v>
      </c>
      <c r="G177" t="s">
        <v>68</v>
      </c>
      <c r="H177" s="2" t="s">
        <v>226</v>
      </c>
      <c r="I177">
        <f>COUNTIF($B$2:B177, "&lt;&gt;")</f>
        <v>176</v>
      </c>
      <c r="J177">
        <f>F177/B177</f>
        <v>14.497528830313014</v>
      </c>
    </row>
    <row r="178" spans="1:10" x14ac:dyDescent="0.3">
      <c r="A178" s="1">
        <v>44220</v>
      </c>
      <c r="B178" s="5">
        <v>22.23</v>
      </c>
      <c r="C178">
        <f>3*3600+17*60+48</f>
        <v>11868</v>
      </c>
      <c r="D178">
        <f>8*60+54</f>
        <v>534</v>
      </c>
      <c r="E178" s="4" t="str">
        <f t="shared" si="2"/>
        <v>8:54</v>
      </c>
      <c r="F178">
        <v>515</v>
      </c>
      <c r="G178" t="s">
        <v>172</v>
      </c>
      <c r="H178" s="2" t="s">
        <v>227</v>
      </c>
      <c r="I178">
        <f>COUNTIF($B$2:B178, "&lt;&gt;")</f>
        <v>177</v>
      </c>
      <c r="J178">
        <f>F178/B178</f>
        <v>23.166891587944217</v>
      </c>
    </row>
    <row r="179" spans="1:10" x14ac:dyDescent="0.3">
      <c r="A179" s="1">
        <v>44221</v>
      </c>
      <c r="B179" s="5">
        <v>4.1100000000000003</v>
      </c>
      <c r="C179">
        <f>32*60+45</f>
        <v>1965</v>
      </c>
      <c r="D179">
        <f>7*60+57</f>
        <v>477</v>
      </c>
      <c r="E179" s="4" t="str">
        <f t="shared" si="2"/>
        <v>7:57</v>
      </c>
      <c r="F179">
        <v>63</v>
      </c>
      <c r="G179" t="s">
        <v>164</v>
      </c>
      <c r="H179" s="2" t="s">
        <v>228</v>
      </c>
      <c r="I179">
        <f>COUNTIF($B$2:B179, "&lt;&gt;")</f>
        <v>178</v>
      </c>
      <c r="J179">
        <f>F179/B179</f>
        <v>15.32846715328467</v>
      </c>
    </row>
    <row r="180" spans="1:10" x14ac:dyDescent="0.3">
      <c r="A180" s="1">
        <v>44222</v>
      </c>
      <c r="B180" s="5">
        <v>3.7</v>
      </c>
      <c r="C180">
        <f>25*60+52</f>
        <v>1552</v>
      </c>
      <c r="D180">
        <f>6*60+59</f>
        <v>419</v>
      </c>
      <c r="E180" s="4" t="str">
        <f t="shared" si="2"/>
        <v>6:59</v>
      </c>
      <c r="F180">
        <v>125</v>
      </c>
      <c r="G180" t="s">
        <v>109</v>
      </c>
      <c r="H180" s="2" t="s">
        <v>229</v>
      </c>
      <c r="I180">
        <f>COUNTIF($B$2:B180, "&lt;&gt;")</f>
        <v>179</v>
      </c>
      <c r="J180">
        <f>F180/B180</f>
        <v>33.783783783783782</v>
      </c>
    </row>
    <row r="181" spans="1:10" x14ac:dyDescent="0.3">
      <c r="A181" s="1">
        <v>44223</v>
      </c>
      <c r="B181" s="5">
        <v>4.24</v>
      </c>
      <c r="C181">
        <f>31*60+53</f>
        <v>1913</v>
      </c>
      <c r="D181">
        <f>7*60+31</f>
        <v>451</v>
      </c>
      <c r="E181" s="4" t="str">
        <f t="shared" si="2"/>
        <v>7:31</v>
      </c>
      <c r="F181">
        <v>178</v>
      </c>
      <c r="G181" t="s">
        <v>90</v>
      </c>
      <c r="H181" s="2" t="s">
        <v>230</v>
      </c>
      <c r="I181">
        <f>COUNTIF($B$2:B181, "&lt;&gt;")</f>
        <v>180</v>
      </c>
      <c r="J181">
        <f>F181/B181</f>
        <v>41.981132075471699</v>
      </c>
    </row>
    <row r="182" spans="1:10" x14ac:dyDescent="0.3">
      <c r="A182" s="1">
        <v>44224</v>
      </c>
      <c r="B182" s="5">
        <v>4.01</v>
      </c>
      <c r="C182">
        <f>32*60+48</f>
        <v>1968</v>
      </c>
      <c r="D182">
        <f>8*60+10</f>
        <v>490</v>
      </c>
      <c r="E182" s="4" t="str">
        <f t="shared" si="2"/>
        <v>8:10</v>
      </c>
      <c r="F182">
        <v>111</v>
      </c>
      <c r="G182" t="s">
        <v>101</v>
      </c>
      <c r="H182" s="2" t="s">
        <v>231</v>
      </c>
      <c r="I182">
        <f>COUNTIF($B$2:B182, "&lt;&gt;")</f>
        <v>181</v>
      </c>
      <c r="J182">
        <f>F182/B182</f>
        <v>27.680798004987533</v>
      </c>
    </row>
    <row r="183" spans="1:10" x14ac:dyDescent="0.3">
      <c r="A183" s="1">
        <v>44225</v>
      </c>
      <c r="B183" s="5">
        <v>3.11</v>
      </c>
      <c r="C183">
        <f>26*60+21</f>
        <v>1581</v>
      </c>
      <c r="D183">
        <f>8*60+27</f>
        <v>507</v>
      </c>
      <c r="E183" s="4" t="str">
        <f t="shared" si="2"/>
        <v>8:27</v>
      </c>
      <c r="F183">
        <v>116</v>
      </c>
      <c r="G183" t="s">
        <v>76</v>
      </c>
      <c r="H183" s="2" t="s">
        <v>232</v>
      </c>
      <c r="I183">
        <f>COUNTIF($B$2:B183, "&lt;&gt;")</f>
        <v>182</v>
      </c>
      <c r="J183">
        <f>F183/B183</f>
        <v>37.29903536977492</v>
      </c>
    </row>
    <row r="184" spans="1:10" x14ac:dyDescent="0.3">
      <c r="A184" s="1">
        <v>44226</v>
      </c>
      <c r="B184" s="5">
        <v>7.41</v>
      </c>
      <c r="C184">
        <f>1*3600+1*60+54</f>
        <v>3714</v>
      </c>
      <c r="D184">
        <f>8*60+21</f>
        <v>501</v>
      </c>
      <c r="E184" s="4" t="str">
        <f t="shared" si="2"/>
        <v>8:21</v>
      </c>
      <c r="F184">
        <v>148</v>
      </c>
      <c r="G184" t="s">
        <v>152</v>
      </c>
      <c r="H184" s="2" t="s">
        <v>233</v>
      </c>
      <c r="I184">
        <f>COUNTIF($B$2:B184, "&lt;&gt;")</f>
        <v>183</v>
      </c>
      <c r="J184">
        <f>F184/B184</f>
        <v>19.973009446693656</v>
      </c>
    </row>
    <row r="185" spans="1:10" x14ac:dyDescent="0.3">
      <c r="A185" s="1">
        <v>44227</v>
      </c>
      <c r="B185" s="5">
        <v>3.1</v>
      </c>
      <c r="C185">
        <f>26*60+33</f>
        <v>1593</v>
      </c>
      <c r="D185">
        <f>8*60+33</f>
        <v>513</v>
      </c>
      <c r="E185" s="4" t="str">
        <f t="shared" si="2"/>
        <v>8:33</v>
      </c>
      <c r="F185">
        <v>116</v>
      </c>
      <c r="G185" t="s">
        <v>76</v>
      </c>
      <c r="H185" s="2" t="s">
        <v>234</v>
      </c>
      <c r="I185">
        <f>COUNTIF($B$2:B185, "&lt;&gt;")</f>
        <v>184</v>
      </c>
      <c r="J185">
        <f>F185/B185</f>
        <v>37.41935483870968</v>
      </c>
    </row>
    <row r="186" spans="1:10" x14ac:dyDescent="0.3">
      <c r="A186" s="1">
        <v>44228</v>
      </c>
      <c r="B186" s="5">
        <v>4.0199999999999996</v>
      </c>
      <c r="C186">
        <f>33*60+29</f>
        <v>2009</v>
      </c>
      <c r="D186">
        <f>8*60+19</f>
        <v>499</v>
      </c>
      <c r="E186" s="4" t="str">
        <f t="shared" si="2"/>
        <v>8:19</v>
      </c>
      <c r="F186">
        <v>130</v>
      </c>
      <c r="G186" t="s">
        <v>76</v>
      </c>
      <c r="H186" s="2" t="s">
        <v>235</v>
      </c>
      <c r="I186">
        <f>COUNTIF($B$2:B186, "&lt;&gt;")</f>
        <v>185</v>
      </c>
      <c r="J186">
        <f>F186/B186</f>
        <v>32.338308457711449</v>
      </c>
    </row>
    <row r="187" spans="1:10" x14ac:dyDescent="0.3">
      <c r="A187" s="1">
        <v>44229</v>
      </c>
      <c r="B187" s="5">
        <v>3.68</v>
      </c>
      <c r="C187">
        <f>29*60+2</f>
        <v>1742</v>
      </c>
      <c r="D187">
        <f>7*60+53</f>
        <v>473</v>
      </c>
      <c r="E187" s="4" t="str">
        <f t="shared" si="2"/>
        <v>7:53</v>
      </c>
      <c r="F187">
        <v>113</v>
      </c>
      <c r="G187" t="s">
        <v>109</v>
      </c>
      <c r="H187" s="2" t="s">
        <v>236</v>
      </c>
      <c r="I187">
        <f>COUNTIF($B$2:B187, "&lt;&gt;")</f>
        <v>186</v>
      </c>
      <c r="J187">
        <f>F187/B187</f>
        <v>30.706521739130434</v>
      </c>
    </row>
    <row r="188" spans="1:10" x14ac:dyDescent="0.3">
      <c r="A188" s="1">
        <v>44230</v>
      </c>
      <c r="B188" s="5">
        <v>4.21</v>
      </c>
      <c r="C188">
        <f>33*60</f>
        <v>1980</v>
      </c>
      <c r="D188">
        <f>7*60+50</f>
        <v>470</v>
      </c>
      <c r="E188" s="4" t="str">
        <f t="shared" si="2"/>
        <v>7:50</v>
      </c>
      <c r="F188">
        <v>177</v>
      </c>
      <c r="G188" t="s">
        <v>90</v>
      </c>
      <c r="H188" s="2" t="s">
        <v>237</v>
      </c>
      <c r="I188">
        <f>COUNTIF($B$2:B188, "&lt;&gt;")</f>
        <v>187</v>
      </c>
      <c r="J188">
        <f>F188/B188</f>
        <v>42.042755344418055</v>
      </c>
    </row>
    <row r="189" spans="1:10" x14ac:dyDescent="0.3">
      <c r="A189" s="1">
        <v>44231</v>
      </c>
      <c r="B189" s="5">
        <v>4.0199999999999996</v>
      </c>
      <c r="C189">
        <f>32*60+1</f>
        <v>1921</v>
      </c>
      <c r="D189">
        <f>7*60+58</f>
        <v>478</v>
      </c>
      <c r="E189" s="4" t="str">
        <f t="shared" si="2"/>
        <v>7:58</v>
      </c>
      <c r="F189">
        <v>109</v>
      </c>
      <c r="G189" t="s">
        <v>101</v>
      </c>
      <c r="H189" s="2" t="s">
        <v>238</v>
      </c>
      <c r="I189">
        <f>COUNTIF($B$2:B189, "&lt;&gt;")</f>
        <v>188</v>
      </c>
      <c r="J189">
        <f>F187/B187</f>
        <v>30.706521739130434</v>
      </c>
    </row>
    <row r="190" spans="1:10" x14ac:dyDescent="0.3">
      <c r="A190" s="1">
        <v>44232</v>
      </c>
      <c r="B190" s="5">
        <v>3.11</v>
      </c>
      <c r="C190">
        <f>24*60+24</f>
        <v>1464</v>
      </c>
      <c r="D190">
        <f>7*60+49</f>
        <v>469</v>
      </c>
      <c r="E190" s="4" t="str">
        <f t="shared" si="2"/>
        <v>7:49</v>
      </c>
      <c r="F190">
        <v>124</v>
      </c>
      <c r="G190" t="s">
        <v>76</v>
      </c>
      <c r="H190" s="2" t="s">
        <v>239</v>
      </c>
      <c r="I190">
        <f>COUNTIF($B$2:B190, "&lt;&gt;")</f>
        <v>189</v>
      </c>
      <c r="J190">
        <f>F190/B190</f>
        <v>39.871382636655952</v>
      </c>
    </row>
    <row r="191" spans="1:10" x14ac:dyDescent="0.3">
      <c r="A191" s="1">
        <v>44233</v>
      </c>
      <c r="B191" s="5">
        <v>6.02</v>
      </c>
      <c r="C191">
        <f>48*60+34</f>
        <v>2914</v>
      </c>
      <c r="D191">
        <f>8*60+4</f>
        <v>484</v>
      </c>
      <c r="E191" s="4" t="str">
        <f t="shared" si="2"/>
        <v>8:04</v>
      </c>
      <c r="F191">
        <v>96</v>
      </c>
      <c r="G191" t="s">
        <v>152</v>
      </c>
      <c r="H191" s="2" t="s">
        <v>240</v>
      </c>
      <c r="I191">
        <f>COUNTIF($B$2:B191, "&lt;&gt;")</f>
        <v>190</v>
      </c>
      <c r="J191">
        <f>F191/B191</f>
        <v>15.946843853820599</v>
      </c>
    </row>
    <row r="192" spans="1:10" x14ac:dyDescent="0.3">
      <c r="A192" s="1">
        <v>44234</v>
      </c>
      <c r="B192" s="5">
        <v>8.15</v>
      </c>
      <c r="C192">
        <f>1*3600+13*60+50</f>
        <v>4430</v>
      </c>
      <c r="D192">
        <f>9*60+3</f>
        <v>543</v>
      </c>
      <c r="E192" s="4" t="str">
        <f t="shared" si="2"/>
        <v>9:03</v>
      </c>
      <c r="F192">
        <v>141</v>
      </c>
      <c r="G192" t="s">
        <v>188</v>
      </c>
      <c r="H192" s="2" t="s">
        <v>241</v>
      </c>
      <c r="I192">
        <f>COUNTIF($B$2:B192, "&lt;&gt;")</f>
        <v>191</v>
      </c>
      <c r="J192">
        <f>F192/B192</f>
        <v>17.300613496932513</v>
      </c>
    </row>
    <row r="193" spans="1:10" x14ac:dyDescent="0.3">
      <c r="A193" s="1">
        <v>44235</v>
      </c>
      <c r="B193" s="5">
        <v>9.01</v>
      </c>
      <c r="C193">
        <f>1*3600+16*60+57</f>
        <v>4617</v>
      </c>
      <c r="D193">
        <f>8*60+32</f>
        <v>512</v>
      </c>
      <c r="E193" s="4" t="str">
        <f t="shared" si="2"/>
        <v>8:32</v>
      </c>
      <c r="F193">
        <v>194</v>
      </c>
      <c r="G193" t="s">
        <v>164</v>
      </c>
      <c r="H193" s="2" t="s">
        <v>242</v>
      </c>
      <c r="I193">
        <f>COUNTIF($B$2:B193, "&lt;&gt;")</f>
        <v>192</v>
      </c>
      <c r="J193">
        <f>F193/B193</f>
        <v>21.531631520532741</v>
      </c>
    </row>
    <row r="194" spans="1:10" x14ac:dyDescent="0.3">
      <c r="A194" s="1">
        <v>44236</v>
      </c>
      <c r="B194" s="5">
        <v>3.72</v>
      </c>
      <c r="C194">
        <f>28*60+59</f>
        <v>1739</v>
      </c>
      <c r="D194">
        <f>7*60+47</f>
        <v>467</v>
      </c>
      <c r="E194" s="4" t="str">
        <f t="shared" si="2"/>
        <v>7:47</v>
      </c>
      <c r="F194">
        <v>102</v>
      </c>
      <c r="G194" t="s">
        <v>109</v>
      </c>
      <c r="H194" s="2" t="s">
        <v>243</v>
      </c>
      <c r="I194">
        <f>COUNTIF($B$2:B194, "&lt;&gt;")</f>
        <v>193</v>
      </c>
      <c r="J194">
        <f>F194/B194</f>
        <v>27.419354838709676</v>
      </c>
    </row>
    <row r="195" spans="1:10" x14ac:dyDescent="0.3">
      <c r="A195" s="1">
        <v>44237</v>
      </c>
      <c r="B195" s="5">
        <v>4.2300000000000004</v>
      </c>
      <c r="C195">
        <f>35*60</f>
        <v>2100</v>
      </c>
      <c r="D195">
        <f>8*60+16</f>
        <v>496</v>
      </c>
      <c r="E195" s="4" t="str">
        <f t="shared" ref="E195:E258" si="3">CONCATENATE(ROUNDDOWN(D195/60,0),":",IF(ROUNDDOWN(D195-ROUNDDOWN(D195/60,0)*60,0)&gt;=10,ROUNDDOWN(D195-ROUNDDOWN(D195/60,0)*60,3),CONCATENATE("0",ROUNDDOWN(D195-ROUNDDOWN(D195/60,0)*60,3))))</f>
        <v>8:16</v>
      </c>
      <c r="F195">
        <v>210</v>
      </c>
      <c r="G195" t="s">
        <v>90</v>
      </c>
      <c r="H195" s="2" t="s">
        <v>244</v>
      </c>
      <c r="I195">
        <f>COUNTIF($B$2:B195, "&lt;&gt;")</f>
        <v>194</v>
      </c>
      <c r="J195">
        <f>F195/B195</f>
        <v>49.645390070921984</v>
      </c>
    </row>
    <row r="196" spans="1:10" x14ac:dyDescent="0.3">
      <c r="A196" s="1">
        <v>44238</v>
      </c>
      <c r="B196" s="5">
        <v>4.03</v>
      </c>
      <c r="C196">
        <f>31*60+36</f>
        <v>1896</v>
      </c>
      <c r="D196">
        <f>7*60+50</f>
        <v>470</v>
      </c>
      <c r="E196" s="4" t="str">
        <f t="shared" si="3"/>
        <v>7:50</v>
      </c>
      <c r="F196">
        <v>131</v>
      </c>
      <c r="G196" t="s">
        <v>101</v>
      </c>
      <c r="H196" s="2" t="s">
        <v>245</v>
      </c>
      <c r="I196">
        <f>COUNTIF($B$2:B196, "&lt;&gt;")</f>
        <v>195</v>
      </c>
      <c r="J196">
        <f>F196/B196</f>
        <v>32.506203473945405</v>
      </c>
    </row>
    <row r="197" spans="1:10" x14ac:dyDescent="0.3">
      <c r="A197" s="1">
        <v>44239</v>
      </c>
      <c r="B197" s="5">
        <v>3.12</v>
      </c>
      <c r="C197">
        <f>26*60+34</f>
        <v>1594</v>
      </c>
      <c r="D197">
        <f>8*60+30</f>
        <v>510</v>
      </c>
      <c r="E197" s="4" t="str">
        <f t="shared" si="3"/>
        <v>8:30</v>
      </c>
      <c r="F197">
        <v>109</v>
      </c>
      <c r="G197" t="s">
        <v>76</v>
      </c>
      <c r="H197" s="2" t="s">
        <v>246</v>
      </c>
      <c r="I197">
        <f>COUNTIF($B$2:B197, "&lt;&gt;")</f>
        <v>196</v>
      </c>
      <c r="J197">
        <f>F197/B197</f>
        <v>34.935897435897438</v>
      </c>
    </row>
    <row r="198" spans="1:10" x14ac:dyDescent="0.3">
      <c r="A198" s="1">
        <v>44240</v>
      </c>
      <c r="B198" s="5">
        <v>26.42</v>
      </c>
      <c r="C198">
        <f>3*3600+46*60+1</f>
        <v>13561</v>
      </c>
      <c r="D198">
        <f>8*60+33</f>
        <v>513</v>
      </c>
      <c r="E198" s="4" t="str">
        <f t="shared" si="3"/>
        <v>8:33</v>
      </c>
      <c r="F198">
        <v>305</v>
      </c>
      <c r="G198" t="s">
        <v>247</v>
      </c>
      <c r="H198" s="2" t="s">
        <v>248</v>
      </c>
      <c r="I198">
        <f>COUNTIF($B$2:B198, "&lt;&gt;")</f>
        <v>197</v>
      </c>
      <c r="J198">
        <f>F198/B198</f>
        <v>11.544284632853898</v>
      </c>
    </row>
    <row r="199" spans="1:10" x14ac:dyDescent="0.3">
      <c r="A199" s="1">
        <v>44241</v>
      </c>
      <c r="B199" s="5">
        <v>3.72</v>
      </c>
      <c r="C199">
        <f>35*60+5</f>
        <v>2105</v>
      </c>
      <c r="D199">
        <f>9*60+25</f>
        <v>565</v>
      </c>
      <c r="E199" s="4" t="str">
        <f t="shared" si="3"/>
        <v>9:25</v>
      </c>
      <c r="F199">
        <v>141</v>
      </c>
      <c r="G199" t="s">
        <v>76</v>
      </c>
      <c r="H199" s="2" t="s">
        <v>249</v>
      </c>
      <c r="I199">
        <f>COUNTIF($B$2:B199, "&lt;&gt;")</f>
        <v>198</v>
      </c>
      <c r="J199">
        <f>F199/B199</f>
        <v>37.903225806451609</v>
      </c>
    </row>
    <row r="200" spans="1:10" x14ac:dyDescent="0.3">
      <c r="A200" s="1">
        <v>44242</v>
      </c>
      <c r="B200" s="5">
        <v>4.03</v>
      </c>
      <c r="C200">
        <f>32*60+53</f>
        <v>1973</v>
      </c>
      <c r="D200">
        <f>8*60+9</f>
        <v>489</v>
      </c>
      <c r="E200" s="4" t="str">
        <f t="shared" si="3"/>
        <v>8:09</v>
      </c>
      <c r="F200">
        <v>85</v>
      </c>
      <c r="G200" t="s">
        <v>164</v>
      </c>
      <c r="H200" s="2" t="s">
        <v>250</v>
      </c>
      <c r="I200">
        <f>COUNTIF($B$2:B200, "&lt;&gt;")</f>
        <v>199</v>
      </c>
      <c r="J200">
        <f>F200/B200</f>
        <v>21.091811414392058</v>
      </c>
    </row>
    <row r="201" spans="1:10" x14ac:dyDescent="0.3">
      <c r="A201" s="1">
        <v>44243</v>
      </c>
      <c r="B201" s="5">
        <v>3.73</v>
      </c>
      <c r="C201">
        <f>27*60+19</f>
        <v>1639</v>
      </c>
      <c r="D201">
        <f>7*60+19</f>
        <v>439</v>
      </c>
      <c r="E201" s="4" t="str">
        <f t="shared" si="3"/>
        <v>7:19</v>
      </c>
      <c r="F201">
        <v>113</v>
      </c>
      <c r="G201" t="s">
        <v>109</v>
      </c>
      <c r="H201" s="2" t="s">
        <v>251</v>
      </c>
      <c r="I201">
        <f>COUNTIF($B$2:B201, "&lt;&gt;")</f>
        <v>200</v>
      </c>
      <c r="J201">
        <f>F201/B201</f>
        <v>30.294906166219839</v>
      </c>
    </row>
    <row r="202" spans="1:10" x14ac:dyDescent="0.3">
      <c r="A202" s="1">
        <v>44244</v>
      </c>
      <c r="B202" s="5">
        <v>3.13</v>
      </c>
      <c r="C202">
        <f>26*60+44</f>
        <v>1604</v>
      </c>
      <c r="D202">
        <f>8*60+32</f>
        <v>512</v>
      </c>
      <c r="E202" s="4" t="str">
        <f t="shared" si="3"/>
        <v>8:32</v>
      </c>
      <c r="F202">
        <v>117</v>
      </c>
      <c r="G202" t="s">
        <v>76</v>
      </c>
      <c r="H202" s="2" t="s">
        <v>252</v>
      </c>
      <c r="I202">
        <f>COUNTIF($B$2:B202, "&lt;&gt;")</f>
        <v>201</v>
      </c>
      <c r="J202">
        <f>F202/B202</f>
        <v>37.380191693290733</v>
      </c>
    </row>
    <row r="203" spans="1:10" x14ac:dyDescent="0.3">
      <c r="A203" s="1">
        <v>44245</v>
      </c>
      <c r="B203" s="5">
        <v>3.12</v>
      </c>
      <c r="C203">
        <f>27*60+43</f>
        <v>1663</v>
      </c>
      <c r="D203">
        <f>8*60+53</f>
        <v>533</v>
      </c>
      <c r="E203" s="4" t="str">
        <f t="shared" si="3"/>
        <v>8:53</v>
      </c>
      <c r="F203">
        <v>112</v>
      </c>
      <c r="G203" t="s">
        <v>76</v>
      </c>
      <c r="H203" s="2" t="s">
        <v>253</v>
      </c>
      <c r="I203">
        <f>COUNTIF($B$2:B203, "&lt;&gt;")</f>
        <v>202</v>
      </c>
      <c r="J203">
        <f>F203/B203</f>
        <v>35.897435897435898</v>
      </c>
    </row>
    <row r="204" spans="1:10" x14ac:dyDescent="0.3">
      <c r="A204" s="1">
        <v>44246</v>
      </c>
      <c r="B204" s="5">
        <v>3.11</v>
      </c>
      <c r="C204">
        <f>26*60+5</f>
        <v>1565</v>
      </c>
      <c r="D204">
        <f>8*60+22</f>
        <v>502</v>
      </c>
      <c r="E204" s="4" t="str">
        <f t="shared" si="3"/>
        <v>8:22</v>
      </c>
      <c r="F204">
        <v>118</v>
      </c>
      <c r="G204" t="s">
        <v>76</v>
      </c>
      <c r="H204" s="2" t="s">
        <v>254</v>
      </c>
      <c r="I204">
        <f>COUNTIF($B$2:B204, "&lt;&gt;")</f>
        <v>203</v>
      </c>
      <c r="J204">
        <f>F204/B204</f>
        <v>37.942122186495176</v>
      </c>
    </row>
    <row r="205" spans="1:10" x14ac:dyDescent="0.3">
      <c r="A205" s="1">
        <v>44247</v>
      </c>
      <c r="B205" s="5">
        <v>6.38</v>
      </c>
      <c r="C205">
        <f>51*60+38</f>
        <v>3098</v>
      </c>
      <c r="D205">
        <f>8*60+5</f>
        <v>485</v>
      </c>
      <c r="E205" s="4" t="str">
        <f t="shared" si="3"/>
        <v>8:05</v>
      </c>
      <c r="F205">
        <v>161</v>
      </c>
      <c r="G205" t="s">
        <v>41</v>
      </c>
      <c r="H205" s="2" t="s">
        <v>255</v>
      </c>
      <c r="I205">
        <f>COUNTIF($B$2:B205, "&lt;&gt;")</f>
        <v>204</v>
      </c>
      <c r="J205">
        <f>F205/B205</f>
        <v>25.23510971786834</v>
      </c>
    </row>
    <row r="206" spans="1:10" x14ac:dyDescent="0.3">
      <c r="A206" s="1">
        <v>44248</v>
      </c>
      <c r="B206" s="5">
        <v>5.0599999999999996</v>
      </c>
      <c r="C206">
        <f>47*60+3</f>
        <v>2823</v>
      </c>
      <c r="D206">
        <f>9*60+17</f>
        <v>557</v>
      </c>
      <c r="E206" s="4" t="str">
        <f t="shared" si="3"/>
        <v>9:17</v>
      </c>
      <c r="F206">
        <v>95</v>
      </c>
      <c r="G206" t="s">
        <v>256</v>
      </c>
      <c r="H206" s="2" t="s">
        <v>257</v>
      </c>
      <c r="I206">
        <f>COUNTIF($B$2:B206, "&lt;&gt;")</f>
        <v>205</v>
      </c>
      <c r="J206">
        <f>F206/B206</f>
        <v>18.774703557312254</v>
      </c>
    </row>
    <row r="207" spans="1:10" x14ac:dyDescent="0.3">
      <c r="A207" s="1">
        <v>44249</v>
      </c>
      <c r="B207" s="5">
        <v>5.1100000000000003</v>
      </c>
      <c r="C207">
        <f>39*60+8</f>
        <v>2348</v>
      </c>
      <c r="D207">
        <f>7*60+39</f>
        <v>459</v>
      </c>
      <c r="E207" s="4" t="str">
        <f t="shared" si="3"/>
        <v>7:39</v>
      </c>
      <c r="F207">
        <v>93</v>
      </c>
      <c r="G207" t="s">
        <v>13</v>
      </c>
      <c r="H207" s="2" t="s">
        <v>258</v>
      </c>
      <c r="I207">
        <f>COUNTIF($B$2:B207, "&lt;&gt;")</f>
        <v>206</v>
      </c>
      <c r="J207">
        <f>F207/B207</f>
        <v>18.199608610567513</v>
      </c>
    </row>
    <row r="208" spans="1:10" x14ac:dyDescent="0.3">
      <c r="A208" s="1">
        <v>44250</v>
      </c>
      <c r="B208" s="5">
        <v>3.73</v>
      </c>
      <c r="C208">
        <f>26*60+1</f>
        <v>1561</v>
      </c>
      <c r="D208">
        <f>6*60+58</f>
        <v>418</v>
      </c>
      <c r="E208" s="4" t="str">
        <f t="shared" si="3"/>
        <v>6:58</v>
      </c>
      <c r="F208">
        <v>113</v>
      </c>
      <c r="G208" t="s">
        <v>109</v>
      </c>
      <c r="H208" s="2" t="s">
        <v>259</v>
      </c>
      <c r="I208">
        <f>COUNTIF($B$2:B208, "&lt;&gt;")</f>
        <v>207</v>
      </c>
      <c r="J208">
        <f>F208/B208</f>
        <v>30.294906166219839</v>
      </c>
    </row>
    <row r="209" spans="1:10" x14ac:dyDescent="0.3">
      <c r="A209" s="1">
        <v>44251</v>
      </c>
      <c r="B209" s="5">
        <v>4.2</v>
      </c>
      <c r="C209">
        <f>34*60+41</f>
        <v>2081</v>
      </c>
      <c r="D209">
        <f>8*60+15</f>
        <v>495</v>
      </c>
      <c r="E209" s="4" t="str">
        <f t="shared" si="3"/>
        <v>8:15</v>
      </c>
      <c r="F209">
        <v>178</v>
      </c>
      <c r="G209" t="s">
        <v>90</v>
      </c>
      <c r="H209" s="2" t="s">
        <v>260</v>
      </c>
      <c r="I209">
        <f>COUNTIF($B$2:B209, "&lt;&gt;")</f>
        <v>208</v>
      </c>
      <c r="J209">
        <f>F209/B209</f>
        <v>42.38095238095238</v>
      </c>
    </row>
    <row r="210" spans="1:10" x14ac:dyDescent="0.3">
      <c r="A210" s="1">
        <v>44252</v>
      </c>
      <c r="B210" s="5">
        <v>4.0199999999999996</v>
      </c>
      <c r="C210">
        <f>29*60+16</f>
        <v>1756</v>
      </c>
      <c r="D210">
        <f>7*60+16</f>
        <v>436</v>
      </c>
      <c r="E210" s="4" t="str">
        <f t="shared" si="3"/>
        <v>7:16</v>
      </c>
      <c r="F210">
        <v>103</v>
      </c>
      <c r="G210" t="s">
        <v>101</v>
      </c>
      <c r="H210" s="2" t="s">
        <v>261</v>
      </c>
      <c r="I210">
        <f>COUNTIF($B$2:B210, "&lt;&gt;")</f>
        <v>209</v>
      </c>
      <c r="J210">
        <f>F210/B210</f>
        <v>25.621890547263686</v>
      </c>
    </row>
    <row r="211" spans="1:10" x14ac:dyDescent="0.3">
      <c r="A211" s="1">
        <v>44253</v>
      </c>
      <c r="B211" s="5">
        <v>5.33</v>
      </c>
      <c r="C211">
        <f>46*60+3</f>
        <v>2763</v>
      </c>
      <c r="D211">
        <f>8*60+38</f>
        <v>518</v>
      </c>
      <c r="E211" s="4" t="str">
        <f t="shared" si="3"/>
        <v>8:38</v>
      </c>
      <c r="F211">
        <v>141</v>
      </c>
      <c r="G211" t="s">
        <v>76</v>
      </c>
      <c r="H211" s="2" t="s">
        <v>262</v>
      </c>
      <c r="I211">
        <f>COUNTIF($B$2:B211, "&lt;&gt;")</f>
        <v>210</v>
      </c>
      <c r="J211">
        <f>F211/B211</f>
        <v>26.454033771106943</v>
      </c>
    </row>
    <row r="212" spans="1:10" x14ac:dyDescent="0.3">
      <c r="A212" s="1">
        <v>44254</v>
      </c>
      <c r="B212" s="5">
        <v>6.02</v>
      </c>
      <c r="C212">
        <f>50*60+37</f>
        <v>3037</v>
      </c>
      <c r="D212">
        <f>8*60+24</f>
        <v>504</v>
      </c>
      <c r="E212" s="4" t="str">
        <f t="shared" si="3"/>
        <v>8:24</v>
      </c>
      <c r="F212">
        <v>134</v>
      </c>
      <c r="G212" t="s">
        <v>41</v>
      </c>
      <c r="H212" s="2" t="s">
        <v>263</v>
      </c>
      <c r="I212">
        <f>COUNTIF($B$2:B212, "&lt;&gt;")</f>
        <v>211</v>
      </c>
      <c r="J212">
        <f>F212/B212</f>
        <v>22.259136212624586</v>
      </c>
    </row>
    <row r="213" spans="1:10" x14ac:dyDescent="0.3">
      <c r="A213" s="1">
        <v>44255</v>
      </c>
      <c r="B213" s="5">
        <v>3.16</v>
      </c>
      <c r="C213">
        <f>25*60+42</f>
        <v>1542</v>
      </c>
      <c r="D213">
        <f>8*60+7</f>
        <v>487</v>
      </c>
      <c r="E213" s="4" t="str">
        <f t="shared" si="3"/>
        <v>8:07</v>
      </c>
      <c r="F213">
        <v>108</v>
      </c>
      <c r="G213" t="s">
        <v>76</v>
      </c>
      <c r="H213" s="2" t="s">
        <v>264</v>
      </c>
      <c r="I213">
        <f>COUNTIF($B$2:B213, "&lt;&gt;")</f>
        <v>212</v>
      </c>
      <c r="J213">
        <f>F213/B213</f>
        <v>34.177215189873415</v>
      </c>
    </row>
    <row r="214" spans="1:10" x14ac:dyDescent="0.3">
      <c r="A214" s="1">
        <v>44256</v>
      </c>
      <c r="B214" s="5">
        <v>10.18</v>
      </c>
      <c r="C214">
        <f>1*3600+23*60+44</f>
        <v>5024</v>
      </c>
      <c r="D214">
        <f>8*60+13</f>
        <v>493</v>
      </c>
      <c r="E214" s="4" t="str">
        <f t="shared" si="3"/>
        <v>8:13</v>
      </c>
      <c r="F214">
        <v>183</v>
      </c>
      <c r="G214" t="s">
        <v>13</v>
      </c>
      <c r="H214" s="2" t="s">
        <v>265</v>
      </c>
      <c r="I214">
        <f>COUNTIF($B$2:B214, "&lt;&gt;")</f>
        <v>213</v>
      </c>
      <c r="J214">
        <f>F214/B214</f>
        <v>17.976424361493123</v>
      </c>
    </row>
    <row r="215" spans="1:10" x14ac:dyDescent="0.3">
      <c r="A215" s="1">
        <v>44257</v>
      </c>
      <c r="B215" s="5">
        <v>4.05</v>
      </c>
      <c r="C215">
        <f>29*60+21</f>
        <v>1761</v>
      </c>
      <c r="D215">
        <f>7*60+14</f>
        <v>434</v>
      </c>
      <c r="E215" s="4" t="str">
        <f t="shared" si="3"/>
        <v>7:14</v>
      </c>
      <c r="F215">
        <v>107</v>
      </c>
      <c r="G215" t="s">
        <v>109</v>
      </c>
      <c r="H215" s="2" t="s">
        <v>266</v>
      </c>
      <c r="I215">
        <f>COUNTIF($B$2:B215, "&lt;&gt;")</f>
        <v>214</v>
      </c>
      <c r="J215">
        <f>F215/B215</f>
        <v>26.419753086419753</v>
      </c>
    </row>
    <row r="216" spans="1:10" x14ac:dyDescent="0.3">
      <c r="A216" s="1">
        <v>44258</v>
      </c>
      <c r="B216" s="5">
        <v>7.01</v>
      </c>
      <c r="C216">
        <f>1*3600</f>
        <v>3600</v>
      </c>
      <c r="D216">
        <f>8*60+33</f>
        <v>513</v>
      </c>
      <c r="E216" s="4" t="str">
        <f t="shared" si="3"/>
        <v>8:33</v>
      </c>
      <c r="F216">
        <v>282</v>
      </c>
      <c r="G216" t="s">
        <v>132</v>
      </c>
      <c r="H216" s="2" t="s">
        <v>267</v>
      </c>
      <c r="I216">
        <f>COUNTIF($B$2:B216, "&lt;&gt;")</f>
        <v>215</v>
      </c>
      <c r="J216">
        <f>F216/B216</f>
        <v>40.22824536376605</v>
      </c>
    </row>
    <row r="217" spans="1:10" x14ac:dyDescent="0.3">
      <c r="A217" s="1">
        <v>44259</v>
      </c>
      <c r="B217" s="5">
        <v>3.11</v>
      </c>
      <c r="C217">
        <f>27*60+20</f>
        <v>1640</v>
      </c>
      <c r="D217">
        <f>8*60+46</f>
        <v>526</v>
      </c>
      <c r="E217" s="4" t="str">
        <f t="shared" si="3"/>
        <v>8:46</v>
      </c>
      <c r="F217">
        <v>64</v>
      </c>
      <c r="G217" t="s">
        <v>268</v>
      </c>
      <c r="H217" s="2" t="s">
        <v>269</v>
      </c>
      <c r="I217">
        <f>COUNTIF($B$2:B217, "&lt;&gt;")</f>
        <v>216</v>
      </c>
      <c r="J217">
        <f>F217/B217</f>
        <v>20.578778135048232</v>
      </c>
    </row>
    <row r="218" spans="1:10" x14ac:dyDescent="0.3">
      <c r="A218" s="1">
        <v>44260</v>
      </c>
      <c r="B218" s="5">
        <v>3.16</v>
      </c>
      <c r="C218">
        <f>27*60+32</f>
        <v>1652</v>
      </c>
      <c r="D218">
        <f>8*60+42</f>
        <v>522</v>
      </c>
      <c r="E218" s="4" t="str">
        <f t="shared" si="3"/>
        <v>8:42</v>
      </c>
      <c r="F218">
        <v>118</v>
      </c>
      <c r="G218" t="s">
        <v>76</v>
      </c>
      <c r="H218" s="2" t="s">
        <v>270</v>
      </c>
      <c r="I218">
        <f>COUNTIF($B$2:B218, "&lt;&gt;")</f>
        <v>217</v>
      </c>
      <c r="J218">
        <f>F218/B218</f>
        <v>37.341772151898731</v>
      </c>
    </row>
    <row r="219" spans="1:10" x14ac:dyDescent="0.3">
      <c r="A219" s="1">
        <v>44261</v>
      </c>
      <c r="B219" s="5">
        <v>3.9</v>
      </c>
      <c r="C219">
        <f>32*60+28</f>
        <v>1948</v>
      </c>
      <c r="D219">
        <f>8*60+19</f>
        <v>499</v>
      </c>
      <c r="E219" s="4" t="str">
        <f t="shared" si="3"/>
        <v>8:19</v>
      </c>
      <c r="F219">
        <v>65</v>
      </c>
      <c r="G219" t="s">
        <v>271</v>
      </c>
      <c r="H219" s="2" t="s">
        <v>272</v>
      </c>
      <c r="I219">
        <f>COUNTIF($B$2:B219, "&lt;&gt;")</f>
        <v>218</v>
      </c>
      <c r="J219">
        <f>F219/B219</f>
        <v>16.666666666666668</v>
      </c>
    </row>
    <row r="220" spans="1:10" x14ac:dyDescent="0.3">
      <c r="A220" s="1">
        <v>44262</v>
      </c>
      <c r="B220" s="5">
        <v>3.21</v>
      </c>
      <c r="C220">
        <f>28*60+43</f>
        <v>1723</v>
      </c>
      <c r="D220">
        <f>8*60+56</f>
        <v>536</v>
      </c>
      <c r="E220" s="4" t="str">
        <f t="shared" si="3"/>
        <v>8:56</v>
      </c>
      <c r="F220">
        <v>118</v>
      </c>
      <c r="G220" t="s">
        <v>76</v>
      </c>
      <c r="H220" s="2" t="s">
        <v>273</v>
      </c>
      <c r="I220">
        <f>COUNTIF($B$2:B220, "&lt;&gt;")</f>
        <v>219</v>
      </c>
      <c r="J220">
        <f>F220/B220</f>
        <v>36.760124610591902</v>
      </c>
    </row>
    <row r="221" spans="1:10" x14ac:dyDescent="0.3">
      <c r="A221" s="1">
        <v>44263</v>
      </c>
      <c r="B221" s="5">
        <v>5.0199999999999996</v>
      </c>
      <c r="C221">
        <f>43*60+57</f>
        <v>2637</v>
      </c>
      <c r="D221">
        <f>8*60+45</f>
        <v>525</v>
      </c>
      <c r="E221" s="4" t="str">
        <f t="shared" si="3"/>
        <v>8:45</v>
      </c>
      <c r="F221">
        <v>108</v>
      </c>
      <c r="G221" t="s">
        <v>13</v>
      </c>
      <c r="H221" s="2" t="s">
        <v>274</v>
      </c>
      <c r="I221">
        <f>COUNTIF($B$2:B221, "&lt;&gt;")</f>
        <v>220</v>
      </c>
      <c r="J221">
        <f>F221/B221</f>
        <v>21.513944223107572</v>
      </c>
    </row>
    <row r="222" spans="1:10" x14ac:dyDescent="0.3">
      <c r="A222" s="1">
        <v>44264</v>
      </c>
      <c r="B222" s="5">
        <v>3.74</v>
      </c>
      <c r="C222">
        <f>27*60+34</f>
        <v>1654</v>
      </c>
      <c r="D222">
        <f>7*60+21</f>
        <v>441</v>
      </c>
      <c r="E222" s="4" t="str">
        <f t="shared" si="3"/>
        <v>7:21</v>
      </c>
      <c r="F222">
        <v>112</v>
      </c>
      <c r="G222" t="s">
        <v>109</v>
      </c>
      <c r="H222" s="2" t="s">
        <v>275</v>
      </c>
      <c r="I222">
        <f>COUNTIF($B$2:B222, "&lt;&gt;")</f>
        <v>221</v>
      </c>
      <c r="J222">
        <f>F222/B222</f>
        <v>29.946524064171122</v>
      </c>
    </row>
    <row r="223" spans="1:10" x14ac:dyDescent="0.3">
      <c r="A223" s="1">
        <v>44265</v>
      </c>
      <c r="B223" s="5">
        <v>6.55</v>
      </c>
      <c r="C223">
        <f>58*60+31</f>
        <v>3511</v>
      </c>
      <c r="D223">
        <f>8*60+56</f>
        <v>536</v>
      </c>
      <c r="E223" s="4" t="str">
        <f t="shared" si="3"/>
        <v>8:56</v>
      </c>
      <c r="F223">
        <v>264</v>
      </c>
      <c r="G223" t="s">
        <v>132</v>
      </c>
      <c r="H223" s="2" t="s">
        <v>276</v>
      </c>
      <c r="I223">
        <f>COUNTIF($B$2:B223, "&lt;&gt;")</f>
        <v>222</v>
      </c>
      <c r="J223">
        <f>F223/B223</f>
        <v>40.305343511450381</v>
      </c>
    </row>
    <row r="224" spans="1:10" x14ac:dyDescent="0.3">
      <c r="A224" s="1">
        <v>44266</v>
      </c>
      <c r="B224" s="5">
        <v>4.0199999999999996</v>
      </c>
      <c r="C224">
        <f>31*60+51</f>
        <v>1911</v>
      </c>
      <c r="D224">
        <f>7*60+55</f>
        <v>475</v>
      </c>
      <c r="E224" s="4" t="str">
        <f t="shared" si="3"/>
        <v>7:55</v>
      </c>
      <c r="F224">
        <v>101</v>
      </c>
      <c r="G224" t="s">
        <v>101</v>
      </c>
      <c r="H224" s="2" t="s">
        <v>277</v>
      </c>
      <c r="I224">
        <f>COUNTIF($B$2:B224, "&lt;&gt;")</f>
        <v>223</v>
      </c>
      <c r="J224">
        <f>F224/B224</f>
        <v>25.124378109452739</v>
      </c>
    </row>
    <row r="225" spans="1:10" x14ac:dyDescent="0.3">
      <c r="A225" s="1">
        <v>44267</v>
      </c>
      <c r="B225" s="5">
        <v>3.14</v>
      </c>
      <c r="C225">
        <f>28*60+28</f>
        <v>1708</v>
      </c>
      <c r="D225">
        <f>9*60+4</f>
        <v>544</v>
      </c>
      <c r="E225" s="4" t="str">
        <f t="shared" si="3"/>
        <v>9:04</v>
      </c>
      <c r="F225">
        <v>108</v>
      </c>
      <c r="G225" t="s">
        <v>76</v>
      </c>
      <c r="H225" s="2" t="s">
        <v>278</v>
      </c>
      <c r="I225">
        <f>COUNTIF($B$2:B225, "&lt;&gt;")</f>
        <v>224</v>
      </c>
      <c r="J225">
        <f>F225/B225</f>
        <v>34.394904458598724</v>
      </c>
    </row>
    <row r="226" spans="1:10" x14ac:dyDescent="0.3">
      <c r="A226" s="1">
        <v>44268</v>
      </c>
      <c r="B226" s="5">
        <v>4.45</v>
      </c>
      <c r="C226">
        <f>37*60+53</f>
        <v>2273</v>
      </c>
      <c r="D226">
        <f>8*60+30</f>
        <v>510</v>
      </c>
      <c r="E226" s="4" t="str">
        <f t="shared" si="3"/>
        <v>8:30</v>
      </c>
      <c r="F226">
        <v>33</v>
      </c>
      <c r="G226" t="s">
        <v>32</v>
      </c>
      <c r="H226" s="2" t="s">
        <v>279</v>
      </c>
      <c r="I226">
        <f>COUNTIF($B$2:B226, "&lt;&gt;")</f>
        <v>225</v>
      </c>
      <c r="J226">
        <f>F226/B226</f>
        <v>7.4157303370786511</v>
      </c>
    </row>
    <row r="227" spans="1:10" x14ac:dyDescent="0.3">
      <c r="A227" s="1">
        <v>44269</v>
      </c>
      <c r="B227" s="5">
        <v>13.11</v>
      </c>
      <c r="C227">
        <f>1*3600+44*60+1</f>
        <v>6241</v>
      </c>
      <c r="D227">
        <f>ROUND(C227/B227,0)</f>
        <v>476</v>
      </c>
      <c r="E227" s="4" t="str">
        <f t="shared" si="3"/>
        <v>7:56</v>
      </c>
      <c r="F227">
        <v>197</v>
      </c>
      <c r="G227" t="s">
        <v>32</v>
      </c>
      <c r="H227" s="2" t="s">
        <v>280</v>
      </c>
      <c r="I227">
        <f>COUNTIF($B$2:B227, "&lt;&gt;")</f>
        <v>226</v>
      </c>
      <c r="J227">
        <f>F227/B227</f>
        <v>15.026697177726927</v>
      </c>
    </row>
    <row r="228" spans="1:10" x14ac:dyDescent="0.3">
      <c r="A228" s="1">
        <v>44270</v>
      </c>
      <c r="B228" s="5">
        <v>3.14</v>
      </c>
      <c r="C228">
        <f>29*60+20</f>
        <v>1760</v>
      </c>
      <c r="D228">
        <f>9*60+20</f>
        <v>560</v>
      </c>
      <c r="E228" s="4" t="str">
        <f t="shared" si="3"/>
        <v>9:20</v>
      </c>
      <c r="F228">
        <v>95</v>
      </c>
      <c r="G228" t="s">
        <v>281</v>
      </c>
      <c r="H228" s="2" t="s">
        <v>282</v>
      </c>
      <c r="I228">
        <f>COUNTIF($B$2:B228, "&lt;&gt;")</f>
        <v>227</v>
      </c>
      <c r="J228">
        <f>F228/B228</f>
        <v>30.254777070063692</v>
      </c>
    </row>
    <row r="229" spans="1:10" x14ac:dyDescent="0.3">
      <c r="A229" s="1">
        <v>44271</v>
      </c>
      <c r="B229" s="5">
        <v>3.12</v>
      </c>
      <c r="C229">
        <f>25*60+32</f>
        <v>1532</v>
      </c>
      <c r="D229">
        <f>8*60+10</f>
        <v>490</v>
      </c>
      <c r="E229" s="4" t="str">
        <f t="shared" si="3"/>
        <v>8:10</v>
      </c>
      <c r="F229">
        <v>144</v>
      </c>
      <c r="G229" t="s">
        <v>15</v>
      </c>
      <c r="H229" s="2" t="s">
        <v>283</v>
      </c>
      <c r="I229">
        <f>COUNTIF($B$2:B229, "&lt;&gt;")</f>
        <v>228</v>
      </c>
      <c r="J229">
        <f>F229/B229</f>
        <v>46.153846153846153</v>
      </c>
    </row>
    <row r="230" spans="1:10" x14ac:dyDescent="0.3">
      <c r="A230" s="1">
        <v>44272</v>
      </c>
      <c r="B230" s="5">
        <v>3.17</v>
      </c>
      <c r="C230">
        <f>27*60+32</f>
        <v>1652</v>
      </c>
      <c r="D230">
        <f>8*60+41</f>
        <v>521</v>
      </c>
      <c r="E230" s="4" t="str">
        <f t="shared" si="3"/>
        <v>8:41</v>
      </c>
      <c r="F230">
        <v>129</v>
      </c>
      <c r="G230" t="s">
        <v>281</v>
      </c>
      <c r="H230" s="2" t="s">
        <v>284</v>
      </c>
      <c r="I230">
        <f>COUNTIF($B$2:B230, "&lt;&gt;")</f>
        <v>229</v>
      </c>
      <c r="J230">
        <f>F230/B230</f>
        <v>40.694006309148264</v>
      </c>
    </row>
    <row r="231" spans="1:10" x14ac:dyDescent="0.3">
      <c r="A231" s="1">
        <v>44273</v>
      </c>
      <c r="B231" s="5">
        <v>3.11</v>
      </c>
      <c r="C231">
        <f>27*60+16</f>
        <v>1636</v>
      </c>
      <c r="D231">
        <f>8*60+45</f>
        <v>525</v>
      </c>
      <c r="E231" s="4" t="str">
        <f t="shared" si="3"/>
        <v>8:45</v>
      </c>
      <c r="F231">
        <v>89</v>
      </c>
      <c r="G231" t="s">
        <v>19</v>
      </c>
      <c r="H231" s="2" t="s">
        <v>285</v>
      </c>
      <c r="I231">
        <f>COUNTIF($B$2:B231, "&lt;&gt;")</f>
        <v>230</v>
      </c>
      <c r="J231">
        <f>F231/B231</f>
        <v>28.617363344051448</v>
      </c>
    </row>
    <row r="232" spans="1:10" x14ac:dyDescent="0.3">
      <c r="A232" s="1">
        <v>44274</v>
      </c>
      <c r="B232" s="5">
        <v>3.11</v>
      </c>
      <c r="C232">
        <f>29*60+12</f>
        <v>1752</v>
      </c>
      <c r="D232">
        <f>9*60+22</f>
        <v>562</v>
      </c>
      <c r="E232" s="4" t="str">
        <f t="shared" si="3"/>
        <v>9:22</v>
      </c>
      <c r="F232">
        <v>138</v>
      </c>
      <c r="G232" t="s">
        <v>76</v>
      </c>
      <c r="H232" s="2" t="s">
        <v>286</v>
      </c>
      <c r="I232">
        <f>COUNTIF($B$2:B232, "&lt;&gt;")</f>
        <v>231</v>
      </c>
      <c r="J232">
        <f>F232/B232</f>
        <v>44.372990353697752</v>
      </c>
    </row>
    <row r="233" spans="1:10" x14ac:dyDescent="0.3">
      <c r="A233" s="1">
        <v>44275</v>
      </c>
      <c r="B233" s="5">
        <v>3.5</v>
      </c>
      <c r="C233">
        <f>35*60+52</f>
        <v>2152</v>
      </c>
      <c r="D233">
        <f>10*60+14</f>
        <v>614</v>
      </c>
      <c r="E233" s="4" t="str">
        <f t="shared" si="3"/>
        <v>10:14</v>
      </c>
      <c r="F233">
        <v>56</v>
      </c>
      <c r="G233" t="s">
        <v>287</v>
      </c>
      <c r="H233" s="2" t="s">
        <v>288</v>
      </c>
      <c r="I233">
        <f>COUNTIF($B$2:B233, "&lt;&gt;")</f>
        <v>232</v>
      </c>
      <c r="J233">
        <f>F233/B233</f>
        <v>16</v>
      </c>
    </row>
    <row r="234" spans="1:10" x14ac:dyDescent="0.3">
      <c r="A234" s="1">
        <v>44276</v>
      </c>
      <c r="B234" s="5">
        <v>3.12</v>
      </c>
      <c r="C234">
        <f>30*60+29</f>
        <v>1829</v>
      </c>
      <c r="D234">
        <f>9*60+45</f>
        <v>585</v>
      </c>
      <c r="E234" s="4" t="str">
        <f t="shared" si="3"/>
        <v>9:45</v>
      </c>
      <c r="F234">
        <v>108</v>
      </c>
      <c r="G234" t="s">
        <v>68</v>
      </c>
      <c r="H234" s="2" t="s">
        <v>289</v>
      </c>
      <c r="I234">
        <f>COUNTIF($B$2:B234, "&lt;&gt;")</f>
        <v>233</v>
      </c>
      <c r="J234">
        <f>F234/B234</f>
        <v>34.615384615384613</v>
      </c>
    </row>
    <row r="235" spans="1:10" x14ac:dyDescent="0.3">
      <c r="A235" s="1">
        <v>44277</v>
      </c>
      <c r="B235" s="5">
        <v>3.11</v>
      </c>
      <c r="C235">
        <f>25*60+51</f>
        <v>1551</v>
      </c>
      <c r="D235">
        <f>8*60+17</f>
        <v>497</v>
      </c>
      <c r="E235" s="4" t="str">
        <f t="shared" si="3"/>
        <v>8:17</v>
      </c>
      <c r="F235">
        <v>95</v>
      </c>
      <c r="G235" t="s">
        <v>281</v>
      </c>
      <c r="H235" s="2" t="s">
        <v>290</v>
      </c>
      <c r="I235">
        <f>COUNTIF($B$2:B235, "&lt;&gt;")</f>
        <v>234</v>
      </c>
      <c r="J235">
        <f>F235/B235</f>
        <v>30.54662379421222</v>
      </c>
    </row>
    <row r="236" spans="1:10" x14ac:dyDescent="0.3">
      <c r="A236" s="1">
        <v>44278</v>
      </c>
      <c r="B236" s="5">
        <v>3.12</v>
      </c>
      <c r="C236">
        <f>23*60+23</f>
        <v>1403</v>
      </c>
      <c r="D236">
        <f>7*60+29</f>
        <v>449</v>
      </c>
      <c r="E236" s="4" t="str">
        <f t="shared" si="3"/>
        <v>7:29</v>
      </c>
      <c r="F236">
        <v>68</v>
      </c>
      <c r="G236" t="s">
        <v>15</v>
      </c>
      <c r="H236" s="2" t="s">
        <v>291</v>
      </c>
      <c r="I236">
        <f>COUNTIF($B$2:B236, "&lt;&gt;")</f>
        <v>235</v>
      </c>
      <c r="J236">
        <f>F236/B236</f>
        <v>21.794871794871796</v>
      </c>
    </row>
    <row r="237" spans="1:10" x14ac:dyDescent="0.3">
      <c r="A237" s="1">
        <v>44279</v>
      </c>
      <c r="B237" s="5">
        <v>3.12</v>
      </c>
      <c r="C237">
        <f>27*60+56</f>
        <v>1676</v>
      </c>
      <c r="D237">
        <f>8*60+57</f>
        <v>537</v>
      </c>
      <c r="E237" s="4" t="str">
        <f t="shared" si="3"/>
        <v>8:57</v>
      </c>
      <c r="F237">
        <v>95</v>
      </c>
      <c r="G237" t="s">
        <v>17</v>
      </c>
      <c r="H237" s="2" t="s">
        <v>292</v>
      </c>
      <c r="I237">
        <f>COUNTIF($B$2:B237, "&lt;&gt;")</f>
        <v>236</v>
      </c>
      <c r="J237">
        <f>F237/B237</f>
        <v>30.448717948717949</v>
      </c>
    </row>
    <row r="238" spans="1:10" x14ac:dyDescent="0.3">
      <c r="A238" s="1">
        <v>44280</v>
      </c>
      <c r="B238" s="5">
        <v>3.13</v>
      </c>
      <c r="C238">
        <f>24*60+27</f>
        <v>1467</v>
      </c>
      <c r="D238">
        <f>7*60+48</f>
        <v>468</v>
      </c>
      <c r="E238" s="4" t="str">
        <f t="shared" si="3"/>
        <v>7:48</v>
      </c>
      <c r="F238">
        <v>69</v>
      </c>
      <c r="G238" t="s">
        <v>19</v>
      </c>
      <c r="H238" s="2" t="s">
        <v>293</v>
      </c>
      <c r="I238">
        <f>COUNTIF($B$2:B238, "&lt;&gt;")</f>
        <v>237</v>
      </c>
      <c r="J238">
        <f>F238/B238</f>
        <v>22.044728434504794</v>
      </c>
    </row>
    <row r="239" spans="1:10" x14ac:dyDescent="0.3">
      <c r="A239" s="1">
        <v>44281</v>
      </c>
      <c r="B239" s="5">
        <v>3.13</v>
      </c>
      <c r="C239">
        <f>30*60+28</f>
        <v>1828</v>
      </c>
      <c r="D239">
        <f>9*60+43</f>
        <v>583</v>
      </c>
      <c r="E239" s="4" t="str">
        <f t="shared" si="3"/>
        <v>9:43</v>
      </c>
      <c r="F239">
        <v>108</v>
      </c>
      <c r="G239" t="s">
        <v>76</v>
      </c>
      <c r="H239" s="2" t="s">
        <v>294</v>
      </c>
      <c r="I239">
        <f>COUNTIF($B$2:B239, "&lt;&gt;")</f>
        <v>238</v>
      </c>
      <c r="J239">
        <f>F239/B239</f>
        <v>34.504792332268373</v>
      </c>
    </row>
    <row r="240" spans="1:10" x14ac:dyDescent="0.3">
      <c r="A240" s="1">
        <v>44282</v>
      </c>
      <c r="B240" s="5">
        <v>3.21</v>
      </c>
      <c r="C240">
        <f>26*60+32</f>
        <v>1592</v>
      </c>
      <c r="D240">
        <f>8*60+15</f>
        <v>495</v>
      </c>
      <c r="E240" s="4" t="str">
        <f t="shared" si="3"/>
        <v>8:15</v>
      </c>
      <c r="F240">
        <v>72</v>
      </c>
      <c r="G240" t="s">
        <v>9</v>
      </c>
      <c r="H240" s="2" t="s">
        <v>295</v>
      </c>
      <c r="I240">
        <f>COUNTIF($B$2:B240, "&lt;&gt;")</f>
        <v>239</v>
      </c>
      <c r="J240">
        <f>F240/B240</f>
        <v>22.429906542056074</v>
      </c>
    </row>
    <row r="241" spans="1:10" x14ac:dyDescent="0.3">
      <c r="A241" s="1">
        <v>44283</v>
      </c>
      <c r="B241" s="5">
        <v>3.23</v>
      </c>
      <c r="C241">
        <f>30*60+16</f>
        <v>1816</v>
      </c>
      <c r="D241">
        <f>9*60+21</f>
        <v>561</v>
      </c>
      <c r="E241" s="4" t="str">
        <f t="shared" si="3"/>
        <v>9:21</v>
      </c>
      <c r="F241">
        <v>151</v>
      </c>
      <c r="G241" t="s">
        <v>76</v>
      </c>
      <c r="H241" s="2" t="s">
        <v>296</v>
      </c>
      <c r="I241">
        <f>COUNTIF($B$2:B241, "&lt;&gt;")</f>
        <v>240</v>
      </c>
      <c r="J241">
        <f>F241/B241</f>
        <v>46.749226006191954</v>
      </c>
    </row>
    <row r="242" spans="1:10" x14ac:dyDescent="0.3">
      <c r="A242" s="1">
        <v>44284</v>
      </c>
      <c r="B242" s="5">
        <v>3.14</v>
      </c>
      <c r="C242">
        <f>32*60+15</f>
        <v>1935</v>
      </c>
      <c r="D242">
        <f>10*60+16</f>
        <v>616</v>
      </c>
      <c r="E242" s="4" t="str">
        <f t="shared" si="3"/>
        <v>10:16</v>
      </c>
      <c r="F242">
        <v>72</v>
      </c>
      <c r="G242" t="s">
        <v>281</v>
      </c>
      <c r="H242" s="2" t="s">
        <v>297</v>
      </c>
      <c r="I242">
        <f>COUNTIF($B$2:B242, "&lt;&gt;")</f>
        <v>241</v>
      </c>
      <c r="J242">
        <f>F242/B242</f>
        <v>22.929936305732483</v>
      </c>
    </row>
    <row r="243" spans="1:10" x14ac:dyDescent="0.3">
      <c r="A243" s="1">
        <v>44285</v>
      </c>
      <c r="B243" s="5">
        <v>3.11</v>
      </c>
      <c r="C243">
        <f>24*60+15</f>
        <v>1455</v>
      </c>
      <c r="D243">
        <f>7*60+47</f>
        <v>467</v>
      </c>
      <c r="E243" s="4" t="str">
        <f t="shared" si="3"/>
        <v>7:47</v>
      </c>
      <c r="F243">
        <v>72</v>
      </c>
      <c r="G243" t="s">
        <v>15</v>
      </c>
      <c r="H243" s="2" t="s">
        <v>298</v>
      </c>
      <c r="I243">
        <f>COUNTIF($B$2:B243, "&lt;&gt;")</f>
        <v>242</v>
      </c>
      <c r="J243">
        <f>F243/B243</f>
        <v>23.15112540192926</v>
      </c>
    </row>
    <row r="244" spans="1:10" x14ac:dyDescent="0.3">
      <c r="A244" s="1">
        <v>44286</v>
      </c>
      <c r="B244" s="5">
        <v>3.12</v>
      </c>
      <c r="C244">
        <f>28*60+35</f>
        <v>1715</v>
      </c>
      <c r="D244">
        <f>9*60+10</f>
        <v>550</v>
      </c>
      <c r="E244" s="4" t="str">
        <f t="shared" si="3"/>
        <v>9:10</v>
      </c>
      <c r="F244">
        <v>95</v>
      </c>
      <c r="G244" t="s">
        <v>17</v>
      </c>
      <c r="H244" s="2" t="s">
        <v>299</v>
      </c>
      <c r="I244">
        <f>COUNTIF($B$2:B244, "&lt;&gt;")</f>
        <v>243</v>
      </c>
      <c r="J244">
        <f>F244/B244</f>
        <v>30.448717948717949</v>
      </c>
    </row>
    <row r="245" spans="1:10" x14ac:dyDescent="0.3">
      <c r="A245" s="1">
        <v>44287</v>
      </c>
      <c r="B245" s="5">
        <v>3.12</v>
      </c>
      <c r="C245">
        <f>24*60+43</f>
        <v>1483</v>
      </c>
      <c r="D245">
        <f>7*60+55</f>
        <v>475</v>
      </c>
      <c r="E245" s="4" t="str">
        <f t="shared" si="3"/>
        <v>7:55</v>
      </c>
      <c r="F245">
        <v>72</v>
      </c>
      <c r="G245" t="s">
        <v>19</v>
      </c>
      <c r="H245" s="2" t="s">
        <v>300</v>
      </c>
      <c r="I245">
        <f>COUNTIF($B$2:B245, "&lt;&gt;")</f>
        <v>244</v>
      </c>
      <c r="J245">
        <f>F245/B245</f>
        <v>23.076923076923077</v>
      </c>
    </row>
    <row r="246" spans="1:10" x14ac:dyDescent="0.3">
      <c r="A246" s="1">
        <v>44288</v>
      </c>
      <c r="B246" s="5">
        <v>3.11</v>
      </c>
      <c r="C246">
        <f>27*60+53</f>
        <v>1673</v>
      </c>
      <c r="D246">
        <f>8*60+57</f>
        <v>537</v>
      </c>
      <c r="E246" s="4" t="str">
        <f t="shared" si="3"/>
        <v>8:57</v>
      </c>
      <c r="F246">
        <v>121</v>
      </c>
      <c r="G246" t="s">
        <v>76</v>
      </c>
      <c r="H246" s="2" t="s">
        <v>301</v>
      </c>
      <c r="I246">
        <f>COUNTIF($B$2:B246, "&lt;&gt;")</f>
        <v>245</v>
      </c>
      <c r="J246">
        <f>F246/B246</f>
        <v>38.906752411575567</v>
      </c>
    </row>
    <row r="247" spans="1:10" x14ac:dyDescent="0.3">
      <c r="A247" s="1">
        <v>44289</v>
      </c>
      <c r="B247" s="5">
        <v>3.15</v>
      </c>
      <c r="C247">
        <f>25*60+45</f>
        <v>1545</v>
      </c>
      <c r="D247">
        <f>8*60+10</f>
        <v>490</v>
      </c>
      <c r="E247" s="4" t="str">
        <f t="shared" si="3"/>
        <v>8:10</v>
      </c>
      <c r="F247">
        <v>26</v>
      </c>
      <c r="G247" t="s">
        <v>27</v>
      </c>
      <c r="H247" s="2" t="s">
        <v>302</v>
      </c>
      <c r="I247">
        <f>COUNTIF($B$2:B247, "&lt;&gt;")</f>
        <v>246</v>
      </c>
      <c r="J247">
        <f>F247/B247</f>
        <v>8.2539682539682548</v>
      </c>
    </row>
    <row r="248" spans="1:10" x14ac:dyDescent="0.3">
      <c r="A248" s="1">
        <v>44290</v>
      </c>
      <c r="B248" s="5">
        <v>3.12</v>
      </c>
      <c r="C248">
        <f>28*60+8</f>
        <v>1688</v>
      </c>
      <c r="D248">
        <f>9*60+1</f>
        <v>541</v>
      </c>
      <c r="E248" s="4" t="str">
        <f t="shared" si="3"/>
        <v>9:01</v>
      </c>
      <c r="F248">
        <v>56</v>
      </c>
      <c r="G248" t="s">
        <v>68</v>
      </c>
      <c r="H248" s="2" t="s">
        <v>303</v>
      </c>
      <c r="I248">
        <f>COUNTIF($B$2:B248, "&lt;&gt;")</f>
        <v>247</v>
      </c>
      <c r="J248">
        <f>F248/B248</f>
        <v>17.948717948717949</v>
      </c>
    </row>
    <row r="249" spans="1:10" x14ac:dyDescent="0.3">
      <c r="A249" s="1">
        <v>44291</v>
      </c>
      <c r="B249" s="5">
        <v>3.13</v>
      </c>
      <c r="C249">
        <f>30*60+53</f>
        <v>1853</v>
      </c>
      <c r="D249">
        <f>9*60+52</f>
        <v>592</v>
      </c>
      <c r="E249" s="4" t="str">
        <f t="shared" si="3"/>
        <v>9:52</v>
      </c>
      <c r="F249">
        <v>64</v>
      </c>
      <c r="G249" t="s">
        <v>281</v>
      </c>
      <c r="H249" s="2" t="s">
        <v>304</v>
      </c>
      <c r="I249">
        <f>COUNTIF($B$2:B249, "&lt;&gt;")</f>
        <v>248</v>
      </c>
      <c r="J249">
        <f>F249/B249</f>
        <v>20.447284345047922</v>
      </c>
    </row>
    <row r="250" spans="1:10" x14ac:dyDescent="0.3">
      <c r="A250" s="1">
        <v>44292</v>
      </c>
      <c r="B250" s="5">
        <v>3.21</v>
      </c>
      <c r="C250">
        <f>29*60+6</f>
        <v>1746</v>
      </c>
      <c r="D250">
        <f>9*60+3</f>
        <v>543</v>
      </c>
      <c r="E250" s="4" t="str">
        <f t="shared" si="3"/>
        <v>9:03</v>
      </c>
      <c r="F250">
        <v>157</v>
      </c>
      <c r="G250" t="s">
        <v>305</v>
      </c>
      <c r="H250" s="2" t="s">
        <v>306</v>
      </c>
      <c r="I250">
        <f>COUNTIF($B$2:B250, "&lt;&gt;")</f>
        <v>249</v>
      </c>
      <c r="J250">
        <f>F250/B250</f>
        <v>48.909657320872277</v>
      </c>
    </row>
    <row r="251" spans="1:10" x14ac:dyDescent="0.3">
      <c r="A251" s="1">
        <v>44293</v>
      </c>
      <c r="B251" s="5">
        <v>3.11</v>
      </c>
      <c r="C251">
        <f>25*60+47</f>
        <v>1547</v>
      </c>
      <c r="D251">
        <f>8*60+16</f>
        <v>496</v>
      </c>
      <c r="E251" s="4" t="str">
        <f t="shared" si="3"/>
        <v>8:16</v>
      </c>
      <c r="F251">
        <v>75</v>
      </c>
      <c r="G251" t="s">
        <v>17</v>
      </c>
      <c r="H251" s="2" t="s">
        <v>307</v>
      </c>
      <c r="I251">
        <f>COUNTIF($B$2:B251, "&lt;&gt;")</f>
        <v>250</v>
      </c>
      <c r="J251">
        <f>F251/B251</f>
        <v>24.115755627009648</v>
      </c>
    </row>
    <row r="252" spans="1:10" x14ac:dyDescent="0.3">
      <c r="A252" s="1">
        <v>44294</v>
      </c>
      <c r="B252" s="5">
        <v>3.12</v>
      </c>
      <c r="C252">
        <f>25*60+32</f>
        <v>1532</v>
      </c>
      <c r="D252">
        <f>8*60+11</f>
        <v>491</v>
      </c>
      <c r="E252" s="4" t="str">
        <f t="shared" si="3"/>
        <v>8:11</v>
      </c>
      <c r="F252">
        <v>69</v>
      </c>
      <c r="G252" t="s">
        <v>19</v>
      </c>
      <c r="H252" s="2" t="s">
        <v>308</v>
      </c>
      <c r="I252">
        <f>COUNTIF($B$2:B252, "&lt;&gt;")</f>
        <v>251</v>
      </c>
      <c r="J252">
        <f>F252/B252</f>
        <v>22.115384615384613</v>
      </c>
    </row>
    <row r="253" spans="1:10" x14ac:dyDescent="0.3">
      <c r="A253" s="1">
        <v>44295</v>
      </c>
      <c r="B253" s="5">
        <v>3.13</v>
      </c>
      <c r="C253">
        <f>27*60+4</f>
        <v>1624</v>
      </c>
      <c r="D253">
        <f>8*60+41</f>
        <v>521</v>
      </c>
      <c r="E253" s="4" t="str">
        <f t="shared" si="3"/>
        <v>8:41</v>
      </c>
      <c r="F253">
        <v>79</v>
      </c>
      <c r="G253" t="s">
        <v>27</v>
      </c>
      <c r="H253" s="2" t="s">
        <v>309</v>
      </c>
      <c r="I253">
        <f>COUNTIF($B$2:B253, "&lt;&gt;")</f>
        <v>252</v>
      </c>
      <c r="J253">
        <f>F253/B253</f>
        <v>25.23961661341853</v>
      </c>
    </row>
    <row r="254" spans="1:10" x14ac:dyDescent="0.3">
      <c r="A254" s="1">
        <v>44296</v>
      </c>
      <c r="B254" s="5">
        <v>11.02</v>
      </c>
      <c r="C254">
        <f>1*3600+46*60+14</f>
        <v>6374</v>
      </c>
      <c r="D254">
        <f>9*60+38</f>
        <v>578</v>
      </c>
      <c r="E254" s="4" t="str">
        <f t="shared" si="3"/>
        <v>9:38</v>
      </c>
      <c r="F254">
        <v>760</v>
      </c>
      <c r="G254" t="s">
        <v>310</v>
      </c>
      <c r="H254" s="2" t="s">
        <v>311</v>
      </c>
      <c r="I254">
        <f>COUNTIF($B$2:B254, "&lt;&gt;")</f>
        <v>253</v>
      </c>
      <c r="J254">
        <f>F254/B254</f>
        <v>68.965517241379317</v>
      </c>
    </row>
    <row r="255" spans="1:10" x14ac:dyDescent="0.3">
      <c r="A255" s="1">
        <v>44297</v>
      </c>
      <c r="B255" s="5">
        <v>5.37</v>
      </c>
      <c r="C255">
        <f>44*60+15</f>
        <v>2655</v>
      </c>
      <c r="D255">
        <f>8*60+14</f>
        <v>494</v>
      </c>
      <c r="E255" s="4" t="str">
        <f t="shared" si="3"/>
        <v>8:14</v>
      </c>
      <c r="F255">
        <v>224</v>
      </c>
      <c r="G255" t="s">
        <v>204</v>
      </c>
      <c r="H255" s="2" t="s">
        <v>312</v>
      </c>
      <c r="I255">
        <f>COUNTIF($B$2:B255, "&lt;&gt;")</f>
        <v>254</v>
      </c>
      <c r="J255">
        <f>F255/B255</f>
        <v>41.713221601489757</v>
      </c>
    </row>
    <row r="256" spans="1:10" x14ac:dyDescent="0.3">
      <c r="A256" s="1">
        <v>44298</v>
      </c>
      <c r="B256" s="5">
        <v>3.13</v>
      </c>
      <c r="C256">
        <f>30*60+35</f>
        <v>1835</v>
      </c>
      <c r="D256">
        <f>9*60+46</f>
        <v>586</v>
      </c>
      <c r="E256" s="4" t="str">
        <f t="shared" si="3"/>
        <v>9:46</v>
      </c>
      <c r="F256">
        <v>55</v>
      </c>
      <c r="G256" t="s">
        <v>281</v>
      </c>
      <c r="H256" s="2" t="s">
        <v>313</v>
      </c>
      <c r="I256">
        <f>COUNTIF($B$2:B256, "&lt;&gt;")</f>
        <v>255</v>
      </c>
      <c r="J256">
        <f>F256/B256</f>
        <v>17.571884984025559</v>
      </c>
    </row>
    <row r="257" spans="1:10" x14ac:dyDescent="0.3">
      <c r="A257" s="1">
        <v>44299</v>
      </c>
      <c r="B257" s="5">
        <v>3.11</v>
      </c>
      <c r="C257">
        <f>27*60+22</f>
        <v>1642</v>
      </c>
      <c r="D257">
        <f>8*60+47</f>
        <v>527</v>
      </c>
      <c r="E257" s="4" t="str">
        <f t="shared" si="3"/>
        <v>8:47</v>
      </c>
      <c r="F257">
        <v>154</v>
      </c>
      <c r="G257" t="s">
        <v>305</v>
      </c>
      <c r="H257" s="2" t="s">
        <v>314</v>
      </c>
      <c r="I257">
        <f>COUNTIF($B$2:B257, "&lt;&gt;")</f>
        <v>256</v>
      </c>
      <c r="J257">
        <f>F257/B257</f>
        <v>49.517684887459808</v>
      </c>
    </row>
    <row r="258" spans="1:10" x14ac:dyDescent="0.3">
      <c r="A258" s="1">
        <v>44300</v>
      </c>
      <c r="B258" s="5">
        <v>3.13</v>
      </c>
      <c r="C258">
        <f>24*60+30</f>
        <v>1470</v>
      </c>
      <c r="D258">
        <f>7*60+48</f>
        <v>468</v>
      </c>
      <c r="E258" s="4" t="str">
        <f t="shared" si="3"/>
        <v>7:48</v>
      </c>
      <c r="F258">
        <v>129</v>
      </c>
      <c r="G258" t="s">
        <v>315</v>
      </c>
      <c r="H258" s="2" t="s">
        <v>316</v>
      </c>
      <c r="I258">
        <f>COUNTIF($B$2:B258, "&lt;&gt;")</f>
        <v>257</v>
      </c>
      <c r="J258">
        <f>F258/B258</f>
        <v>41.214057507987221</v>
      </c>
    </row>
    <row r="259" spans="1:10" x14ac:dyDescent="0.3">
      <c r="A259" s="1">
        <v>44301</v>
      </c>
      <c r="B259" s="5">
        <v>3.11</v>
      </c>
      <c r="C259">
        <f>28*60+37</f>
        <v>1717</v>
      </c>
      <c r="D259">
        <f>9*60+10</f>
        <v>550</v>
      </c>
      <c r="E259" s="4" t="str">
        <f t="shared" ref="E259:E322" si="4">CONCATENATE(ROUNDDOWN(D259/60,0),":",IF(ROUNDDOWN(D259-ROUNDDOWN(D259/60,0)*60,0)&gt;=10,ROUNDDOWN(D259-ROUNDDOWN(D259/60,0)*60,3),CONCATENATE("0",ROUNDDOWN(D259-ROUNDDOWN(D259/60,0)*60,3))))</f>
        <v>9:10</v>
      </c>
      <c r="F259">
        <v>56</v>
      </c>
      <c r="G259" t="s">
        <v>19</v>
      </c>
      <c r="H259" s="2" t="s">
        <v>317</v>
      </c>
      <c r="I259">
        <f>COUNTIF($B$2:B259, "&lt;&gt;")</f>
        <v>258</v>
      </c>
      <c r="J259">
        <f>F259/B259</f>
        <v>18.006430868167204</v>
      </c>
    </row>
    <row r="260" spans="1:10" x14ac:dyDescent="0.3">
      <c r="A260" s="1">
        <v>44302</v>
      </c>
      <c r="B260" s="5">
        <v>3.12</v>
      </c>
      <c r="C260">
        <f>29*60+8</f>
        <v>1748</v>
      </c>
      <c r="D260">
        <f>9*60+19</f>
        <v>559</v>
      </c>
      <c r="E260" s="4" t="str">
        <f t="shared" si="4"/>
        <v>9:19</v>
      </c>
      <c r="F260">
        <v>121</v>
      </c>
      <c r="G260" t="s">
        <v>76</v>
      </c>
      <c r="H260" s="2" t="s">
        <v>318</v>
      </c>
      <c r="I260">
        <f>COUNTIF($B$2:B260, "&lt;&gt;")</f>
        <v>259</v>
      </c>
      <c r="J260">
        <f>F260/B260</f>
        <v>38.782051282051277</v>
      </c>
    </row>
    <row r="261" spans="1:10" x14ac:dyDescent="0.3">
      <c r="A261" s="1">
        <v>44303</v>
      </c>
      <c r="B261" s="5">
        <v>7.37</v>
      </c>
      <c r="C261">
        <f>1*3600+28</f>
        <v>3628</v>
      </c>
      <c r="D261">
        <f>8*60+12</f>
        <v>492</v>
      </c>
      <c r="E261" s="4" t="str">
        <f t="shared" si="4"/>
        <v>8:12</v>
      </c>
      <c r="F261">
        <v>174</v>
      </c>
      <c r="G261" t="s">
        <v>319</v>
      </c>
      <c r="H261" s="2" t="s">
        <v>320</v>
      </c>
      <c r="I261">
        <f>COUNTIF($B$2:B261, "&lt;&gt;")</f>
        <v>260</v>
      </c>
      <c r="J261">
        <f>F261/B261</f>
        <v>23.609226594301219</v>
      </c>
    </row>
    <row r="262" spans="1:10" x14ac:dyDescent="0.3">
      <c r="A262" s="1">
        <v>44304</v>
      </c>
      <c r="B262" s="5">
        <v>3.12</v>
      </c>
      <c r="C262">
        <f>29*60+34</f>
        <v>1774</v>
      </c>
      <c r="D262">
        <f>9*60+28</f>
        <v>568</v>
      </c>
      <c r="E262" s="4" t="str">
        <f t="shared" si="4"/>
        <v>9:28</v>
      </c>
      <c r="F262">
        <v>121</v>
      </c>
      <c r="G262" t="s">
        <v>76</v>
      </c>
      <c r="H262" s="2" t="s">
        <v>321</v>
      </c>
      <c r="I262">
        <f>COUNTIF($B$2:B262, "&lt;&gt;")</f>
        <v>261</v>
      </c>
      <c r="J262">
        <f>F262/B262</f>
        <v>38.782051282051277</v>
      </c>
    </row>
    <row r="263" spans="1:10" x14ac:dyDescent="0.3">
      <c r="A263" s="1">
        <v>44305</v>
      </c>
      <c r="B263" s="5">
        <v>4</v>
      </c>
      <c r="C263">
        <f>37*60+19</f>
        <v>2239</v>
      </c>
      <c r="D263">
        <f>9*60+19</f>
        <v>559</v>
      </c>
      <c r="E263" s="4" t="str">
        <f t="shared" si="4"/>
        <v>9:19</v>
      </c>
      <c r="F263">
        <v>220</v>
      </c>
      <c r="G263" t="s">
        <v>164</v>
      </c>
      <c r="H263" s="2" t="s">
        <v>322</v>
      </c>
      <c r="I263">
        <f>COUNTIF($B$2:B263, "&lt;&gt;")</f>
        <v>262</v>
      </c>
      <c r="J263">
        <f>F263/B263</f>
        <v>55</v>
      </c>
    </row>
    <row r="264" spans="1:10" x14ac:dyDescent="0.3">
      <c r="A264" s="1">
        <v>44306</v>
      </c>
      <c r="B264" s="5">
        <v>3.11</v>
      </c>
      <c r="C264">
        <f>24*60+46</f>
        <v>1486</v>
      </c>
      <c r="D264">
        <f>7*60+57</f>
        <v>477</v>
      </c>
      <c r="E264" s="4" t="str">
        <f t="shared" si="4"/>
        <v>7:57</v>
      </c>
      <c r="F264">
        <v>115</v>
      </c>
      <c r="G264" t="s">
        <v>305</v>
      </c>
      <c r="H264" s="2" t="s">
        <v>323</v>
      </c>
      <c r="I264">
        <f>COUNTIF($B$2:B264, "&lt;&gt;")</f>
        <v>263</v>
      </c>
      <c r="J264">
        <f>F264/B264</f>
        <v>36.977491961414792</v>
      </c>
    </row>
    <row r="265" spans="1:10" x14ac:dyDescent="0.3">
      <c r="A265" s="1">
        <v>44307</v>
      </c>
      <c r="B265" s="5">
        <v>3.12</v>
      </c>
      <c r="C265">
        <f>24*60+36</f>
        <v>1476</v>
      </c>
      <c r="D265">
        <f>7*60+52</f>
        <v>472</v>
      </c>
      <c r="E265" s="4" t="str">
        <f t="shared" si="4"/>
        <v>7:52</v>
      </c>
      <c r="F265">
        <v>110</v>
      </c>
      <c r="G265" t="s">
        <v>17</v>
      </c>
      <c r="H265" s="2" t="s">
        <v>324</v>
      </c>
      <c r="I265">
        <f>COUNTIF($B$2:B265, "&lt;&gt;")</f>
        <v>264</v>
      </c>
      <c r="J265">
        <f>F265/B265</f>
        <v>35.256410256410255</v>
      </c>
    </row>
    <row r="266" spans="1:10" x14ac:dyDescent="0.3">
      <c r="A266" s="1">
        <v>44308</v>
      </c>
      <c r="B266" s="5">
        <v>3.12</v>
      </c>
      <c r="C266">
        <f>25*60+35</f>
        <v>1535</v>
      </c>
      <c r="D266">
        <f>8*60+11</f>
        <v>491</v>
      </c>
      <c r="E266" s="4" t="str">
        <f t="shared" si="4"/>
        <v>8:11</v>
      </c>
      <c r="F266">
        <v>157</v>
      </c>
      <c r="G266" t="s">
        <v>19</v>
      </c>
      <c r="H266" s="2" t="s">
        <v>325</v>
      </c>
      <c r="I266">
        <f>COUNTIF($B$2:B266, "&lt;&gt;")</f>
        <v>265</v>
      </c>
      <c r="J266">
        <f>F266/B266</f>
        <v>50.320512820512818</v>
      </c>
    </row>
    <row r="267" spans="1:10" x14ac:dyDescent="0.3">
      <c r="A267" s="1">
        <v>44309</v>
      </c>
      <c r="B267" s="5">
        <v>3.19</v>
      </c>
      <c r="C267">
        <f>28*60+39</f>
        <v>1719</v>
      </c>
      <c r="D267">
        <f>8*60+58</f>
        <v>538</v>
      </c>
      <c r="E267" s="4" t="str">
        <f t="shared" si="4"/>
        <v>8:58</v>
      </c>
      <c r="F267">
        <v>115</v>
      </c>
      <c r="G267" t="s">
        <v>76</v>
      </c>
      <c r="H267" s="2" t="s">
        <v>326</v>
      </c>
      <c r="I267">
        <f>COUNTIF($B$2:B267, "&lt;&gt;")</f>
        <v>266</v>
      </c>
      <c r="J267">
        <f>F267/B267</f>
        <v>36.050156739811911</v>
      </c>
    </row>
    <row r="268" spans="1:10" x14ac:dyDescent="0.3">
      <c r="A268" s="1">
        <v>44310</v>
      </c>
      <c r="B268" s="5">
        <v>10.24</v>
      </c>
      <c r="C268">
        <f>1*3600+38*60+36</f>
        <v>5916</v>
      </c>
      <c r="D268">
        <f>9*60+38</f>
        <v>578</v>
      </c>
      <c r="E268" s="4" t="str">
        <f t="shared" si="4"/>
        <v>9:38</v>
      </c>
      <c r="F268">
        <v>647</v>
      </c>
      <c r="G268" t="s">
        <v>310</v>
      </c>
      <c r="H268" s="2" t="s">
        <v>327</v>
      </c>
      <c r="I268">
        <f>COUNTIF($B$2:B268, "&lt;&gt;")</f>
        <v>267</v>
      </c>
      <c r="J268">
        <f>F268/B268</f>
        <v>63.18359375</v>
      </c>
    </row>
    <row r="269" spans="1:10" x14ac:dyDescent="0.3">
      <c r="A269" s="1">
        <v>44311</v>
      </c>
      <c r="B269" s="5">
        <v>3.11</v>
      </c>
      <c r="C269">
        <f>20*60+56</f>
        <v>1256</v>
      </c>
      <c r="D269">
        <f>6*60+44</f>
        <v>404</v>
      </c>
      <c r="E269" s="4" t="str">
        <f t="shared" si="4"/>
        <v>6:44</v>
      </c>
      <c r="F269">
        <v>74</v>
      </c>
      <c r="G269" t="s">
        <v>169</v>
      </c>
      <c r="H269" s="2" t="s">
        <v>328</v>
      </c>
      <c r="I269">
        <f>COUNTIF($B$2:B269, "&lt;&gt;")</f>
        <v>268</v>
      </c>
      <c r="J269">
        <f>F269/B269</f>
        <v>23.79421221864952</v>
      </c>
    </row>
    <row r="270" spans="1:10" x14ac:dyDescent="0.3">
      <c r="A270" s="1">
        <v>44312</v>
      </c>
      <c r="B270" s="5">
        <v>3.14</v>
      </c>
      <c r="C270">
        <f>29*60+46</f>
        <v>1786</v>
      </c>
      <c r="D270">
        <f>9*60+28</f>
        <v>568</v>
      </c>
      <c r="E270" s="4" t="str">
        <f t="shared" si="4"/>
        <v>9:28</v>
      </c>
      <c r="F270">
        <v>59</v>
      </c>
      <c r="G270" t="s">
        <v>281</v>
      </c>
      <c r="H270" s="2" t="s">
        <v>329</v>
      </c>
      <c r="I270">
        <f>COUNTIF($B$2:B270, "&lt;&gt;")</f>
        <v>269</v>
      </c>
      <c r="J270">
        <f>F270/B270</f>
        <v>18.789808917197451</v>
      </c>
    </row>
    <row r="271" spans="1:10" x14ac:dyDescent="0.3">
      <c r="A271" s="1">
        <v>44313</v>
      </c>
      <c r="B271" s="5">
        <v>3.16</v>
      </c>
      <c r="C271">
        <f>27*60+33</f>
        <v>1653</v>
      </c>
      <c r="D271">
        <f>8*60+42</f>
        <v>522</v>
      </c>
      <c r="E271" s="4" t="str">
        <f t="shared" si="4"/>
        <v>8:42</v>
      </c>
      <c r="F271">
        <v>164</v>
      </c>
      <c r="G271" t="s">
        <v>305</v>
      </c>
      <c r="H271" s="2" t="s">
        <v>330</v>
      </c>
      <c r="I271">
        <f>COUNTIF($B$2:B271, "&lt;&gt;")</f>
        <v>270</v>
      </c>
      <c r="J271">
        <f>F271/B271</f>
        <v>51.898734177215189</v>
      </c>
    </row>
    <row r="272" spans="1:10" x14ac:dyDescent="0.3">
      <c r="A272" s="1">
        <v>44314</v>
      </c>
      <c r="B272" s="5">
        <v>3.11</v>
      </c>
      <c r="C272">
        <f>27*60+41</f>
        <v>1661</v>
      </c>
      <c r="D272">
        <f>8*60+53</f>
        <v>533</v>
      </c>
      <c r="E272" s="4" t="str">
        <f t="shared" si="4"/>
        <v>8:53</v>
      </c>
      <c r="F272">
        <v>66</v>
      </c>
      <c r="G272" t="s">
        <v>17</v>
      </c>
      <c r="H272" s="2" t="s">
        <v>331</v>
      </c>
      <c r="I272">
        <f>COUNTIF($B$2:B272, "&lt;&gt;")</f>
        <v>271</v>
      </c>
      <c r="J272">
        <f>F272/B272</f>
        <v>21.221864951768488</v>
      </c>
    </row>
    <row r="273" spans="1:10" x14ac:dyDescent="0.3">
      <c r="A273" s="1">
        <v>44315</v>
      </c>
      <c r="B273" s="5">
        <v>3.12</v>
      </c>
      <c r="C273">
        <f>29*60+36</f>
        <v>1776</v>
      </c>
      <c r="D273">
        <f>9*60+29</f>
        <v>569</v>
      </c>
      <c r="E273" s="4" t="str">
        <f t="shared" si="4"/>
        <v>9:29</v>
      </c>
      <c r="F273">
        <v>109</v>
      </c>
      <c r="G273" t="s">
        <v>76</v>
      </c>
      <c r="H273" s="2" t="s">
        <v>332</v>
      </c>
      <c r="I273">
        <f>COUNTIF($B$2:B273, "&lt;&gt;")</f>
        <v>272</v>
      </c>
      <c r="J273">
        <f>F273/B273</f>
        <v>34.935897435897438</v>
      </c>
    </row>
    <row r="274" spans="1:10" x14ac:dyDescent="0.3">
      <c r="A274" s="1">
        <v>44316</v>
      </c>
      <c r="B274" s="5">
        <v>3.12</v>
      </c>
      <c r="C274">
        <f>29*60+57</f>
        <v>1797</v>
      </c>
      <c r="D274">
        <f>9*60+35</f>
        <v>575</v>
      </c>
      <c r="E274" s="4" t="str">
        <f t="shared" si="4"/>
        <v>9:35</v>
      </c>
      <c r="F274">
        <v>108</v>
      </c>
      <c r="G274" t="s">
        <v>76</v>
      </c>
      <c r="H274" s="2" t="s">
        <v>333</v>
      </c>
      <c r="I274">
        <f>COUNTIF($B$2:B274, "&lt;&gt;")</f>
        <v>273</v>
      </c>
      <c r="J274">
        <f>F274/B274</f>
        <v>34.615384615384613</v>
      </c>
    </row>
    <row r="275" spans="1:10" x14ac:dyDescent="0.3">
      <c r="A275" s="1">
        <v>44317</v>
      </c>
      <c r="B275" s="5">
        <v>6.03</v>
      </c>
      <c r="C275">
        <f>53*60+4</f>
        <v>3184</v>
      </c>
      <c r="D275">
        <f>8*60+48</f>
        <v>528</v>
      </c>
      <c r="E275" s="4" t="str">
        <f t="shared" si="4"/>
        <v>8:48</v>
      </c>
      <c r="F275">
        <v>403</v>
      </c>
      <c r="G275" t="s">
        <v>186</v>
      </c>
      <c r="H275" s="2" t="s">
        <v>334</v>
      </c>
      <c r="I275">
        <f>COUNTIF($B$2:B275, "&lt;&gt;")</f>
        <v>274</v>
      </c>
      <c r="J275">
        <f>F275/B275</f>
        <v>66.83250414593698</v>
      </c>
    </row>
    <row r="276" spans="1:10" x14ac:dyDescent="0.3">
      <c r="A276" s="1">
        <v>44318</v>
      </c>
      <c r="B276" s="5">
        <v>3.12</v>
      </c>
      <c r="C276">
        <f>28*60+6</f>
        <v>1686</v>
      </c>
      <c r="D276">
        <f>9*60</f>
        <v>540</v>
      </c>
      <c r="E276" s="4" t="str">
        <f t="shared" si="4"/>
        <v>9:00</v>
      </c>
      <c r="F276">
        <v>108</v>
      </c>
      <c r="G276" t="s">
        <v>76</v>
      </c>
      <c r="H276" s="2" t="s">
        <v>335</v>
      </c>
      <c r="I276">
        <f>COUNTIF($B$2:B276, "&lt;&gt;")</f>
        <v>275</v>
      </c>
      <c r="J276">
        <f>F276/B276</f>
        <v>34.615384615384613</v>
      </c>
    </row>
    <row r="277" spans="1:10" x14ac:dyDescent="0.3">
      <c r="A277" s="1">
        <v>44319</v>
      </c>
      <c r="B277" s="5">
        <v>3.11</v>
      </c>
      <c r="C277">
        <f>27*60+26</f>
        <v>1646</v>
      </c>
      <c r="D277">
        <f>8*60+49</f>
        <v>529</v>
      </c>
      <c r="E277" s="4" t="str">
        <f t="shared" si="4"/>
        <v>8:49</v>
      </c>
      <c r="F277">
        <v>111</v>
      </c>
      <c r="G277" t="s">
        <v>281</v>
      </c>
      <c r="H277" s="2" t="s">
        <v>336</v>
      </c>
      <c r="I277">
        <f>COUNTIF($B$2:B277, "&lt;&gt;")</f>
        <v>276</v>
      </c>
      <c r="J277">
        <f>F277/B277</f>
        <v>35.69131832797428</v>
      </c>
    </row>
    <row r="278" spans="1:10" x14ac:dyDescent="0.3">
      <c r="A278" s="1">
        <v>44320</v>
      </c>
      <c r="B278" s="5">
        <v>3.13</v>
      </c>
      <c r="C278">
        <f>25*60+9</f>
        <v>1509</v>
      </c>
      <c r="D278">
        <f>8*60+2</f>
        <v>482</v>
      </c>
      <c r="E278" s="4" t="str">
        <f t="shared" si="4"/>
        <v>8:02</v>
      </c>
      <c r="F278">
        <v>158</v>
      </c>
      <c r="G278" t="s">
        <v>305</v>
      </c>
      <c r="H278" s="2" t="s">
        <v>337</v>
      </c>
      <c r="I278">
        <f>COUNTIF($B$2:B278, "&lt;&gt;")</f>
        <v>277</v>
      </c>
      <c r="J278">
        <f>F278/B278</f>
        <v>50.47923322683706</v>
      </c>
    </row>
    <row r="279" spans="1:10" x14ac:dyDescent="0.3">
      <c r="A279" s="1">
        <v>44321</v>
      </c>
      <c r="B279" s="5">
        <v>3.12</v>
      </c>
      <c r="C279">
        <f>22*60+57</f>
        <v>1377</v>
      </c>
      <c r="D279">
        <f>7*60+21</f>
        <v>441</v>
      </c>
      <c r="E279" s="4" t="str">
        <f t="shared" si="4"/>
        <v>7:21</v>
      </c>
      <c r="F279">
        <v>66</v>
      </c>
      <c r="G279" t="s">
        <v>17</v>
      </c>
      <c r="H279" s="2" t="s">
        <v>338</v>
      </c>
      <c r="I279">
        <f>COUNTIF($B$2:B279, "&lt;&gt;")</f>
        <v>278</v>
      </c>
      <c r="J279">
        <f>F279/B279</f>
        <v>21.153846153846153</v>
      </c>
    </row>
    <row r="280" spans="1:10" x14ac:dyDescent="0.3">
      <c r="A280" s="1">
        <v>44322</v>
      </c>
      <c r="B280" s="5">
        <v>3.13</v>
      </c>
      <c r="C280">
        <f>22*60+48</f>
        <v>1368</v>
      </c>
      <c r="D280">
        <f>7*60+17</f>
        <v>437</v>
      </c>
      <c r="E280" s="4" t="str">
        <f t="shared" si="4"/>
        <v>7:17</v>
      </c>
      <c r="F280">
        <v>63</v>
      </c>
      <c r="G280" t="s">
        <v>19</v>
      </c>
      <c r="H280" s="2" t="s">
        <v>339</v>
      </c>
      <c r="I280">
        <f>COUNTIF($B$2:B280, "&lt;&gt;")</f>
        <v>279</v>
      </c>
      <c r="J280">
        <f>F280/B280</f>
        <v>20.12779552715655</v>
      </c>
    </row>
    <row r="281" spans="1:10" x14ac:dyDescent="0.3">
      <c r="A281" s="1">
        <v>44323</v>
      </c>
      <c r="B281" s="5">
        <v>4.26</v>
      </c>
      <c r="C281">
        <f>36*60+27</f>
        <v>2187</v>
      </c>
      <c r="D281">
        <f>8*60+33</f>
        <v>513</v>
      </c>
      <c r="E281" s="4" t="str">
        <f t="shared" si="4"/>
        <v>8:33</v>
      </c>
      <c r="F281">
        <v>123</v>
      </c>
      <c r="G281" t="s">
        <v>340</v>
      </c>
      <c r="H281" s="2" t="s">
        <v>341</v>
      </c>
      <c r="I281">
        <f>COUNTIF($B$2:B281, "&lt;&gt;")</f>
        <v>280</v>
      </c>
      <c r="J281">
        <f>F281/B281</f>
        <v>28.87323943661972</v>
      </c>
    </row>
    <row r="282" spans="1:10" x14ac:dyDescent="0.3">
      <c r="A282" s="1">
        <v>44324</v>
      </c>
      <c r="B282" s="5">
        <v>10.59</v>
      </c>
      <c r="C282">
        <f>1*3600+36*60+38</f>
        <v>5798</v>
      </c>
      <c r="D282">
        <f>9*60+7</f>
        <v>547</v>
      </c>
      <c r="E282" s="4" t="str">
        <f t="shared" si="4"/>
        <v>9:07</v>
      </c>
      <c r="F282">
        <v>368</v>
      </c>
      <c r="G282" t="s">
        <v>41</v>
      </c>
      <c r="H282" s="2" t="s">
        <v>342</v>
      </c>
      <c r="I282">
        <f>COUNTIF($B$2:B282, "&lt;&gt;")</f>
        <v>281</v>
      </c>
      <c r="J282">
        <f>F282/B282</f>
        <v>34.749763928234181</v>
      </c>
    </row>
    <row r="283" spans="1:10" x14ac:dyDescent="0.3">
      <c r="A283" s="1">
        <v>44325</v>
      </c>
      <c r="B283" s="5">
        <v>5.01</v>
      </c>
      <c r="C283">
        <f>47*60+19</f>
        <v>2839</v>
      </c>
      <c r="D283">
        <f>9*60+26</f>
        <v>566</v>
      </c>
      <c r="E283" s="4" t="str">
        <f t="shared" si="4"/>
        <v>9:26</v>
      </c>
      <c r="F283">
        <v>144</v>
      </c>
      <c r="G283" t="s">
        <v>158</v>
      </c>
      <c r="H283" s="2" t="s">
        <v>343</v>
      </c>
      <c r="I283">
        <f>COUNTIF($B$2:B283, "&lt;&gt;")</f>
        <v>282</v>
      </c>
      <c r="J283">
        <f>F283/B283</f>
        <v>28.742514970059883</v>
      </c>
    </row>
    <row r="284" spans="1:10" x14ac:dyDescent="0.3">
      <c r="A284" s="1">
        <v>44326</v>
      </c>
      <c r="B284" s="5">
        <v>4.3600000000000003</v>
      </c>
      <c r="C284">
        <f>32*60+15</f>
        <v>1935</v>
      </c>
      <c r="D284">
        <f>7*60+24</f>
        <v>444</v>
      </c>
      <c r="E284" s="4" t="str">
        <f t="shared" si="4"/>
        <v>7:24</v>
      </c>
      <c r="F284">
        <v>72</v>
      </c>
      <c r="G284" t="s">
        <v>344</v>
      </c>
      <c r="H284" s="2" t="s">
        <v>345</v>
      </c>
      <c r="I284">
        <f>COUNTIF($B$2:B284, "&lt;&gt;")</f>
        <v>283</v>
      </c>
      <c r="J284">
        <f>F284/B284</f>
        <v>16.513761467889907</v>
      </c>
    </row>
    <row r="285" spans="1:10" x14ac:dyDescent="0.3">
      <c r="A285" s="1">
        <v>44327</v>
      </c>
      <c r="B285" s="5">
        <v>3.11</v>
      </c>
      <c r="C285">
        <f>27*60+30</f>
        <v>1650</v>
      </c>
      <c r="D285">
        <f>8*60+49</f>
        <v>529</v>
      </c>
      <c r="E285" s="4" t="str">
        <f t="shared" si="4"/>
        <v>8:49</v>
      </c>
      <c r="F285">
        <v>148</v>
      </c>
      <c r="G285" t="s">
        <v>305</v>
      </c>
      <c r="H285" s="2" t="s">
        <v>346</v>
      </c>
      <c r="I285">
        <f>COUNTIF($B$2:B285, "&lt;&gt;")</f>
        <v>284</v>
      </c>
      <c r="J285">
        <f>F285/B285</f>
        <v>47.588424437299039</v>
      </c>
    </row>
    <row r="286" spans="1:10" x14ac:dyDescent="0.3">
      <c r="A286" s="1">
        <v>44328</v>
      </c>
      <c r="B286" s="5">
        <v>3.12</v>
      </c>
      <c r="C286">
        <f>23*60+11</f>
        <v>1391</v>
      </c>
      <c r="D286">
        <f>7*60+26</f>
        <v>446</v>
      </c>
      <c r="E286" s="4" t="str">
        <f t="shared" si="4"/>
        <v>7:26</v>
      </c>
      <c r="F286">
        <v>84</v>
      </c>
      <c r="G286" t="s">
        <v>17</v>
      </c>
      <c r="H286" s="2" t="s">
        <v>347</v>
      </c>
      <c r="I286">
        <f>COUNTIF($B$2:B286, "&lt;&gt;")</f>
        <v>285</v>
      </c>
      <c r="J286">
        <f>F286/B286</f>
        <v>26.923076923076923</v>
      </c>
    </row>
    <row r="287" spans="1:10" x14ac:dyDescent="0.3">
      <c r="A287" s="1">
        <v>44329</v>
      </c>
      <c r="B287" s="5">
        <v>3.11</v>
      </c>
      <c r="C287">
        <f>28*60+38</f>
        <v>1718</v>
      </c>
      <c r="D287">
        <f>9*60+11</f>
        <v>551</v>
      </c>
      <c r="E287" s="4" t="str">
        <f t="shared" si="4"/>
        <v>9:11</v>
      </c>
      <c r="F287">
        <v>68</v>
      </c>
      <c r="G287" t="s">
        <v>19</v>
      </c>
      <c r="H287" s="2" t="s">
        <v>348</v>
      </c>
      <c r="I287">
        <f>COUNTIF($B$2:B287, "&lt;&gt;")</f>
        <v>286</v>
      </c>
      <c r="J287">
        <f>F287/B287</f>
        <v>21.864951768488748</v>
      </c>
    </row>
    <row r="288" spans="1:10" x14ac:dyDescent="0.3">
      <c r="A288" s="1">
        <v>44330</v>
      </c>
      <c r="B288" s="5">
        <v>3.11</v>
      </c>
      <c r="C288">
        <f>28*60+29</f>
        <v>1709</v>
      </c>
      <c r="D288">
        <f>9*60+8</f>
        <v>548</v>
      </c>
      <c r="E288" s="4" t="str">
        <f t="shared" si="4"/>
        <v>9:08</v>
      </c>
      <c r="F288">
        <v>112</v>
      </c>
      <c r="G288" t="s">
        <v>76</v>
      </c>
      <c r="H288" s="2" t="s">
        <v>349</v>
      </c>
      <c r="I288">
        <f>COUNTIF($B$2:B288, "&lt;&gt;")</f>
        <v>287</v>
      </c>
      <c r="J288">
        <f>F288/B288</f>
        <v>36.012861736334408</v>
      </c>
    </row>
    <row r="289" spans="1:10" x14ac:dyDescent="0.3">
      <c r="A289" s="1">
        <v>44331</v>
      </c>
      <c r="B289" s="5">
        <v>5.6</v>
      </c>
      <c r="C289">
        <f>48*60+55</f>
        <v>2935</v>
      </c>
      <c r="D289">
        <f>8*60+44</f>
        <v>524</v>
      </c>
      <c r="E289" s="4" t="str">
        <f t="shared" si="4"/>
        <v>8:44</v>
      </c>
      <c r="F289">
        <v>133</v>
      </c>
      <c r="G289" t="s">
        <v>340</v>
      </c>
      <c r="H289" s="2" t="s">
        <v>350</v>
      </c>
      <c r="I289">
        <f>COUNTIF($B$2:B289, "&lt;&gt;")</f>
        <v>288</v>
      </c>
      <c r="J289">
        <f>F289/B289</f>
        <v>23.75</v>
      </c>
    </row>
    <row r="290" spans="1:10" x14ac:dyDescent="0.3">
      <c r="A290" s="1">
        <v>44332</v>
      </c>
      <c r="B290" s="5">
        <v>3.53</v>
      </c>
      <c r="C290">
        <f>34*60+4</f>
        <v>2044</v>
      </c>
      <c r="D290">
        <f>9*60+39</f>
        <v>579</v>
      </c>
      <c r="E290" s="4" t="str">
        <f t="shared" si="4"/>
        <v>9:39</v>
      </c>
      <c r="F290">
        <v>20</v>
      </c>
      <c r="G290" t="s">
        <v>68</v>
      </c>
      <c r="H290" s="2" t="s">
        <v>351</v>
      </c>
      <c r="I290">
        <f>COUNTIF($B$2:B290, "&lt;&gt;")</f>
        <v>289</v>
      </c>
      <c r="J290">
        <f>F290/B290</f>
        <v>5.6657223796034</v>
      </c>
    </row>
    <row r="291" spans="1:10" x14ac:dyDescent="0.3">
      <c r="A291" s="1">
        <v>44333</v>
      </c>
      <c r="B291" s="5">
        <v>3.15</v>
      </c>
      <c r="C291">
        <f>27*60+24</f>
        <v>1644</v>
      </c>
      <c r="D291">
        <f>8*60+41</f>
        <v>521</v>
      </c>
      <c r="E291" s="4" t="str">
        <f t="shared" si="4"/>
        <v>8:41</v>
      </c>
      <c r="F291">
        <v>59</v>
      </c>
      <c r="G291" t="s">
        <v>281</v>
      </c>
      <c r="H291" s="2" t="s">
        <v>352</v>
      </c>
      <c r="I291">
        <f>COUNTIF($B$2:B291, "&lt;&gt;")</f>
        <v>290</v>
      </c>
      <c r="J291">
        <f>F291/B291</f>
        <v>18.730158730158731</v>
      </c>
    </row>
    <row r="292" spans="1:10" x14ac:dyDescent="0.3">
      <c r="A292" s="1">
        <v>44334</v>
      </c>
      <c r="B292" s="5">
        <v>5.0199999999999996</v>
      </c>
      <c r="C292">
        <f>39*60+2</f>
        <v>2342</v>
      </c>
      <c r="D292">
        <f>7*60+46</f>
        <v>466</v>
      </c>
      <c r="E292" s="4" t="str">
        <f t="shared" si="4"/>
        <v>7:46</v>
      </c>
      <c r="F292">
        <v>247</v>
      </c>
      <c r="G292" t="s">
        <v>353</v>
      </c>
      <c r="H292" s="2" t="s">
        <v>354</v>
      </c>
      <c r="I292">
        <f>COUNTIF($B$2:B292, "&lt;&gt;")</f>
        <v>291</v>
      </c>
      <c r="J292">
        <f>F292/B292</f>
        <v>49.203187250996017</v>
      </c>
    </row>
    <row r="293" spans="1:10" x14ac:dyDescent="0.3">
      <c r="A293" s="1">
        <v>44335</v>
      </c>
      <c r="B293" s="5">
        <v>3.11</v>
      </c>
      <c r="C293">
        <f>22*60+34</f>
        <v>1354</v>
      </c>
      <c r="D293">
        <f>7*60+14</f>
        <v>434</v>
      </c>
      <c r="E293" s="4" t="str">
        <f t="shared" si="4"/>
        <v>7:14</v>
      </c>
      <c r="F293">
        <v>65</v>
      </c>
      <c r="G293" t="s">
        <v>17</v>
      </c>
      <c r="H293" s="2" t="s">
        <v>355</v>
      </c>
      <c r="I293">
        <f>COUNTIF($B$2:B293, "&lt;&gt;")</f>
        <v>292</v>
      </c>
      <c r="J293">
        <f>F293/B293</f>
        <v>20.90032154340836</v>
      </c>
    </row>
    <row r="294" spans="1:10" x14ac:dyDescent="0.3">
      <c r="A294" s="1">
        <v>44336</v>
      </c>
      <c r="B294" s="5">
        <v>3.15</v>
      </c>
      <c r="C294">
        <f>25*60+7</f>
        <v>1507</v>
      </c>
      <c r="D294">
        <f>7*60+57</f>
        <v>477</v>
      </c>
      <c r="E294" s="4" t="str">
        <f t="shared" si="4"/>
        <v>7:57</v>
      </c>
      <c r="F294">
        <v>70</v>
      </c>
      <c r="G294" t="s">
        <v>19</v>
      </c>
      <c r="H294" s="2" t="s">
        <v>356</v>
      </c>
      <c r="I294">
        <f>COUNTIF($B$2:B294, "&lt;&gt;")</f>
        <v>293</v>
      </c>
      <c r="J294">
        <f>F294/B294</f>
        <v>22.222222222222221</v>
      </c>
    </row>
    <row r="295" spans="1:10" x14ac:dyDescent="0.3">
      <c r="A295" s="1">
        <v>44337</v>
      </c>
      <c r="B295" s="5">
        <v>3.11</v>
      </c>
      <c r="C295">
        <f>26*60+40</f>
        <v>1600</v>
      </c>
      <c r="D295">
        <f>8*60+33</f>
        <v>513</v>
      </c>
      <c r="E295" s="4" t="str">
        <f t="shared" si="4"/>
        <v>8:33</v>
      </c>
      <c r="F295">
        <v>54</v>
      </c>
      <c r="G295" t="s">
        <v>357</v>
      </c>
      <c r="H295" s="2" t="s">
        <v>358</v>
      </c>
      <c r="I295">
        <f>COUNTIF($B$2:B295, "&lt;&gt;")</f>
        <v>294</v>
      </c>
      <c r="J295">
        <f>F295/B295</f>
        <v>17.363344051446948</v>
      </c>
    </row>
    <row r="296" spans="1:10" x14ac:dyDescent="0.3">
      <c r="A296" s="1">
        <v>44338</v>
      </c>
      <c r="B296" s="5">
        <v>16.170000000000002</v>
      </c>
      <c r="C296">
        <f>2*3600+36*60+4</f>
        <v>9364</v>
      </c>
      <c r="D296">
        <f>9*60+39</f>
        <v>579</v>
      </c>
      <c r="E296" s="4" t="str">
        <f t="shared" si="4"/>
        <v>9:39</v>
      </c>
      <c r="F296">
        <v>1108</v>
      </c>
      <c r="G296" t="s">
        <v>310</v>
      </c>
      <c r="H296" s="2" t="s">
        <v>359</v>
      </c>
      <c r="I296">
        <f>COUNTIF($B$2:B296, "&lt;&gt;")</f>
        <v>295</v>
      </c>
      <c r="J296">
        <f>F296/B296</f>
        <v>68.521954236239949</v>
      </c>
    </row>
    <row r="297" spans="1:10" x14ac:dyDescent="0.3">
      <c r="A297" s="1">
        <v>44339</v>
      </c>
      <c r="B297" s="5">
        <v>3.13</v>
      </c>
      <c r="C297">
        <f>30*60+51</f>
        <v>1851</v>
      </c>
      <c r="D297">
        <f>9*60+51</f>
        <v>591</v>
      </c>
      <c r="E297" s="4" t="str">
        <f t="shared" si="4"/>
        <v>9:51</v>
      </c>
      <c r="F297">
        <v>108</v>
      </c>
      <c r="G297" t="s">
        <v>76</v>
      </c>
      <c r="H297" s="2" t="s">
        <v>360</v>
      </c>
      <c r="I297">
        <f>COUNTIF($B$2:B297, "&lt;&gt;")</f>
        <v>296</v>
      </c>
      <c r="J297">
        <f>F297/B297</f>
        <v>34.504792332268373</v>
      </c>
    </row>
    <row r="298" spans="1:10" x14ac:dyDescent="0.3">
      <c r="A298" s="1">
        <v>44340</v>
      </c>
      <c r="B298" s="5">
        <v>3.32</v>
      </c>
      <c r="C298">
        <f>32*60+35</f>
        <v>1955</v>
      </c>
      <c r="D298">
        <f>9*60+47</f>
        <v>587</v>
      </c>
      <c r="E298" s="4" t="str">
        <f t="shared" si="4"/>
        <v>9:47</v>
      </c>
      <c r="F298">
        <v>72</v>
      </c>
      <c r="G298" t="s">
        <v>281</v>
      </c>
      <c r="H298" s="2" t="s">
        <v>361</v>
      </c>
      <c r="I298">
        <f>COUNTIF($B$2:B298, "&lt;&gt;")</f>
        <v>297</v>
      </c>
      <c r="J298">
        <f>F298/B298</f>
        <v>21.686746987951807</v>
      </c>
    </row>
    <row r="299" spans="1:10" x14ac:dyDescent="0.3">
      <c r="A299" s="1">
        <v>44341</v>
      </c>
      <c r="B299" s="5">
        <v>3.18</v>
      </c>
      <c r="C299">
        <f>26*60+13</f>
        <v>1573</v>
      </c>
      <c r="D299">
        <f>8*60+13</f>
        <v>493</v>
      </c>
      <c r="E299" s="4" t="str">
        <f t="shared" si="4"/>
        <v>8:13</v>
      </c>
      <c r="F299">
        <v>155</v>
      </c>
      <c r="G299" t="s">
        <v>305</v>
      </c>
      <c r="H299" s="2" t="s">
        <v>362</v>
      </c>
      <c r="I299">
        <f>COUNTIF($B$2:B299, "&lt;&gt;")</f>
        <v>298</v>
      </c>
      <c r="J299">
        <f>F299/B299</f>
        <v>48.742138364779869</v>
      </c>
    </row>
    <row r="300" spans="1:10" x14ac:dyDescent="0.3">
      <c r="A300" s="1">
        <v>44342</v>
      </c>
      <c r="B300" s="5">
        <v>3.12</v>
      </c>
      <c r="C300">
        <f>23*60+8</f>
        <v>1388</v>
      </c>
      <c r="D300">
        <f>7*60+24</f>
        <v>444</v>
      </c>
      <c r="E300" s="4" t="str">
        <f t="shared" si="4"/>
        <v>7:24</v>
      </c>
      <c r="F300">
        <v>129</v>
      </c>
      <c r="G300" t="s">
        <v>315</v>
      </c>
      <c r="H300" s="2" t="s">
        <v>363</v>
      </c>
      <c r="I300">
        <f>COUNTIF($B$2:B300, "&lt;&gt;")</f>
        <v>299</v>
      </c>
      <c r="J300">
        <f>F300/B300</f>
        <v>41.346153846153847</v>
      </c>
    </row>
    <row r="301" spans="1:10" x14ac:dyDescent="0.3">
      <c r="A301" s="1">
        <v>44343</v>
      </c>
      <c r="B301" s="5">
        <v>3.13</v>
      </c>
      <c r="C301">
        <f>24*60+1</f>
        <v>1441</v>
      </c>
      <c r="D301">
        <f>7*60+39</f>
        <v>459</v>
      </c>
      <c r="E301" s="4" t="str">
        <f t="shared" si="4"/>
        <v>7:39</v>
      </c>
      <c r="F301">
        <v>71</v>
      </c>
      <c r="G301" t="s">
        <v>19</v>
      </c>
      <c r="H301" s="2" t="s">
        <v>364</v>
      </c>
      <c r="I301">
        <f>COUNTIF($B$2:B301, "&lt;&gt;")</f>
        <v>300</v>
      </c>
      <c r="J301">
        <f>F301/B301</f>
        <v>22.683706070287542</v>
      </c>
    </row>
    <row r="302" spans="1:10" x14ac:dyDescent="0.3">
      <c r="A302" s="1">
        <v>44344</v>
      </c>
      <c r="B302" s="5">
        <v>10.02</v>
      </c>
      <c r="C302">
        <f>1*3600+34*60+12</f>
        <v>5652</v>
      </c>
      <c r="D302">
        <f>9*60+24</f>
        <v>564</v>
      </c>
      <c r="E302" s="4" t="str">
        <f t="shared" si="4"/>
        <v>9:24</v>
      </c>
      <c r="F302">
        <v>489</v>
      </c>
      <c r="G302" t="s">
        <v>365</v>
      </c>
      <c r="H302" s="2" t="s">
        <v>366</v>
      </c>
      <c r="I302">
        <f>COUNTIF($B$2:B302, "&lt;&gt;")</f>
        <v>301</v>
      </c>
      <c r="J302">
        <f>F302/B302</f>
        <v>48.802395209580837</v>
      </c>
    </row>
    <row r="303" spans="1:10" x14ac:dyDescent="0.3">
      <c r="A303" s="1">
        <v>44345</v>
      </c>
      <c r="B303" s="5">
        <v>6.05</v>
      </c>
      <c r="C303">
        <f>48*60+4</f>
        <v>2884</v>
      </c>
      <c r="D303">
        <f>7*60+56</f>
        <v>476</v>
      </c>
      <c r="E303" s="4" t="str">
        <f t="shared" si="4"/>
        <v>7:56</v>
      </c>
      <c r="F303">
        <v>402</v>
      </c>
      <c r="G303" t="s">
        <v>186</v>
      </c>
      <c r="H303" s="2" t="s">
        <v>367</v>
      </c>
      <c r="I303">
        <f>COUNTIF($B$2:B303, "&lt;&gt;")</f>
        <v>302</v>
      </c>
      <c r="J303">
        <f>F303/B303</f>
        <v>66.446280991735534</v>
      </c>
    </row>
    <row r="304" spans="1:10" x14ac:dyDescent="0.3">
      <c r="A304" s="1">
        <v>44346</v>
      </c>
      <c r="B304" s="5">
        <v>3.14</v>
      </c>
      <c r="C304">
        <f>27*60+17</f>
        <v>1637</v>
      </c>
      <c r="D304">
        <f>8*60+41</f>
        <v>521</v>
      </c>
      <c r="E304" s="4" t="str">
        <f t="shared" si="4"/>
        <v>8:41</v>
      </c>
      <c r="F304">
        <v>118</v>
      </c>
      <c r="G304" t="s">
        <v>76</v>
      </c>
      <c r="H304" s="2" t="s">
        <v>368</v>
      </c>
      <c r="I304">
        <f>COUNTIF($B$2:B304, "&lt;&gt;")</f>
        <v>303</v>
      </c>
      <c r="J304">
        <f>F304/B304</f>
        <v>37.579617834394902</v>
      </c>
    </row>
    <row r="305" spans="1:10" x14ac:dyDescent="0.3">
      <c r="A305" s="1">
        <v>44347</v>
      </c>
      <c r="B305" s="5">
        <v>3.16</v>
      </c>
      <c r="C305">
        <f>28*60+16</f>
        <v>1696</v>
      </c>
      <c r="D305">
        <f>8*60+55</f>
        <v>535</v>
      </c>
      <c r="E305" s="4" t="str">
        <f t="shared" si="4"/>
        <v>8:55</v>
      </c>
      <c r="F305">
        <v>69</v>
      </c>
      <c r="G305" t="s">
        <v>281</v>
      </c>
      <c r="H305" s="2" t="s">
        <v>369</v>
      </c>
      <c r="I305">
        <f>COUNTIF($B$2:B305, "&lt;&gt;")</f>
        <v>304</v>
      </c>
      <c r="J305">
        <f>F305/B305</f>
        <v>21.835443037974681</v>
      </c>
    </row>
    <row r="306" spans="1:10" x14ac:dyDescent="0.3">
      <c r="A306" s="1">
        <v>44348</v>
      </c>
      <c r="B306" s="5">
        <v>3.12</v>
      </c>
      <c r="C306">
        <f>23*60+46</f>
        <v>1426</v>
      </c>
      <c r="D306">
        <f>7*60+37</f>
        <v>457</v>
      </c>
      <c r="E306" s="4" t="str">
        <f t="shared" si="4"/>
        <v>7:37</v>
      </c>
      <c r="F306">
        <v>165</v>
      </c>
      <c r="G306" t="s">
        <v>305</v>
      </c>
      <c r="H306" s="2" t="s">
        <v>370</v>
      </c>
      <c r="I306">
        <f>COUNTIF($B$2:B306, "&lt;&gt;")</f>
        <v>305</v>
      </c>
      <c r="J306">
        <f>F306/B306</f>
        <v>52.88461538461538</v>
      </c>
    </row>
    <row r="307" spans="1:10" x14ac:dyDescent="0.3">
      <c r="A307" s="1">
        <v>44349</v>
      </c>
      <c r="B307" s="5">
        <v>3.11</v>
      </c>
      <c r="C307">
        <f>22*60+36</f>
        <v>1356</v>
      </c>
      <c r="D307">
        <f>7*60+15</f>
        <v>435</v>
      </c>
      <c r="E307" s="4" t="str">
        <f t="shared" si="4"/>
        <v>7:15</v>
      </c>
      <c r="F307">
        <v>66</v>
      </c>
      <c r="G307" t="s">
        <v>17</v>
      </c>
      <c r="H307" s="2" t="s">
        <v>371</v>
      </c>
      <c r="I307">
        <f>COUNTIF($B$2:B307, "&lt;&gt;")</f>
        <v>306</v>
      </c>
      <c r="J307">
        <f>F307/B307</f>
        <v>21.221864951768488</v>
      </c>
    </row>
    <row r="308" spans="1:10" x14ac:dyDescent="0.3">
      <c r="A308" s="1">
        <v>44350</v>
      </c>
      <c r="B308" s="5">
        <v>3.11</v>
      </c>
      <c r="C308">
        <f>20*60+2</f>
        <v>1202</v>
      </c>
      <c r="D308">
        <f>6*60+26</f>
        <v>386</v>
      </c>
      <c r="E308" s="4" t="str">
        <f t="shared" si="4"/>
        <v>6:26</v>
      </c>
      <c r="F308">
        <v>43</v>
      </c>
      <c r="G308" t="s">
        <v>372</v>
      </c>
      <c r="H308" s="2" t="s">
        <v>373</v>
      </c>
      <c r="I308">
        <f>COUNTIF($B$2:B308, "&lt;&gt;")</f>
        <v>307</v>
      </c>
      <c r="J308">
        <f>F308/B308</f>
        <v>13.826366559485532</v>
      </c>
    </row>
    <row r="309" spans="1:10" x14ac:dyDescent="0.3">
      <c r="A309" s="1">
        <v>44351</v>
      </c>
      <c r="B309" s="5">
        <v>3.14</v>
      </c>
      <c r="C309">
        <f>30*60+56</f>
        <v>1856</v>
      </c>
      <c r="D309">
        <f>9*60+51</f>
        <v>591</v>
      </c>
      <c r="E309" s="4" t="str">
        <f t="shared" si="4"/>
        <v>9:51</v>
      </c>
      <c r="F309">
        <v>125</v>
      </c>
      <c r="G309" t="s">
        <v>76</v>
      </c>
      <c r="H309" s="2" t="s">
        <v>374</v>
      </c>
      <c r="I309">
        <f>COUNTIF($B$2:B309, "&lt;&gt;")</f>
        <v>308</v>
      </c>
      <c r="J309">
        <f>F309/B309</f>
        <v>39.808917197452224</v>
      </c>
    </row>
    <row r="310" spans="1:10" x14ac:dyDescent="0.3">
      <c r="A310" s="1">
        <v>44352</v>
      </c>
      <c r="B310" s="5">
        <v>3.11</v>
      </c>
      <c r="C310">
        <f>29*60+27</f>
        <v>1767</v>
      </c>
      <c r="D310">
        <f>9*60+27</f>
        <v>567</v>
      </c>
      <c r="E310" s="4" t="str">
        <f t="shared" si="4"/>
        <v>9:27</v>
      </c>
      <c r="F310">
        <v>205</v>
      </c>
      <c r="G310" t="s">
        <v>310</v>
      </c>
      <c r="H310" s="2" t="s">
        <v>375</v>
      </c>
      <c r="I310">
        <f>COUNTIF($B$2:B310, "&lt;&gt;")</f>
        <v>309</v>
      </c>
      <c r="J310">
        <f>F310/B310</f>
        <v>65.916398713826368</v>
      </c>
    </row>
    <row r="311" spans="1:10" x14ac:dyDescent="0.3">
      <c r="A311" s="1">
        <v>44353</v>
      </c>
      <c r="B311" s="5">
        <v>5.5</v>
      </c>
      <c r="C311">
        <f>53*60+39</f>
        <v>3219</v>
      </c>
      <c r="D311">
        <f>9*60+44</f>
        <v>584</v>
      </c>
      <c r="E311" s="4" t="str">
        <f t="shared" si="4"/>
        <v>9:44</v>
      </c>
      <c r="F311">
        <v>138</v>
      </c>
      <c r="G311" t="s">
        <v>376</v>
      </c>
      <c r="H311" s="2" t="s">
        <v>377</v>
      </c>
      <c r="I311">
        <f>COUNTIF($B$2:B311, "&lt;&gt;")</f>
        <v>310</v>
      </c>
      <c r="J311">
        <f>F311/B311</f>
        <v>25.09090909090909</v>
      </c>
    </row>
    <row r="312" spans="1:10" x14ac:dyDescent="0.3">
      <c r="A312" s="1">
        <v>44354</v>
      </c>
      <c r="B312" s="5">
        <v>3.11</v>
      </c>
      <c r="C312">
        <f>28*60+6</f>
        <v>1686</v>
      </c>
      <c r="D312">
        <f>9*60+2</f>
        <v>542</v>
      </c>
      <c r="E312" s="4" t="str">
        <f t="shared" si="4"/>
        <v>9:02</v>
      </c>
      <c r="F312">
        <v>62</v>
      </c>
      <c r="G312" t="s">
        <v>281</v>
      </c>
      <c r="H312" s="2" t="s">
        <v>378</v>
      </c>
      <c r="I312">
        <f>COUNTIF($B$2:B312, "&lt;&gt;")</f>
        <v>311</v>
      </c>
      <c r="J312">
        <f>F312/B312</f>
        <v>19.935691318327976</v>
      </c>
    </row>
    <row r="313" spans="1:10" x14ac:dyDescent="0.3">
      <c r="A313" s="1">
        <v>44355</v>
      </c>
      <c r="B313" s="5">
        <v>3.12</v>
      </c>
      <c r="C313">
        <f>29*60+56</f>
        <v>1796</v>
      </c>
      <c r="D313">
        <f>9*60+34</f>
        <v>574</v>
      </c>
      <c r="E313" s="4" t="str">
        <f t="shared" si="4"/>
        <v>9:34</v>
      </c>
      <c r="F313">
        <v>175</v>
      </c>
      <c r="G313" t="s">
        <v>305</v>
      </c>
      <c r="H313" s="2" t="s">
        <v>379</v>
      </c>
      <c r="I313">
        <f>COUNTIF($B$2:B313, "&lt;&gt;")</f>
        <v>312</v>
      </c>
      <c r="J313">
        <f>F313/B313</f>
        <v>56.089743589743591</v>
      </c>
    </row>
    <row r="314" spans="1:10" x14ac:dyDescent="0.3">
      <c r="A314" s="1">
        <v>44356</v>
      </c>
      <c r="B314" s="5">
        <v>3.11</v>
      </c>
      <c r="C314">
        <f>24*60+33</f>
        <v>1473</v>
      </c>
      <c r="D314">
        <f>7*60+52</f>
        <v>472</v>
      </c>
      <c r="E314" s="4" t="str">
        <f t="shared" si="4"/>
        <v>7:52</v>
      </c>
      <c r="F314">
        <v>67</v>
      </c>
      <c r="G314" t="s">
        <v>17</v>
      </c>
      <c r="H314" s="2" t="s">
        <v>380</v>
      </c>
      <c r="I314">
        <f>COUNTIF($B$2:B314, "&lt;&gt;")</f>
        <v>313</v>
      </c>
      <c r="J314">
        <f>F314/B314</f>
        <v>21.54340836012862</v>
      </c>
    </row>
    <row r="315" spans="1:10" x14ac:dyDescent="0.3">
      <c r="A315" s="1">
        <v>44357</v>
      </c>
      <c r="B315" s="5">
        <v>3.15</v>
      </c>
      <c r="C315">
        <f>27*60+42</f>
        <v>1662</v>
      </c>
      <c r="D315">
        <f>8*60+48</f>
        <v>528</v>
      </c>
      <c r="E315" s="4" t="str">
        <f t="shared" si="4"/>
        <v>8:48</v>
      </c>
      <c r="F315">
        <v>69</v>
      </c>
      <c r="G315" t="s">
        <v>19</v>
      </c>
      <c r="H315" s="2" t="s">
        <v>381</v>
      </c>
      <c r="I315">
        <f>COUNTIF($B$2:B315, "&lt;&gt;")</f>
        <v>314</v>
      </c>
      <c r="J315">
        <f>F315/B315</f>
        <v>21.904761904761905</v>
      </c>
    </row>
    <row r="316" spans="1:10" x14ac:dyDescent="0.3">
      <c r="A316" s="1">
        <v>44358</v>
      </c>
      <c r="B316" s="5">
        <v>3.17</v>
      </c>
      <c r="C316">
        <f>29*60+46</f>
        <v>1786</v>
      </c>
      <c r="D316">
        <f>9*60+23</f>
        <v>563</v>
      </c>
      <c r="E316" s="4" t="str">
        <f t="shared" si="4"/>
        <v>9:23</v>
      </c>
      <c r="F316">
        <v>111</v>
      </c>
      <c r="G316" t="s">
        <v>76</v>
      </c>
      <c r="H316" s="2" t="s">
        <v>382</v>
      </c>
      <c r="I316">
        <f>COUNTIF($B$2:B316, "&lt;&gt;")</f>
        <v>315</v>
      </c>
      <c r="J316">
        <f>F316/B316</f>
        <v>35.01577287066246</v>
      </c>
    </row>
    <row r="317" spans="1:10" x14ac:dyDescent="0.3">
      <c r="A317" s="1">
        <v>44359</v>
      </c>
      <c r="B317" s="5">
        <v>6.25</v>
      </c>
      <c r="C317">
        <f>1*3600+6*60+44</f>
        <v>4004</v>
      </c>
      <c r="D317">
        <f>10*60+40</f>
        <v>640</v>
      </c>
      <c r="E317" s="4" t="str">
        <f t="shared" si="4"/>
        <v>10:40</v>
      </c>
      <c r="F317">
        <v>499</v>
      </c>
      <c r="G317" t="s">
        <v>383</v>
      </c>
      <c r="H317" s="2" t="s">
        <v>384</v>
      </c>
      <c r="I317">
        <f>COUNTIF($B$2:B317, "&lt;&gt;")</f>
        <v>316</v>
      </c>
      <c r="J317">
        <f>F317/B317</f>
        <v>79.84</v>
      </c>
    </row>
    <row r="318" spans="1:10" x14ac:dyDescent="0.3">
      <c r="A318" s="1">
        <v>44360</v>
      </c>
      <c r="B318" s="5">
        <v>3.11</v>
      </c>
      <c r="C318">
        <f>26*60+19</f>
        <v>1579</v>
      </c>
      <c r="D318">
        <f>8*60+27</f>
        <v>507</v>
      </c>
      <c r="E318" s="4" t="str">
        <f t="shared" si="4"/>
        <v>8:27</v>
      </c>
      <c r="F318">
        <v>82</v>
      </c>
      <c r="G318" t="s">
        <v>385</v>
      </c>
      <c r="H318" s="2" t="s">
        <v>386</v>
      </c>
      <c r="I318">
        <f>COUNTIF($B$2:B318, "&lt;&gt;")</f>
        <v>317</v>
      </c>
      <c r="J318">
        <f>F318/B318</f>
        <v>26.366559485530548</v>
      </c>
    </row>
    <row r="319" spans="1:10" x14ac:dyDescent="0.3">
      <c r="A319" s="1">
        <v>44361</v>
      </c>
      <c r="B319" s="5">
        <v>5.54</v>
      </c>
      <c r="C319">
        <f>51*60+7</f>
        <v>3067</v>
      </c>
      <c r="D319">
        <f>9*60+13</f>
        <v>553</v>
      </c>
      <c r="E319" s="4" t="str">
        <f t="shared" si="4"/>
        <v>9:13</v>
      </c>
      <c r="F319">
        <v>124</v>
      </c>
      <c r="G319" t="s">
        <v>13</v>
      </c>
      <c r="H319" s="2" t="s">
        <v>387</v>
      </c>
      <c r="I319">
        <f>COUNTIF($B$2:B319, "&lt;&gt;")</f>
        <v>318</v>
      </c>
      <c r="J319">
        <f>F319/B319</f>
        <v>22.382671480144403</v>
      </c>
    </row>
    <row r="320" spans="1:10" x14ac:dyDescent="0.3">
      <c r="A320" s="1">
        <v>44362</v>
      </c>
      <c r="B320" s="5">
        <v>3.12</v>
      </c>
      <c r="C320">
        <f>26*60+34</f>
        <v>1594</v>
      </c>
      <c r="D320">
        <f>8*60+31</f>
        <v>511</v>
      </c>
      <c r="E320" s="4" t="str">
        <f t="shared" si="4"/>
        <v>8:31</v>
      </c>
      <c r="F320">
        <v>151</v>
      </c>
      <c r="G320" t="s">
        <v>305</v>
      </c>
      <c r="H320" s="2" t="s">
        <v>388</v>
      </c>
      <c r="I320">
        <f>COUNTIF($B$2:B320, "&lt;&gt;")</f>
        <v>319</v>
      </c>
      <c r="J320">
        <f>F320/B320</f>
        <v>48.397435897435898</v>
      </c>
    </row>
    <row r="321" spans="1:10" x14ac:dyDescent="0.3">
      <c r="A321" s="1">
        <v>44363</v>
      </c>
      <c r="B321" s="5">
        <v>3.12</v>
      </c>
      <c r="C321">
        <f>22*60+36</f>
        <v>1356</v>
      </c>
      <c r="D321">
        <f>7*60+14</f>
        <v>434</v>
      </c>
      <c r="E321" s="4" t="str">
        <f t="shared" si="4"/>
        <v>7:14</v>
      </c>
      <c r="F321">
        <v>66</v>
      </c>
      <c r="G321" t="s">
        <v>17</v>
      </c>
      <c r="H321" s="2" t="s">
        <v>389</v>
      </c>
      <c r="I321">
        <f>COUNTIF($B$2:B321, "&lt;&gt;")</f>
        <v>320</v>
      </c>
      <c r="J321">
        <f>F321/B321</f>
        <v>21.153846153846153</v>
      </c>
    </row>
    <row r="322" spans="1:10" x14ac:dyDescent="0.3">
      <c r="A322" s="1">
        <v>44364</v>
      </c>
      <c r="B322" s="5">
        <v>3.11</v>
      </c>
      <c r="C322">
        <f>23*60+46</f>
        <v>1426</v>
      </c>
      <c r="D322">
        <f>7*60+38</f>
        <v>458</v>
      </c>
      <c r="E322" s="4" t="str">
        <f t="shared" si="4"/>
        <v>7:38</v>
      </c>
      <c r="F322">
        <v>108</v>
      </c>
      <c r="G322" t="s">
        <v>19</v>
      </c>
      <c r="H322" s="2" t="s">
        <v>390</v>
      </c>
      <c r="I322">
        <f>COUNTIF($B$2:B322, "&lt;&gt;")</f>
        <v>321</v>
      </c>
      <c r="J322">
        <f>F322/B322</f>
        <v>34.726688102893895</v>
      </c>
    </row>
    <row r="323" spans="1:10" x14ac:dyDescent="0.3">
      <c r="A323" s="1">
        <v>44365</v>
      </c>
      <c r="B323" s="5">
        <v>3.11</v>
      </c>
      <c r="C323">
        <f>26*60+19</f>
        <v>1579</v>
      </c>
      <c r="D323">
        <f>8*60+27</f>
        <v>507</v>
      </c>
      <c r="E323" s="4" t="str">
        <f t="shared" ref="E323:E386" si="5">CONCATENATE(ROUNDDOWN(D323/60,0),":",IF(ROUNDDOWN(D323-ROUNDDOWN(D323/60,0)*60,0)&gt;=10,ROUNDDOWN(D323-ROUNDDOWN(D323/60,0)*60,3),CONCATENATE("0",ROUNDDOWN(D323-ROUNDDOWN(D323/60,0)*60,3))))</f>
        <v>8:27</v>
      </c>
      <c r="F323">
        <v>142</v>
      </c>
      <c r="G323" t="s">
        <v>76</v>
      </c>
      <c r="H323" s="2" t="s">
        <v>391</v>
      </c>
      <c r="I323">
        <f>COUNTIF($B$2:B323, "&lt;&gt;")</f>
        <v>322</v>
      </c>
      <c r="J323">
        <f>F323/B323</f>
        <v>45.659163987138264</v>
      </c>
    </row>
    <row r="324" spans="1:10" x14ac:dyDescent="0.3">
      <c r="A324" s="1">
        <v>44366</v>
      </c>
      <c r="B324" s="5">
        <v>6.27</v>
      </c>
      <c r="C324">
        <f>54*60+33</f>
        <v>3273</v>
      </c>
      <c r="D324">
        <f>8*60+41</f>
        <v>521</v>
      </c>
      <c r="E324" s="4" t="str">
        <f t="shared" si="5"/>
        <v>8:41</v>
      </c>
      <c r="F324">
        <v>408</v>
      </c>
      <c r="G324" t="s">
        <v>186</v>
      </c>
      <c r="H324" s="2" t="s">
        <v>392</v>
      </c>
      <c r="I324">
        <f>COUNTIF($B$2:B324, "&lt;&gt;")</f>
        <v>323</v>
      </c>
      <c r="J324">
        <f>F324/B324</f>
        <v>65.071770334928232</v>
      </c>
    </row>
    <row r="325" spans="1:10" x14ac:dyDescent="0.3">
      <c r="A325" s="1">
        <v>44367</v>
      </c>
      <c r="B325" s="5">
        <v>3.11</v>
      </c>
      <c r="C325">
        <f>28*60+38</f>
        <v>1718</v>
      </c>
      <c r="D325">
        <f>9*60+11</f>
        <v>551</v>
      </c>
      <c r="E325" s="4" t="str">
        <f t="shared" si="5"/>
        <v>9:11</v>
      </c>
      <c r="F325">
        <v>115</v>
      </c>
      <c r="G325" t="s">
        <v>76</v>
      </c>
      <c r="H325" s="2" t="s">
        <v>393</v>
      </c>
      <c r="I325">
        <f>COUNTIF($B$2:B325, "&lt;&gt;")</f>
        <v>324</v>
      </c>
      <c r="J325">
        <f>F325/B325</f>
        <v>36.977491961414792</v>
      </c>
    </row>
    <row r="326" spans="1:10" x14ac:dyDescent="0.3">
      <c r="A326" s="1">
        <v>44368</v>
      </c>
      <c r="B326" s="5">
        <v>3.15</v>
      </c>
      <c r="C326">
        <f>27*60+59</f>
        <v>1679</v>
      </c>
      <c r="D326">
        <f>8*60+53</f>
        <v>533</v>
      </c>
      <c r="E326" s="4" t="str">
        <f t="shared" si="5"/>
        <v>8:53</v>
      </c>
      <c r="F326">
        <v>66</v>
      </c>
      <c r="G326" t="s">
        <v>281</v>
      </c>
      <c r="H326" s="2" t="s">
        <v>394</v>
      </c>
      <c r="I326">
        <f>COUNTIF($B$2:B326, "&lt;&gt;")</f>
        <v>325</v>
      </c>
      <c r="J326">
        <f>F326/B326</f>
        <v>20.952380952380953</v>
      </c>
    </row>
    <row r="327" spans="1:10" x14ac:dyDescent="0.3">
      <c r="A327" s="1">
        <v>44369</v>
      </c>
      <c r="B327" s="5">
        <v>3.11</v>
      </c>
      <c r="C327">
        <f>21*60+28</f>
        <v>1288</v>
      </c>
      <c r="D327">
        <f>6*60+53</f>
        <v>413</v>
      </c>
      <c r="E327" s="4" t="str">
        <f t="shared" si="5"/>
        <v>6:53</v>
      </c>
      <c r="F327">
        <v>68</v>
      </c>
      <c r="G327" t="s">
        <v>15</v>
      </c>
      <c r="H327" s="2" t="s">
        <v>395</v>
      </c>
      <c r="I327">
        <f>COUNTIF($B$2:B327, "&lt;&gt;")</f>
        <v>326</v>
      </c>
      <c r="J327">
        <f>F327/B327</f>
        <v>21.864951768488748</v>
      </c>
    </row>
    <row r="328" spans="1:10" x14ac:dyDescent="0.3">
      <c r="A328" s="1">
        <v>44370</v>
      </c>
      <c r="B328" s="5">
        <v>3.12</v>
      </c>
      <c r="C328">
        <f>27*60+59</f>
        <v>1679</v>
      </c>
      <c r="D328">
        <f>8*60+57</f>
        <v>537</v>
      </c>
      <c r="E328" s="4" t="str">
        <f t="shared" si="5"/>
        <v>8:57</v>
      </c>
      <c r="F328">
        <v>112</v>
      </c>
      <c r="G328" t="s">
        <v>76</v>
      </c>
      <c r="H328" s="2" t="s">
        <v>396</v>
      </c>
      <c r="I328">
        <f>COUNTIF($B$2:B328, "&lt;&gt;")</f>
        <v>327</v>
      </c>
      <c r="J328">
        <f>F328/B328</f>
        <v>35.897435897435898</v>
      </c>
    </row>
    <row r="329" spans="1:10" x14ac:dyDescent="0.3">
      <c r="A329" s="1">
        <v>44371</v>
      </c>
      <c r="B329" s="5">
        <v>3.11</v>
      </c>
      <c r="C329">
        <f>29*60+50</f>
        <v>1790</v>
      </c>
      <c r="D329">
        <f>9*60+34</f>
        <v>574</v>
      </c>
      <c r="E329" s="4" t="str">
        <f t="shared" si="5"/>
        <v>9:34</v>
      </c>
      <c r="F329">
        <v>68</v>
      </c>
      <c r="G329" t="s">
        <v>19</v>
      </c>
      <c r="H329" s="2" t="s">
        <v>397</v>
      </c>
      <c r="I329">
        <f>COUNTIF($B$2:B329, "&lt;&gt;")</f>
        <v>328</v>
      </c>
      <c r="J329">
        <f>F329/B329</f>
        <v>21.864951768488748</v>
      </c>
    </row>
    <row r="330" spans="1:10" x14ac:dyDescent="0.3">
      <c r="A330" s="1">
        <v>44372</v>
      </c>
      <c r="B330" s="5">
        <v>17.61</v>
      </c>
      <c r="C330">
        <f>2*3600+54*60+43</f>
        <v>10483</v>
      </c>
      <c r="D330">
        <f>9*60+55</f>
        <v>595</v>
      </c>
      <c r="E330" s="4" t="str">
        <f t="shared" si="5"/>
        <v>9:55</v>
      </c>
      <c r="F330">
        <v>505</v>
      </c>
      <c r="G330" t="s">
        <v>68</v>
      </c>
      <c r="H330" s="2" t="s">
        <v>398</v>
      </c>
      <c r="I330">
        <f>COUNTIF($B$2:B330, "&lt;&gt;")</f>
        <v>329</v>
      </c>
      <c r="J330">
        <f>F330/B330</f>
        <v>28.676888131743329</v>
      </c>
    </row>
    <row r="331" spans="1:10" x14ac:dyDescent="0.3">
      <c r="A331" s="1">
        <v>44373</v>
      </c>
      <c r="B331" s="5">
        <v>5.57</v>
      </c>
      <c r="C331">
        <f>56*60+34</f>
        <v>3394</v>
      </c>
      <c r="D331">
        <f>10*60+9</f>
        <v>609</v>
      </c>
      <c r="E331" s="4" t="str">
        <f t="shared" si="5"/>
        <v>10:09</v>
      </c>
      <c r="F331">
        <v>505</v>
      </c>
      <c r="G331" t="s">
        <v>68</v>
      </c>
      <c r="H331" s="2" t="s">
        <v>398</v>
      </c>
      <c r="I331">
        <f>COUNTIF($B$2:B331, "&lt;&gt;")</f>
        <v>330</v>
      </c>
      <c r="J331">
        <f>F331/B331</f>
        <v>90.664272890484739</v>
      </c>
    </row>
    <row r="332" spans="1:10" x14ac:dyDescent="0.3">
      <c r="A332" s="1">
        <v>44374</v>
      </c>
      <c r="B332" s="5">
        <v>3.11</v>
      </c>
      <c r="C332">
        <f>31*60+51</f>
        <v>1911</v>
      </c>
      <c r="D332">
        <f>10*60+13</f>
        <v>613</v>
      </c>
      <c r="E332" s="4" t="str">
        <f t="shared" si="5"/>
        <v>10:13</v>
      </c>
      <c r="F332">
        <v>112</v>
      </c>
      <c r="G332" t="s">
        <v>76</v>
      </c>
      <c r="H332" s="2" t="s">
        <v>399</v>
      </c>
      <c r="I332">
        <f>COUNTIF($B$2:B332, "&lt;&gt;")</f>
        <v>331</v>
      </c>
      <c r="J332">
        <f>F332/B332</f>
        <v>36.012861736334408</v>
      </c>
    </row>
    <row r="333" spans="1:10" x14ac:dyDescent="0.3">
      <c r="A333" s="1">
        <v>44375</v>
      </c>
      <c r="B333" s="5">
        <v>5.04</v>
      </c>
      <c r="C333">
        <f>47*60+44</f>
        <v>2864</v>
      </c>
      <c r="D333">
        <f>9*60+27</f>
        <v>567</v>
      </c>
      <c r="E333" s="4" t="str">
        <f t="shared" si="5"/>
        <v>9:27</v>
      </c>
      <c r="F333">
        <v>98</v>
      </c>
      <c r="G333" t="s">
        <v>13</v>
      </c>
      <c r="H333" s="2" t="s">
        <v>400</v>
      </c>
      <c r="I333">
        <f>COUNTIF($B$2:B333, "&lt;&gt;")</f>
        <v>332</v>
      </c>
      <c r="J333">
        <f>F333/B333</f>
        <v>19.444444444444443</v>
      </c>
    </row>
    <row r="334" spans="1:10" x14ac:dyDescent="0.3">
      <c r="A334" s="1">
        <v>44376</v>
      </c>
      <c r="B334" s="5">
        <v>3.12</v>
      </c>
      <c r="C334">
        <f>30*60+24</f>
        <v>1824</v>
      </c>
      <c r="D334">
        <f>9*60+43</f>
        <v>583</v>
      </c>
      <c r="E334" s="4" t="str">
        <f t="shared" si="5"/>
        <v>9:43</v>
      </c>
      <c r="F334">
        <v>69</v>
      </c>
      <c r="G334" t="s">
        <v>15</v>
      </c>
      <c r="H334" s="2" t="s">
        <v>401</v>
      </c>
      <c r="I334">
        <f>COUNTIF($B$2:B334, "&lt;&gt;")</f>
        <v>333</v>
      </c>
      <c r="J334">
        <f>F334/B334</f>
        <v>22.115384615384613</v>
      </c>
    </row>
    <row r="335" spans="1:10" x14ac:dyDescent="0.3">
      <c r="A335" s="1">
        <v>44377</v>
      </c>
      <c r="B335" s="5">
        <v>3.12</v>
      </c>
      <c r="C335">
        <f>24*60+24</f>
        <v>1464</v>
      </c>
      <c r="D335">
        <f>7*60+48</f>
        <v>468</v>
      </c>
      <c r="E335" s="4" t="str">
        <f t="shared" si="5"/>
        <v>7:48</v>
      </c>
      <c r="F335">
        <v>65</v>
      </c>
      <c r="G335" t="s">
        <v>17</v>
      </c>
      <c r="H335" s="2" t="s">
        <v>402</v>
      </c>
      <c r="I335">
        <f>COUNTIF($B$2:B335, "&lt;&gt;")</f>
        <v>334</v>
      </c>
      <c r="J335">
        <f>F335/B335</f>
        <v>20.833333333333332</v>
      </c>
    </row>
    <row r="336" spans="1:10" x14ac:dyDescent="0.3">
      <c r="A336" s="1">
        <v>44378</v>
      </c>
      <c r="B336" s="5">
        <v>3.12</v>
      </c>
      <c r="C336">
        <f>30*60+5</f>
        <v>1805</v>
      </c>
      <c r="D336">
        <f>9*60+39</f>
        <v>579</v>
      </c>
      <c r="E336" s="4" t="str">
        <f t="shared" si="5"/>
        <v>9:39</v>
      </c>
      <c r="F336">
        <v>79</v>
      </c>
      <c r="G336" t="s">
        <v>19</v>
      </c>
      <c r="H336" s="2" t="s">
        <v>403</v>
      </c>
      <c r="I336">
        <f>COUNTIF($B$2:B336, "&lt;&gt;")</f>
        <v>335</v>
      </c>
      <c r="J336">
        <f>F336/B336</f>
        <v>25.320512820512821</v>
      </c>
    </row>
    <row r="337" spans="1:10" x14ac:dyDescent="0.3">
      <c r="A337" s="1">
        <v>44379</v>
      </c>
      <c r="B337" s="5">
        <v>3.11</v>
      </c>
      <c r="C337">
        <f>27*60+20</f>
        <v>1640</v>
      </c>
      <c r="D337">
        <f>8*60+47</f>
        <v>527</v>
      </c>
      <c r="E337" s="4" t="str">
        <f t="shared" si="5"/>
        <v>8:47</v>
      </c>
      <c r="F337">
        <v>128</v>
      </c>
      <c r="G337" t="s">
        <v>76</v>
      </c>
      <c r="H337" s="2" t="s">
        <v>404</v>
      </c>
      <c r="I337">
        <f>COUNTIF($B$2:B337, "&lt;&gt;")</f>
        <v>336</v>
      </c>
      <c r="J337">
        <f>F337/B337</f>
        <v>41.157556270096464</v>
      </c>
    </row>
    <row r="338" spans="1:10" x14ac:dyDescent="0.3">
      <c r="A338" s="1">
        <v>44380</v>
      </c>
      <c r="B338" s="5">
        <v>4.01</v>
      </c>
      <c r="C338">
        <f>40*60+3</f>
        <v>2403</v>
      </c>
      <c r="D338">
        <f>9*60+59</f>
        <v>599</v>
      </c>
      <c r="E338" s="4" t="str">
        <f t="shared" si="5"/>
        <v>9:59</v>
      </c>
      <c r="F338">
        <v>85</v>
      </c>
      <c r="G338" t="s">
        <v>405</v>
      </c>
      <c r="H338" s="2" t="s">
        <v>406</v>
      </c>
      <c r="I338">
        <f>COUNTIF($B$2:B338, "&lt;&gt;")</f>
        <v>337</v>
      </c>
      <c r="J338">
        <f>F338/B338</f>
        <v>21.197007481296758</v>
      </c>
    </row>
    <row r="339" spans="1:10" x14ac:dyDescent="0.3">
      <c r="A339" s="1">
        <v>44381</v>
      </c>
      <c r="B339" s="5">
        <v>3.11</v>
      </c>
      <c r="C339">
        <f>29*60+17</f>
        <v>1757</v>
      </c>
      <c r="D339">
        <f>9*60+24</f>
        <v>564</v>
      </c>
      <c r="E339" s="4" t="str">
        <f t="shared" si="5"/>
        <v>9:24</v>
      </c>
      <c r="F339">
        <v>144</v>
      </c>
      <c r="G339" t="s">
        <v>76</v>
      </c>
      <c r="H339" s="2" t="s">
        <v>407</v>
      </c>
      <c r="I339">
        <f>COUNTIF($B$2:B339, "&lt;&gt;")</f>
        <v>338</v>
      </c>
      <c r="J339">
        <f>F339/B339</f>
        <v>46.30225080385852</v>
      </c>
    </row>
    <row r="340" spans="1:10" x14ac:dyDescent="0.3">
      <c r="A340" s="1">
        <v>44382</v>
      </c>
      <c r="B340" s="5">
        <v>3.11</v>
      </c>
      <c r="C340">
        <f>28*60+48</f>
        <v>1728</v>
      </c>
      <c r="D340">
        <f>9*60+14</f>
        <v>554</v>
      </c>
      <c r="E340" s="4" t="str">
        <f t="shared" si="5"/>
        <v>9:14</v>
      </c>
      <c r="F340">
        <v>108</v>
      </c>
      <c r="G340" t="s">
        <v>76</v>
      </c>
      <c r="H340" s="2" t="s">
        <v>408</v>
      </c>
      <c r="I340">
        <f>COUNTIF($B$2:B340, "&lt;&gt;")</f>
        <v>339</v>
      </c>
      <c r="J340">
        <f>F340/B340</f>
        <v>34.726688102893895</v>
      </c>
    </row>
    <row r="341" spans="1:10" x14ac:dyDescent="0.3">
      <c r="A341" s="1">
        <v>44383</v>
      </c>
      <c r="B341" s="5">
        <v>3.11</v>
      </c>
      <c r="C341">
        <f>23*60+3</f>
        <v>1383</v>
      </c>
      <c r="D341">
        <f>7*60+25</f>
        <v>445</v>
      </c>
      <c r="E341" s="4" t="str">
        <f t="shared" si="5"/>
        <v>7:25</v>
      </c>
      <c r="F341">
        <v>121</v>
      </c>
      <c r="G341" t="s">
        <v>15</v>
      </c>
      <c r="H341" s="2" t="s">
        <v>409</v>
      </c>
      <c r="I341">
        <f>COUNTIF($B$2:B341, "&lt;&gt;")</f>
        <v>340</v>
      </c>
      <c r="J341">
        <f>F341/B341</f>
        <v>38.906752411575567</v>
      </c>
    </row>
    <row r="342" spans="1:10" x14ac:dyDescent="0.3">
      <c r="A342" s="1">
        <v>44384</v>
      </c>
      <c r="B342" s="5">
        <v>3.11</v>
      </c>
      <c r="C342">
        <f>23*60+6</f>
        <v>1386</v>
      </c>
      <c r="D342">
        <f>7*60+26</f>
        <v>446</v>
      </c>
      <c r="E342" s="4" t="str">
        <f t="shared" si="5"/>
        <v>7:26</v>
      </c>
      <c r="F342">
        <v>59</v>
      </c>
      <c r="G342" t="s">
        <v>17</v>
      </c>
      <c r="H342" s="2" t="s">
        <v>410</v>
      </c>
      <c r="I342">
        <f>COUNTIF($B$2:B342, "&lt;&gt;")</f>
        <v>341</v>
      </c>
      <c r="J342">
        <f>F342/B342</f>
        <v>18.971061093247588</v>
      </c>
    </row>
    <row r="343" spans="1:10" x14ac:dyDescent="0.3">
      <c r="A343" s="1">
        <v>44385</v>
      </c>
      <c r="B343" s="5">
        <v>3.12</v>
      </c>
      <c r="C343">
        <f>22*60+13</f>
        <v>1333</v>
      </c>
      <c r="D343">
        <f>7*60+7</f>
        <v>427</v>
      </c>
      <c r="E343" s="4" t="str">
        <f t="shared" si="5"/>
        <v>7:07</v>
      </c>
      <c r="F343">
        <v>68</v>
      </c>
      <c r="G343" t="s">
        <v>19</v>
      </c>
      <c r="H343" s="2" t="s">
        <v>411</v>
      </c>
      <c r="I343">
        <f>COUNTIF($B$2:B343, "&lt;&gt;")</f>
        <v>342</v>
      </c>
      <c r="J343">
        <f>F343/B343</f>
        <v>21.794871794871796</v>
      </c>
    </row>
    <row r="344" spans="1:10" x14ac:dyDescent="0.3">
      <c r="A344" s="1">
        <v>44386</v>
      </c>
      <c r="B344" s="5">
        <v>3.14</v>
      </c>
      <c r="C344">
        <f>27*60+57</f>
        <v>1677</v>
      </c>
      <c r="D344">
        <f>8*60+53</f>
        <v>533</v>
      </c>
      <c r="E344" s="4" t="str">
        <f t="shared" si="5"/>
        <v>8:53</v>
      </c>
      <c r="F344">
        <v>135</v>
      </c>
      <c r="G344" t="s">
        <v>76</v>
      </c>
      <c r="H344" s="2" t="s">
        <v>412</v>
      </c>
      <c r="I344">
        <f>COUNTIF($B$2:B344, "&lt;&gt;")</f>
        <v>343</v>
      </c>
      <c r="J344">
        <f>F344/B344</f>
        <v>42.993630573248403</v>
      </c>
    </row>
    <row r="345" spans="1:10" x14ac:dyDescent="0.3">
      <c r="A345" s="1">
        <v>44387</v>
      </c>
      <c r="B345" s="5">
        <v>4.01</v>
      </c>
      <c r="C345">
        <f>32*60+47</f>
        <v>1967</v>
      </c>
      <c r="D345">
        <f>8*60+10</f>
        <v>490</v>
      </c>
      <c r="E345" s="4" t="str">
        <f t="shared" si="5"/>
        <v>8:10</v>
      </c>
      <c r="F345">
        <v>257</v>
      </c>
      <c r="G345" t="s">
        <v>186</v>
      </c>
      <c r="H345" s="2" t="s">
        <v>413</v>
      </c>
      <c r="I345">
        <f>COUNTIF($B$2:B345, "&lt;&gt;")</f>
        <v>344</v>
      </c>
      <c r="J345">
        <f>F345/B345</f>
        <v>64.089775561097255</v>
      </c>
    </row>
    <row r="346" spans="1:10" x14ac:dyDescent="0.3">
      <c r="A346" s="1">
        <v>44388</v>
      </c>
      <c r="B346" s="5">
        <v>3.12</v>
      </c>
      <c r="C346">
        <f>30*60+7</f>
        <v>1807</v>
      </c>
      <c r="D346">
        <f>9*60+39</f>
        <v>579</v>
      </c>
      <c r="E346" s="4" t="str">
        <f t="shared" si="5"/>
        <v>9:39</v>
      </c>
      <c r="F346">
        <v>125</v>
      </c>
      <c r="G346" t="s">
        <v>76</v>
      </c>
      <c r="H346" s="2" t="s">
        <v>414</v>
      </c>
      <c r="I346">
        <f>COUNTIF($B$2:B346, "&lt;&gt;")</f>
        <v>345</v>
      </c>
      <c r="J346">
        <f>F346/B346</f>
        <v>40.064102564102562</v>
      </c>
    </row>
    <row r="347" spans="1:10" x14ac:dyDescent="0.3">
      <c r="A347" s="1">
        <v>44389</v>
      </c>
      <c r="B347" s="5">
        <v>5.05</v>
      </c>
      <c r="C347">
        <f>51*60+7</f>
        <v>3067</v>
      </c>
      <c r="D347">
        <f>10*60+7</f>
        <v>607</v>
      </c>
      <c r="E347" s="4" t="str">
        <f t="shared" si="5"/>
        <v>10:07</v>
      </c>
      <c r="F347">
        <v>121</v>
      </c>
      <c r="G347" t="s">
        <v>13</v>
      </c>
      <c r="H347" s="2" t="s">
        <v>415</v>
      </c>
      <c r="I347">
        <f>COUNTIF($B$2:B347, "&lt;&gt;")</f>
        <v>346</v>
      </c>
      <c r="J347">
        <f>F347/B347</f>
        <v>23.96039603960396</v>
      </c>
    </row>
    <row r="348" spans="1:10" x14ac:dyDescent="0.3">
      <c r="A348" s="1">
        <v>44390</v>
      </c>
      <c r="B348" s="5">
        <v>3.11</v>
      </c>
      <c r="C348">
        <f>30*60+45</f>
        <v>1845</v>
      </c>
      <c r="D348">
        <f>9*60+52</f>
        <v>592</v>
      </c>
      <c r="E348" s="4" t="str">
        <f t="shared" si="5"/>
        <v>9:52</v>
      </c>
      <c r="F348">
        <v>75</v>
      </c>
      <c r="G348" t="s">
        <v>15</v>
      </c>
      <c r="H348" s="2" t="s">
        <v>416</v>
      </c>
      <c r="I348">
        <f>COUNTIF($B$2:B348, "&lt;&gt;")</f>
        <v>347</v>
      </c>
      <c r="J348">
        <f>F348/B348</f>
        <v>24.115755627009648</v>
      </c>
    </row>
    <row r="349" spans="1:10" x14ac:dyDescent="0.3">
      <c r="A349" s="1">
        <v>44391</v>
      </c>
      <c r="B349" s="5">
        <v>4.21</v>
      </c>
      <c r="C349">
        <f>31*60</f>
        <v>1860</v>
      </c>
      <c r="D349">
        <f>7*60+21</f>
        <v>441</v>
      </c>
      <c r="E349" s="4" t="str">
        <f t="shared" si="5"/>
        <v>7:21</v>
      </c>
      <c r="F349">
        <v>177</v>
      </c>
      <c r="G349" t="s">
        <v>90</v>
      </c>
      <c r="H349" s="2" t="s">
        <v>417</v>
      </c>
      <c r="I349">
        <f>COUNTIF($B$2:B349, "&lt;&gt;")</f>
        <v>348</v>
      </c>
      <c r="J349">
        <f>F349/B349</f>
        <v>42.042755344418055</v>
      </c>
    </row>
    <row r="350" spans="1:10" x14ac:dyDescent="0.3">
      <c r="A350" s="1">
        <v>44392</v>
      </c>
      <c r="B350" s="5">
        <v>3.11</v>
      </c>
      <c r="C350">
        <f>25*60+25</f>
        <v>1525</v>
      </c>
      <c r="D350">
        <f>8*60+9</f>
        <v>489</v>
      </c>
      <c r="E350" s="4" t="str">
        <f t="shared" si="5"/>
        <v>8:09</v>
      </c>
      <c r="F350">
        <v>69</v>
      </c>
      <c r="G350" t="s">
        <v>19</v>
      </c>
      <c r="H350" s="2" t="s">
        <v>418</v>
      </c>
      <c r="I350">
        <f>COUNTIF($B$2:B350, "&lt;&gt;")</f>
        <v>349</v>
      </c>
      <c r="J350">
        <f>F350/B350</f>
        <v>22.186495176848876</v>
      </c>
    </row>
    <row r="351" spans="1:10" x14ac:dyDescent="0.3">
      <c r="A351" s="1">
        <v>44393</v>
      </c>
      <c r="B351" s="5">
        <v>3.13</v>
      </c>
      <c r="C351">
        <f>28*60+54</f>
        <v>1734</v>
      </c>
      <c r="D351">
        <f>9*60+13</f>
        <v>553</v>
      </c>
      <c r="E351" s="4" t="str">
        <f t="shared" si="5"/>
        <v>9:13</v>
      </c>
      <c r="F351">
        <v>109</v>
      </c>
      <c r="G351" t="s">
        <v>76</v>
      </c>
      <c r="H351" s="2" t="s">
        <v>419</v>
      </c>
      <c r="I351">
        <f>COUNTIF($B$2:B351, "&lt;&gt;")</f>
        <v>350</v>
      </c>
      <c r="J351">
        <f>F351/B351</f>
        <v>34.824281150159749</v>
      </c>
    </row>
    <row r="352" spans="1:10" x14ac:dyDescent="0.3">
      <c r="A352" s="1">
        <v>44394</v>
      </c>
      <c r="B352" s="5">
        <v>3.11</v>
      </c>
      <c r="C352">
        <f>27*60+57</f>
        <v>1677</v>
      </c>
      <c r="D352">
        <f>8*60+58</f>
        <v>538</v>
      </c>
      <c r="E352" s="4" t="str">
        <f t="shared" si="5"/>
        <v>8:58</v>
      </c>
      <c r="F352">
        <v>66</v>
      </c>
      <c r="G352" t="s">
        <v>169</v>
      </c>
      <c r="H352" s="2" t="s">
        <v>420</v>
      </c>
      <c r="I352">
        <f>COUNTIF($B$2:B352, "&lt;&gt;")</f>
        <v>351</v>
      </c>
      <c r="J352">
        <f>F352/B352</f>
        <v>21.221864951768488</v>
      </c>
    </row>
    <row r="353" spans="1:10" x14ac:dyDescent="0.3">
      <c r="A353" s="1">
        <v>44395</v>
      </c>
      <c r="B353" s="5">
        <v>7.09</v>
      </c>
      <c r="C353">
        <f>59*60+25</f>
        <v>3565</v>
      </c>
      <c r="D353">
        <f>8*60+23</f>
        <v>503</v>
      </c>
      <c r="E353" s="4" t="str">
        <f t="shared" si="5"/>
        <v>8:23</v>
      </c>
      <c r="F353">
        <v>244</v>
      </c>
      <c r="G353" t="s">
        <v>22</v>
      </c>
      <c r="H353" s="2" t="s">
        <v>421</v>
      </c>
      <c r="I353">
        <f>COUNTIF($B$2:B353, "&lt;&gt;")</f>
        <v>352</v>
      </c>
      <c r="J353">
        <f>F353/B353</f>
        <v>34.414668547249647</v>
      </c>
    </row>
    <row r="354" spans="1:10" x14ac:dyDescent="0.3">
      <c r="A354" s="1">
        <v>44396</v>
      </c>
      <c r="B354" s="5">
        <v>3.18</v>
      </c>
      <c r="C354">
        <f>30*60+55</f>
        <v>1855</v>
      </c>
      <c r="D354">
        <f>9*60+43</f>
        <v>583</v>
      </c>
      <c r="E354" s="4" t="str">
        <f t="shared" si="5"/>
        <v>9:43</v>
      </c>
      <c r="F354">
        <v>66</v>
      </c>
      <c r="G354" t="s">
        <v>281</v>
      </c>
      <c r="H354" s="2" t="s">
        <v>422</v>
      </c>
      <c r="I354">
        <f>COUNTIF($B$2:B354, "&lt;&gt;")</f>
        <v>353</v>
      </c>
      <c r="J354">
        <f>F354/B354</f>
        <v>20.754716981132074</v>
      </c>
    </row>
    <row r="355" spans="1:10" x14ac:dyDescent="0.3">
      <c r="A355" s="1">
        <v>44397</v>
      </c>
      <c r="B355" s="5">
        <v>3.12</v>
      </c>
      <c r="C355">
        <f>21*60+9</f>
        <v>1269</v>
      </c>
      <c r="D355">
        <f>6*60+47</f>
        <v>407</v>
      </c>
      <c r="E355" s="4" t="str">
        <f t="shared" si="5"/>
        <v>6:47</v>
      </c>
      <c r="F355">
        <v>68</v>
      </c>
      <c r="G355" t="s">
        <v>15</v>
      </c>
      <c r="H355" s="2" t="s">
        <v>423</v>
      </c>
      <c r="I355">
        <f>COUNTIF($B$2:B355, "&lt;&gt;")</f>
        <v>354</v>
      </c>
      <c r="J355">
        <f>F355/B355</f>
        <v>21.794871794871796</v>
      </c>
    </row>
    <row r="356" spans="1:10" x14ac:dyDescent="0.3">
      <c r="A356" s="1">
        <v>44398</v>
      </c>
      <c r="B356" s="5">
        <v>3.14</v>
      </c>
      <c r="C356">
        <f>23*60+30</f>
        <v>1410</v>
      </c>
      <c r="D356">
        <f>7*60+28</f>
        <v>448</v>
      </c>
      <c r="E356" s="4" t="str">
        <f t="shared" si="5"/>
        <v>7:28</v>
      </c>
      <c r="F356">
        <v>61</v>
      </c>
      <c r="G356" t="s">
        <v>17</v>
      </c>
      <c r="H356" s="2" t="s">
        <v>424</v>
      </c>
      <c r="I356">
        <f>COUNTIF($B$2:B356, "&lt;&gt;")</f>
        <v>355</v>
      </c>
      <c r="J356">
        <f>F356/B356</f>
        <v>19.426751592356688</v>
      </c>
    </row>
    <row r="357" spans="1:10" x14ac:dyDescent="0.3">
      <c r="A357" s="1">
        <v>44399</v>
      </c>
      <c r="B357" s="5">
        <v>3.13</v>
      </c>
      <c r="C357">
        <f>29*60+4</f>
        <v>1744</v>
      </c>
      <c r="D357">
        <f>9*60+17</f>
        <v>557</v>
      </c>
      <c r="E357" s="4" t="str">
        <f t="shared" si="5"/>
        <v>9:17</v>
      </c>
      <c r="F357">
        <v>79</v>
      </c>
      <c r="G357" t="s">
        <v>19</v>
      </c>
      <c r="H357" s="2" t="s">
        <v>425</v>
      </c>
      <c r="I357">
        <f>COUNTIF($B$2:B357, "&lt;&gt;")</f>
        <v>356</v>
      </c>
      <c r="J357">
        <f>F357/B357</f>
        <v>25.23961661341853</v>
      </c>
    </row>
    <row r="358" spans="1:10" x14ac:dyDescent="0.3">
      <c r="A358" s="1">
        <v>44400</v>
      </c>
      <c r="B358" s="5">
        <v>3.11</v>
      </c>
      <c r="C358">
        <f>32*60+49</f>
        <v>1969</v>
      </c>
      <c r="D358">
        <f>10*60+32</f>
        <v>632</v>
      </c>
      <c r="E358" s="4" t="str">
        <f t="shared" si="5"/>
        <v>10:32</v>
      </c>
      <c r="F358">
        <v>124</v>
      </c>
      <c r="G358" t="s">
        <v>426</v>
      </c>
      <c r="H358" s="2" t="s">
        <v>427</v>
      </c>
      <c r="I358">
        <f>COUNTIF($B$2:B358, "&lt;&gt;")</f>
        <v>357</v>
      </c>
      <c r="J358">
        <f>F358/B358</f>
        <v>39.871382636655952</v>
      </c>
    </row>
    <row r="359" spans="1:10" x14ac:dyDescent="0.3">
      <c r="A359" s="1">
        <v>44401</v>
      </c>
      <c r="B359" s="5">
        <v>3.11</v>
      </c>
      <c r="C359">
        <f>29*60+52</f>
        <v>1792</v>
      </c>
      <c r="D359">
        <f>9*60+35</f>
        <v>575</v>
      </c>
      <c r="E359" s="4" t="str">
        <f t="shared" si="5"/>
        <v>9:35</v>
      </c>
      <c r="F359">
        <v>165</v>
      </c>
      <c r="G359" t="s">
        <v>428</v>
      </c>
      <c r="H359" s="2" t="s">
        <v>429</v>
      </c>
      <c r="I359">
        <f>COUNTIF($B$2:B359, "&lt;&gt;")</f>
        <v>358</v>
      </c>
      <c r="J359">
        <f>F359/B359</f>
        <v>53.054662379421224</v>
      </c>
    </row>
    <row r="360" spans="1:10" x14ac:dyDescent="0.3">
      <c r="A360" s="1">
        <v>44402</v>
      </c>
      <c r="B360" s="5">
        <v>6.42</v>
      </c>
      <c r="C360">
        <f>49*60+59</f>
        <v>2999</v>
      </c>
      <c r="D360">
        <f>7*60+47</f>
        <v>467</v>
      </c>
      <c r="E360" s="4" t="str">
        <f t="shared" si="5"/>
        <v>7:47</v>
      </c>
      <c r="F360">
        <v>207</v>
      </c>
      <c r="G360" t="s">
        <v>9</v>
      </c>
      <c r="H360" s="2" t="s">
        <v>430</v>
      </c>
      <c r="I360">
        <f>COUNTIF($B$2:B360, "&lt;&gt;")</f>
        <v>359</v>
      </c>
      <c r="J360">
        <f>F360/B360</f>
        <v>32.242990654205606</v>
      </c>
    </row>
    <row r="361" spans="1:10" x14ac:dyDescent="0.3">
      <c r="A361" s="1">
        <v>44403</v>
      </c>
      <c r="B361" s="5">
        <v>3.13</v>
      </c>
      <c r="C361">
        <f>28*60+23</f>
        <v>1703</v>
      </c>
      <c r="D361">
        <f>9*60+3</f>
        <v>543</v>
      </c>
      <c r="E361" s="4" t="str">
        <f t="shared" si="5"/>
        <v>9:03</v>
      </c>
      <c r="F361">
        <v>56</v>
      </c>
      <c r="G361" t="s">
        <v>281</v>
      </c>
      <c r="H361" s="2" t="s">
        <v>431</v>
      </c>
      <c r="I361">
        <f>COUNTIF($B$2:B361, "&lt;&gt;")</f>
        <v>360</v>
      </c>
      <c r="J361">
        <f>F361/B361</f>
        <v>17.891373801916934</v>
      </c>
    </row>
    <row r="362" spans="1:10" x14ac:dyDescent="0.3">
      <c r="A362" s="1">
        <v>44404</v>
      </c>
      <c r="B362" s="5">
        <v>3.12</v>
      </c>
      <c r="C362">
        <f>29*60+57</f>
        <v>1797</v>
      </c>
      <c r="D362">
        <f>9*60+35</f>
        <v>575</v>
      </c>
      <c r="E362" s="4" t="str">
        <f t="shared" si="5"/>
        <v>9:35</v>
      </c>
      <c r="F362">
        <v>204</v>
      </c>
      <c r="G362" t="s">
        <v>68</v>
      </c>
      <c r="H362" s="2" t="s">
        <v>432</v>
      </c>
      <c r="I362">
        <f>COUNTIF($B$2:B362, "&lt;&gt;")</f>
        <v>361</v>
      </c>
      <c r="J362">
        <f>F362/B362</f>
        <v>65.384615384615387</v>
      </c>
    </row>
    <row r="363" spans="1:10" x14ac:dyDescent="0.3">
      <c r="A363" s="1">
        <v>44405</v>
      </c>
      <c r="B363" s="5">
        <v>3.11</v>
      </c>
      <c r="C363">
        <f>23*60+12</f>
        <v>1392</v>
      </c>
      <c r="D363">
        <f>7*60+27</f>
        <v>447</v>
      </c>
      <c r="E363" s="4" t="str">
        <f t="shared" si="5"/>
        <v>7:27</v>
      </c>
      <c r="F363">
        <v>66</v>
      </c>
      <c r="G363" t="s">
        <v>17</v>
      </c>
      <c r="H363" s="2" t="s">
        <v>433</v>
      </c>
      <c r="I363">
        <f>COUNTIF($B$2:B363, "&lt;&gt;")</f>
        <v>362</v>
      </c>
      <c r="J363">
        <f>F363/B363</f>
        <v>21.221864951768488</v>
      </c>
    </row>
    <row r="364" spans="1:10" x14ac:dyDescent="0.3">
      <c r="A364" s="1">
        <v>44406</v>
      </c>
      <c r="B364" s="5">
        <v>3.13</v>
      </c>
      <c r="C364">
        <f>28*60+54</f>
        <v>1734</v>
      </c>
      <c r="D364">
        <f>9*60+14</f>
        <v>554</v>
      </c>
      <c r="E364" s="4" t="str">
        <f t="shared" si="5"/>
        <v>9:14</v>
      </c>
      <c r="F364">
        <v>59</v>
      </c>
      <c r="G364" t="s">
        <v>19</v>
      </c>
      <c r="H364" s="2" t="s">
        <v>434</v>
      </c>
      <c r="I364">
        <f>COUNTIF($B$2:B364, "&lt;&gt;")</f>
        <v>363</v>
      </c>
      <c r="J364">
        <f>F364/B364</f>
        <v>18.849840255591054</v>
      </c>
    </row>
    <row r="365" spans="1:10" x14ac:dyDescent="0.3">
      <c r="A365" s="1">
        <v>44407</v>
      </c>
      <c r="B365" s="5">
        <v>3.2</v>
      </c>
      <c r="C365">
        <f>27*60+50</f>
        <v>1670</v>
      </c>
      <c r="D365">
        <f>8*60+41</f>
        <v>521</v>
      </c>
      <c r="E365" s="4" t="str">
        <f t="shared" si="5"/>
        <v>8:41</v>
      </c>
      <c r="F365">
        <v>112</v>
      </c>
      <c r="G365" t="s">
        <v>435</v>
      </c>
      <c r="H365" s="2" t="s">
        <v>436</v>
      </c>
      <c r="I365">
        <f>COUNTIF($B$2:B365, "&lt;&gt;")</f>
        <v>364</v>
      </c>
      <c r="J365">
        <f>F365/B365</f>
        <v>35</v>
      </c>
    </row>
    <row r="366" spans="1:10" x14ac:dyDescent="0.3">
      <c r="A366" s="1">
        <v>44408</v>
      </c>
      <c r="B366" s="5">
        <v>3.12</v>
      </c>
      <c r="C366">
        <f>24*60+58</f>
        <v>1498</v>
      </c>
      <c r="D366">
        <f>8*60</f>
        <v>480</v>
      </c>
      <c r="E366" s="4" t="str">
        <f t="shared" si="5"/>
        <v>8:00</v>
      </c>
      <c r="F366">
        <v>107</v>
      </c>
      <c r="G366" t="s">
        <v>76</v>
      </c>
      <c r="H366" s="2" t="s">
        <v>437</v>
      </c>
      <c r="I366">
        <f>COUNTIF($B$2:B366, "&lt;&gt;")</f>
        <v>365</v>
      </c>
      <c r="J366">
        <f>F366/B366</f>
        <v>34.294871794871796</v>
      </c>
    </row>
    <row r="367" spans="1:10" x14ac:dyDescent="0.3">
      <c r="A367" s="1">
        <v>44409</v>
      </c>
      <c r="B367" s="5">
        <v>11.43</v>
      </c>
      <c r="C367">
        <f>1*3600+41*60+21</f>
        <v>6081</v>
      </c>
      <c r="D367">
        <f>8*60+52</f>
        <v>532</v>
      </c>
      <c r="E367" s="4" t="str">
        <f t="shared" si="5"/>
        <v>8:52</v>
      </c>
      <c r="F367">
        <v>213</v>
      </c>
      <c r="G367" t="s">
        <v>152</v>
      </c>
      <c r="H367" s="2" t="s">
        <v>438</v>
      </c>
      <c r="I367">
        <f>COUNTIF($B$2:B367, "&lt;&gt;")</f>
        <v>366</v>
      </c>
      <c r="J367">
        <f>F367/B367</f>
        <v>18.635170603674542</v>
      </c>
    </row>
    <row r="368" spans="1:10" x14ac:dyDescent="0.3">
      <c r="A368" s="1">
        <v>44410</v>
      </c>
      <c r="B368" s="5">
        <v>3.13</v>
      </c>
      <c r="C368">
        <f>27*60+42</f>
        <v>1662</v>
      </c>
      <c r="D368">
        <f>8*60+50</f>
        <v>530</v>
      </c>
      <c r="E368" s="4" t="str">
        <f t="shared" si="5"/>
        <v>8:50</v>
      </c>
      <c r="F368">
        <v>115</v>
      </c>
      <c r="G368" t="s">
        <v>76</v>
      </c>
      <c r="H368" s="2" t="s">
        <v>439</v>
      </c>
      <c r="I368">
        <f>COUNTIF($B$2:B368, "&lt;&gt;")</f>
        <v>367</v>
      </c>
      <c r="J368">
        <f>F368/B368</f>
        <v>36.741214057507989</v>
      </c>
    </row>
    <row r="369" spans="1:10" x14ac:dyDescent="0.3">
      <c r="A369" s="1">
        <v>44411</v>
      </c>
      <c r="B369" s="5">
        <v>3.16</v>
      </c>
      <c r="C369">
        <f>30*60+6</f>
        <v>1806</v>
      </c>
      <c r="D369">
        <f>9*60+31</f>
        <v>571</v>
      </c>
      <c r="E369" s="4" t="str">
        <f t="shared" si="5"/>
        <v>9:31</v>
      </c>
      <c r="F369">
        <v>121</v>
      </c>
      <c r="G369" t="s">
        <v>76</v>
      </c>
      <c r="H369" s="2" t="s">
        <v>440</v>
      </c>
      <c r="I369">
        <f>COUNTIF($B$2:B369, "&lt;&gt;")</f>
        <v>368</v>
      </c>
      <c r="J369">
        <f>F369/B369</f>
        <v>38.291139240506325</v>
      </c>
    </row>
    <row r="370" spans="1:10" x14ac:dyDescent="0.3">
      <c r="A370" s="1">
        <v>44412</v>
      </c>
      <c r="B370" s="5">
        <v>3.12</v>
      </c>
      <c r="C370">
        <f>21*60+40</f>
        <v>1300</v>
      </c>
      <c r="D370">
        <f>6*60+56</f>
        <v>416</v>
      </c>
      <c r="E370" s="4" t="str">
        <f t="shared" si="5"/>
        <v>6:56</v>
      </c>
      <c r="F370">
        <v>59</v>
      </c>
      <c r="G370" t="s">
        <v>17</v>
      </c>
      <c r="H370" s="2" t="s">
        <v>441</v>
      </c>
      <c r="I370">
        <f>COUNTIF($B$2:B370, "&lt;&gt;")</f>
        <v>369</v>
      </c>
      <c r="J370">
        <f>F370/B370</f>
        <v>18.910256410256409</v>
      </c>
    </row>
    <row r="371" spans="1:10" x14ac:dyDescent="0.3">
      <c r="A371" s="1">
        <v>44413</v>
      </c>
      <c r="B371" s="5">
        <v>3.12</v>
      </c>
      <c r="C371">
        <f>30*60+48</f>
        <v>1848</v>
      </c>
      <c r="D371">
        <f>9*60+51</f>
        <v>591</v>
      </c>
      <c r="E371" s="4" t="str">
        <f t="shared" si="5"/>
        <v>9:51</v>
      </c>
      <c r="F371">
        <v>92</v>
      </c>
      <c r="G371" t="s">
        <v>19</v>
      </c>
      <c r="H371" s="2" t="s">
        <v>442</v>
      </c>
      <c r="I371">
        <f>COUNTIF($B$2:B371, "&lt;&gt;")</f>
        <v>370</v>
      </c>
      <c r="J371">
        <f>F371/B371</f>
        <v>29.487179487179485</v>
      </c>
    </row>
    <row r="372" spans="1:10" x14ac:dyDescent="0.3">
      <c r="A372" s="1">
        <v>44414</v>
      </c>
      <c r="B372" s="5">
        <v>3.13</v>
      </c>
      <c r="C372">
        <f>28*60+30</f>
        <v>1710</v>
      </c>
      <c r="D372">
        <f>9*60+6</f>
        <v>546</v>
      </c>
      <c r="E372" s="4" t="str">
        <f t="shared" si="5"/>
        <v>9:06</v>
      </c>
      <c r="F372">
        <v>115</v>
      </c>
      <c r="G372" t="s">
        <v>76</v>
      </c>
      <c r="H372" s="2" t="s">
        <v>443</v>
      </c>
      <c r="I372">
        <f>COUNTIF($B$2:B372, "&lt;&gt;")</f>
        <v>371</v>
      </c>
      <c r="J372">
        <f>F372/B372</f>
        <v>36.741214057507989</v>
      </c>
    </row>
    <row r="373" spans="1:10" x14ac:dyDescent="0.3">
      <c r="A373" s="1">
        <v>44415</v>
      </c>
      <c r="B373" s="5">
        <v>3.13</v>
      </c>
      <c r="C373">
        <f>22*60+23</f>
        <v>1343</v>
      </c>
      <c r="D373">
        <f>7*60+8</f>
        <v>428</v>
      </c>
      <c r="E373" s="4" t="str">
        <f t="shared" si="5"/>
        <v>7:08</v>
      </c>
      <c r="F373">
        <v>46</v>
      </c>
      <c r="G373" t="s">
        <v>444</v>
      </c>
      <c r="H373" s="2" t="s">
        <v>445</v>
      </c>
      <c r="I373">
        <f>COUNTIF($B$2:B373, "&lt;&gt;")</f>
        <v>372</v>
      </c>
      <c r="J373">
        <f>F373/B373</f>
        <v>14.696485623003195</v>
      </c>
    </row>
    <row r="374" spans="1:10" x14ac:dyDescent="0.3">
      <c r="A374" s="1">
        <v>44416</v>
      </c>
      <c r="B374" s="5">
        <v>8.02</v>
      </c>
      <c r="C374">
        <f>1*3600+5*60+10</f>
        <v>3910</v>
      </c>
      <c r="D374">
        <f>8*60+7</f>
        <v>487</v>
      </c>
      <c r="E374" s="4" t="str">
        <f t="shared" si="5"/>
        <v>8:07</v>
      </c>
      <c r="F374">
        <v>535</v>
      </c>
      <c r="G374" t="s">
        <v>186</v>
      </c>
      <c r="H374" s="2" t="s">
        <v>446</v>
      </c>
      <c r="I374">
        <f>COUNTIF($B$2:B374, "&lt;&gt;")</f>
        <v>373</v>
      </c>
      <c r="J374">
        <f>F374/B374</f>
        <v>66.708229426433917</v>
      </c>
    </row>
    <row r="375" spans="1:10" x14ac:dyDescent="0.3">
      <c r="A375" s="1">
        <v>44417</v>
      </c>
      <c r="B375" s="5">
        <v>3.11</v>
      </c>
      <c r="C375">
        <f>31*60+4</f>
        <v>1864</v>
      </c>
      <c r="D375">
        <f>9*60+58</f>
        <v>598</v>
      </c>
      <c r="E375" s="4" t="str">
        <f t="shared" si="5"/>
        <v>9:58</v>
      </c>
      <c r="F375">
        <v>57</v>
      </c>
      <c r="G375" t="s">
        <v>281</v>
      </c>
      <c r="H375" s="2" t="s">
        <v>447</v>
      </c>
      <c r="I375">
        <f>COUNTIF($B$2:B375, "&lt;&gt;")</f>
        <v>374</v>
      </c>
      <c r="J375">
        <f>F375/B375</f>
        <v>18.327974276527332</v>
      </c>
    </row>
    <row r="376" spans="1:10" x14ac:dyDescent="0.3">
      <c r="A376" s="1">
        <v>44418</v>
      </c>
      <c r="B376" s="5">
        <v>3.11</v>
      </c>
      <c r="C376">
        <f>30*60+6</f>
        <v>1806</v>
      </c>
      <c r="D376">
        <f>9*60+39</f>
        <v>579</v>
      </c>
      <c r="E376" s="4" t="str">
        <f t="shared" si="5"/>
        <v>9:39</v>
      </c>
      <c r="F376">
        <v>119</v>
      </c>
      <c r="G376" t="s">
        <v>428</v>
      </c>
      <c r="H376" s="2" t="s">
        <v>448</v>
      </c>
      <c r="I376">
        <f>COUNTIF($B$2:B376, "&lt;&gt;")</f>
        <v>375</v>
      </c>
      <c r="J376">
        <f>F376/B376</f>
        <v>38.263665594855304</v>
      </c>
    </row>
    <row r="377" spans="1:10" x14ac:dyDescent="0.3">
      <c r="A377" s="1">
        <v>44419</v>
      </c>
      <c r="B377" s="5">
        <v>3.11</v>
      </c>
      <c r="C377">
        <f>23*60+20</f>
        <v>1400</v>
      </c>
      <c r="D377">
        <f>7*60+29</f>
        <v>449</v>
      </c>
      <c r="E377" s="4" t="str">
        <f t="shared" si="5"/>
        <v>7:29</v>
      </c>
      <c r="F377">
        <v>157</v>
      </c>
      <c r="G377" t="s">
        <v>315</v>
      </c>
      <c r="H377" s="2" t="s">
        <v>449</v>
      </c>
      <c r="I377">
        <f>COUNTIF($B$2:B377, "&lt;&gt;")</f>
        <v>376</v>
      </c>
      <c r="J377">
        <f>F377/B377</f>
        <v>50.482315112540192</v>
      </c>
    </row>
    <row r="378" spans="1:10" x14ac:dyDescent="0.3">
      <c r="A378" s="1">
        <v>44420</v>
      </c>
      <c r="B378" s="5">
        <v>3.11</v>
      </c>
      <c r="C378">
        <f>28*60+23</f>
        <v>1703</v>
      </c>
      <c r="D378">
        <f>9*60+7</f>
        <v>547</v>
      </c>
      <c r="E378" s="4" t="str">
        <f t="shared" si="5"/>
        <v>9:07</v>
      </c>
      <c r="F378">
        <v>136</v>
      </c>
      <c r="G378" t="s">
        <v>76</v>
      </c>
      <c r="H378" s="2" t="s">
        <v>450</v>
      </c>
      <c r="I378">
        <f>COUNTIF($B$2:B378, "&lt;&gt;")</f>
        <v>377</v>
      </c>
      <c r="J378">
        <f>F378/B378</f>
        <v>43.729903536977496</v>
      </c>
    </row>
    <row r="379" spans="1:10" x14ac:dyDescent="0.3">
      <c r="A379" s="1">
        <v>44421</v>
      </c>
      <c r="B379" s="5">
        <v>3.12</v>
      </c>
      <c r="C379">
        <f>25*60+47</f>
        <v>1547</v>
      </c>
      <c r="D379">
        <f>8*60+16</f>
        <v>496</v>
      </c>
      <c r="E379" s="4" t="str">
        <f t="shared" si="5"/>
        <v>8:16</v>
      </c>
      <c r="F379">
        <v>105</v>
      </c>
      <c r="G379" t="s">
        <v>76</v>
      </c>
      <c r="H379" s="2" t="s">
        <v>451</v>
      </c>
      <c r="I379">
        <f>COUNTIF($B$2:B379, "&lt;&gt;")</f>
        <v>378</v>
      </c>
      <c r="J379">
        <f>F379/B379</f>
        <v>33.653846153846153</v>
      </c>
    </row>
    <row r="380" spans="1:10" x14ac:dyDescent="0.3">
      <c r="A380" s="1">
        <v>44422</v>
      </c>
      <c r="B380" s="5">
        <v>4.0199999999999996</v>
      </c>
      <c r="C380">
        <f>42*60+41</f>
        <v>2561</v>
      </c>
      <c r="D380">
        <f>10*60+37</f>
        <v>637</v>
      </c>
      <c r="E380" s="4" t="str">
        <f t="shared" si="5"/>
        <v>10:37</v>
      </c>
      <c r="F380">
        <v>112</v>
      </c>
      <c r="G380" t="s">
        <v>70</v>
      </c>
      <c r="H380" s="2" t="s">
        <v>452</v>
      </c>
      <c r="I380">
        <f>COUNTIF($B$2:B380, "&lt;&gt;")</f>
        <v>379</v>
      </c>
      <c r="J380">
        <f>F380/B380</f>
        <v>27.86069651741294</v>
      </c>
    </row>
    <row r="381" spans="1:10" x14ac:dyDescent="0.3">
      <c r="A381" s="1">
        <v>44423</v>
      </c>
      <c r="B381" s="5">
        <v>7.34</v>
      </c>
      <c r="C381">
        <f>57*60+22</f>
        <v>3442</v>
      </c>
      <c r="D381">
        <f>7*60+49</f>
        <v>469</v>
      </c>
      <c r="E381" s="4" t="str">
        <f t="shared" si="5"/>
        <v>7:49</v>
      </c>
      <c r="F381">
        <v>187</v>
      </c>
      <c r="G381" t="s">
        <v>9</v>
      </c>
      <c r="H381" s="2" t="s">
        <v>453</v>
      </c>
      <c r="I381">
        <f>COUNTIF($B$2:B381, "&lt;&gt;")</f>
        <v>380</v>
      </c>
      <c r="J381">
        <f>F381/B381</f>
        <v>25.47683923705722</v>
      </c>
    </row>
    <row r="382" spans="1:10" x14ac:dyDescent="0.3">
      <c r="A382" s="1">
        <v>44424</v>
      </c>
      <c r="B382" s="5">
        <v>3.11</v>
      </c>
      <c r="C382">
        <f>30*60+3</f>
        <v>1803</v>
      </c>
      <c r="D382">
        <f>9*60+38</f>
        <v>578</v>
      </c>
      <c r="E382" s="4" t="str">
        <f t="shared" si="5"/>
        <v>9:38</v>
      </c>
      <c r="F382">
        <v>164</v>
      </c>
      <c r="G382" t="s">
        <v>428</v>
      </c>
      <c r="H382" s="2" t="s">
        <v>454</v>
      </c>
      <c r="I382">
        <f>COUNTIF($B$2:B382, "&lt;&gt;")</f>
        <v>381</v>
      </c>
      <c r="J382">
        <f>F382/B382</f>
        <v>52.733118971061096</v>
      </c>
    </row>
    <row r="383" spans="1:10" x14ac:dyDescent="0.3">
      <c r="A383" s="1">
        <v>44425</v>
      </c>
      <c r="B383" s="5">
        <v>3.12</v>
      </c>
      <c r="C383">
        <f>28*60+10</f>
        <v>1690</v>
      </c>
      <c r="D383">
        <f>9*60+1</f>
        <v>541</v>
      </c>
      <c r="E383" s="4" t="str">
        <f t="shared" si="5"/>
        <v>9:01</v>
      </c>
      <c r="F383">
        <v>105</v>
      </c>
      <c r="G383" t="s">
        <v>76</v>
      </c>
      <c r="H383" s="2" t="s">
        <v>455</v>
      </c>
      <c r="I383">
        <f>COUNTIF($B$2:B383, "&lt;&gt;")</f>
        <v>382</v>
      </c>
      <c r="J383">
        <f>F383/B383</f>
        <v>33.653846153846153</v>
      </c>
    </row>
    <row r="384" spans="1:10" x14ac:dyDescent="0.3">
      <c r="A384" s="1">
        <v>44426</v>
      </c>
      <c r="B384" s="5">
        <v>3.13</v>
      </c>
      <c r="C384">
        <f>22*60+52</f>
        <v>1372</v>
      </c>
      <c r="D384">
        <f>7*60+17</f>
        <v>437</v>
      </c>
      <c r="E384" s="4" t="str">
        <f t="shared" si="5"/>
        <v>7:17</v>
      </c>
      <c r="F384">
        <v>67</v>
      </c>
      <c r="G384" t="s">
        <v>17</v>
      </c>
      <c r="H384" s="2" t="s">
        <v>456</v>
      </c>
      <c r="I384">
        <f>COUNTIF($B$2:B384, "&lt;&gt;")</f>
        <v>383</v>
      </c>
      <c r="J384">
        <f>F384/B384</f>
        <v>21.405750798722046</v>
      </c>
    </row>
    <row r="385" spans="1:10" x14ac:dyDescent="0.3">
      <c r="A385" s="1">
        <v>44427</v>
      </c>
      <c r="B385" s="5">
        <v>3.11</v>
      </c>
      <c r="C385">
        <f>29*60+31</f>
        <v>1771</v>
      </c>
      <c r="D385">
        <f>9*60+28</f>
        <v>568</v>
      </c>
      <c r="E385" s="4" t="str">
        <f t="shared" si="5"/>
        <v>9:28</v>
      </c>
      <c r="F385">
        <v>105</v>
      </c>
      <c r="G385" t="s">
        <v>76</v>
      </c>
      <c r="H385" s="2" t="s">
        <v>457</v>
      </c>
      <c r="I385">
        <f>COUNTIF($B$2:B385, "&lt;&gt;")</f>
        <v>384</v>
      </c>
      <c r="J385">
        <f>F385/B385</f>
        <v>33.762057877813504</v>
      </c>
    </row>
    <row r="386" spans="1:10" x14ac:dyDescent="0.3">
      <c r="A386" s="1">
        <v>44428</v>
      </c>
      <c r="B386" s="5">
        <v>17.57</v>
      </c>
      <c r="C386">
        <f>2*3600+44*60+23</f>
        <v>9863</v>
      </c>
      <c r="D386">
        <f>9*60+21</f>
        <v>561</v>
      </c>
      <c r="E386" s="4" t="str">
        <f t="shared" si="5"/>
        <v>9:21</v>
      </c>
      <c r="F386">
        <v>542</v>
      </c>
      <c r="G386" t="s">
        <v>68</v>
      </c>
      <c r="H386" s="2" t="s">
        <v>458</v>
      </c>
      <c r="I386">
        <f>COUNTIF($B$2:B386, "&lt;&gt;")</f>
        <v>385</v>
      </c>
      <c r="J386">
        <f>F386/B386</f>
        <v>30.848036425725667</v>
      </c>
    </row>
    <row r="387" spans="1:10" x14ac:dyDescent="0.3">
      <c r="A387" s="1">
        <v>44429</v>
      </c>
      <c r="B387" s="5">
        <v>3.13</v>
      </c>
      <c r="C387">
        <f>32*60+4</f>
        <v>1924</v>
      </c>
      <c r="D387">
        <f>10*60+13</f>
        <v>613</v>
      </c>
      <c r="E387" s="4" t="str">
        <f t="shared" ref="E387:E450" si="6">CONCATENATE(ROUNDDOWN(D387/60,0),":",IF(ROUNDDOWN(D387-ROUNDDOWN(D387/60,0)*60,0)&gt;=10,ROUNDDOWN(D387-ROUNDDOWN(D387/60,0)*60,3),CONCATENATE("0",ROUNDDOWN(D387-ROUNDDOWN(D387/60,0)*60,3))))</f>
        <v>10:13</v>
      </c>
      <c r="F387">
        <v>92</v>
      </c>
      <c r="G387" t="s">
        <v>17</v>
      </c>
      <c r="H387" s="2" t="s">
        <v>459</v>
      </c>
      <c r="I387">
        <f>COUNTIF($B$2:B387, "&lt;&gt;")</f>
        <v>386</v>
      </c>
      <c r="J387">
        <f>F387/B387</f>
        <v>29.39297124600639</v>
      </c>
    </row>
    <row r="388" spans="1:10" x14ac:dyDescent="0.3">
      <c r="A388" s="1">
        <v>44430</v>
      </c>
      <c r="B388" s="5">
        <v>3.3</v>
      </c>
      <c r="C388">
        <f>31*60+46</f>
        <v>1906</v>
      </c>
      <c r="D388">
        <f>9*60+38</f>
        <v>578</v>
      </c>
      <c r="E388" s="4" t="str">
        <f t="shared" si="6"/>
        <v>9:38</v>
      </c>
      <c r="F388">
        <v>118</v>
      </c>
      <c r="G388" t="s">
        <v>76</v>
      </c>
      <c r="H388" s="2" t="s">
        <v>460</v>
      </c>
      <c r="I388">
        <f>COUNTIF($B$2:B388, "&lt;&gt;")</f>
        <v>387</v>
      </c>
      <c r="J388">
        <f>F388/B388</f>
        <v>35.757575757575758</v>
      </c>
    </row>
    <row r="389" spans="1:10" x14ac:dyDescent="0.3">
      <c r="A389" s="1">
        <v>44431</v>
      </c>
      <c r="B389" s="5">
        <v>5.03</v>
      </c>
      <c r="C389">
        <f>40*60+11</f>
        <v>2411</v>
      </c>
      <c r="D389">
        <f>7*60+59</f>
        <v>479</v>
      </c>
      <c r="E389" s="4" t="str">
        <f t="shared" si="6"/>
        <v>7:59</v>
      </c>
      <c r="F389">
        <v>93</v>
      </c>
      <c r="G389" t="s">
        <v>13</v>
      </c>
      <c r="H389" s="2" t="s">
        <v>461</v>
      </c>
      <c r="I389">
        <f>COUNTIF($B$2:B389, "&lt;&gt;")</f>
        <v>388</v>
      </c>
      <c r="J389">
        <f>F389/B389</f>
        <v>18.489065606361827</v>
      </c>
    </row>
    <row r="390" spans="1:10" x14ac:dyDescent="0.3">
      <c r="A390" s="1">
        <v>44432</v>
      </c>
      <c r="B390" s="5">
        <v>3.32</v>
      </c>
      <c r="C390">
        <f>28*60</f>
        <v>1680</v>
      </c>
      <c r="D390">
        <f>8*60+25</f>
        <v>505</v>
      </c>
      <c r="E390" s="4" t="str">
        <f t="shared" si="6"/>
        <v>8:25</v>
      </c>
      <c r="F390">
        <v>93</v>
      </c>
      <c r="G390" t="s">
        <v>462</v>
      </c>
      <c r="H390" s="2" t="s">
        <v>463</v>
      </c>
      <c r="I390">
        <f>COUNTIF($B$2:B390, "&lt;&gt;")</f>
        <v>389</v>
      </c>
      <c r="J390">
        <f>F390/B390</f>
        <v>28.012048192771086</v>
      </c>
    </row>
    <row r="391" spans="1:10" x14ac:dyDescent="0.3">
      <c r="A391" s="1">
        <v>44433</v>
      </c>
      <c r="B391" s="5">
        <v>3.12</v>
      </c>
      <c r="C391">
        <f>22*60+33</f>
        <v>1353</v>
      </c>
      <c r="D391">
        <f>7*60+13</f>
        <v>433</v>
      </c>
      <c r="E391" s="4" t="str">
        <f t="shared" si="6"/>
        <v>7:13</v>
      </c>
      <c r="F391">
        <v>136</v>
      </c>
      <c r="G391" t="s">
        <v>17</v>
      </c>
      <c r="H391" s="2" t="s">
        <v>464</v>
      </c>
      <c r="I391">
        <f>COUNTIF($B$2:B391, "&lt;&gt;")</f>
        <v>390</v>
      </c>
      <c r="J391">
        <f>F391/B391</f>
        <v>43.589743589743591</v>
      </c>
    </row>
    <row r="392" spans="1:10" x14ac:dyDescent="0.3">
      <c r="A392" s="1">
        <v>44434</v>
      </c>
      <c r="B392" s="5">
        <v>3.12</v>
      </c>
      <c r="C392">
        <f>27*60+35</f>
        <v>1655</v>
      </c>
      <c r="D392">
        <f>8*60+50</f>
        <v>530</v>
      </c>
      <c r="E392" s="4" t="str">
        <f t="shared" si="6"/>
        <v>8:50</v>
      </c>
      <c r="F392">
        <v>118</v>
      </c>
      <c r="G392" t="s">
        <v>76</v>
      </c>
      <c r="H392" s="2" t="s">
        <v>465</v>
      </c>
      <c r="I392">
        <f>COUNTIF($B$2:B392, "&lt;&gt;")</f>
        <v>391</v>
      </c>
      <c r="J392">
        <f>F392/B392</f>
        <v>37.820512820512818</v>
      </c>
    </row>
    <row r="393" spans="1:10" x14ac:dyDescent="0.3">
      <c r="A393" s="1">
        <v>44435</v>
      </c>
      <c r="B393" s="5">
        <v>3.12</v>
      </c>
      <c r="C393">
        <f>33*60+3</f>
        <v>1983</v>
      </c>
      <c r="D393">
        <f>10*60+35</f>
        <v>635</v>
      </c>
      <c r="E393" s="4" t="str">
        <f t="shared" si="6"/>
        <v>10:35</v>
      </c>
      <c r="F393">
        <v>90</v>
      </c>
      <c r="G393" t="s">
        <v>466</v>
      </c>
      <c r="H393" s="2" t="s">
        <v>467</v>
      </c>
      <c r="I393">
        <f>COUNTIF($B$2:B393, "&lt;&gt;")</f>
        <v>392</v>
      </c>
      <c r="J393">
        <f>F393/B393</f>
        <v>28.846153846153847</v>
      </c>
    </row>
    <row r="394" spans="1:10" x14ac:dyDescent="0.3">
      <c r="A394" s="1">
        <v>44436</v>
      </c>
      <c r="B394" s="5">
        <v>3.11</v>
      </c>
      <c r="C394">
        <f>31*60+36</f>
        <v>1896</v>
      </c>
      <c r="D394">
        <f>10*60+8</f>
        <v>608</v>
      </c>
      <c r="E394" s="4" t="str">
        <f t="shared" si="6"/>
        <v>10:08</v>
      </c>
      <c r="F394">
        <v>30</v>
      </c>
      <c r="G394" t="s">
        <v>468</v>
      </c>
      <c r="H394" s="2" t="s">
        <v>469</v>
      </c>
      <c r="I394">
        <f>COUNTIF($B$2:B394, "&lt;&gt;")</f>
        <v>393</v>
      </c>
      <c r="J394">
        <f>F394/B394</f>
        <v>9.6463022508038581</v>
      </c>
    </row>
    <row r="395" spans="1:10" x14ac:dyDescent="0.3">
      <c r="A395" s="1">
        <v>44437</v>
      </c>
      <c r="B395" s="5">
        <v>3.39</v>
      </c>
      <c r="C395">
        <f>33*60+47</f>
        <v>2027</v>
      </c>
      <c r="D395">
        <f>9*60+57</f>
        <v>597</v>
      </c>
      <c r="E395" s="4" t="str">
        <f t="shared" si="6"/>
        <v>9:57</v>
      </c>
      <c r="F395">
        <v>16</v>
      </c>
      <c r="G395" t="s">
        <v>470</v>
      </c>
      <c r="H395" s="2" t="s">
        <v>471</v>
      </c>
      <c r="I395">
        <f>COUNTIF($B$2:B395, "&lt;&gt;")</f>
        <v>394</v>
      </c>
      <c r="J395">
        <f>F395/B395</f>
        <v>4.71976401179941</v>
      </c>
    </row>
    <row r="396" spans="1:10" x14ac:dyDescent="0.3">
      <c r="A396" s="1">
        <v>44438</v>
      </c>
      <c r="B396" s="5">
        <v>5.01</v>
      </c>
      <c r="C396">
        <f>37*60+43</f>
        <v>2263</v>
      </c>
      <c r="D396">
        <f>7*60+31</f>
        <v>451</v>
      </c>
      <c r="E396" s="4" t="str">
        <f t="shared" si="6"/>
        <v>7:31</v>
      </c>
      <c r="F396">
        <v>83</v>
      </c>
      <c r="G396" t="s">
        <v>13</v>
      </c>
      <c r="H396" s="2" t="s">
        <v>472</v>
      </c>
      <c r="I396">
        <f>COUNTIF($B$2:B396, "&lt;&gt;")</f>
        <v>395</v>
      </c>
      <c r="J396">
        <f>F396/B396</f>
        <v>16.56686626746507</v>
      </c>
    </row>
    <row r="397" spans="1:10" x14ac:dyDescent="0.3">
      <c r="A397" s="1">
        <v>44439</v>
      </c>
      <c r="B397" s="5">
        <v>3.15</v>
      </c>
      <c r="C397">
        <f>29*60+32</f>
        <v>1772</v>
      </c>
      <c r="D397">
        <f>9*60+21</f>
        <v>561</v>
      </c>
      <c r="E397" s="4" t="str">
        <f t="shared" si="6"/>
        <v>9:21</v>
      </c>
      <c r="F397">
        <v>125</v>
      </c>
      <c r="G397" t="s">
        <v>76</v>
      </c>
      <c r="H397" s="2" t="s">
        <v>473</v>
      </c>
      <c r="I397">
        <f>COUNTIF($B$2:B397, "&lt;&gt;")</f>
        <v>396</v>
      </c>
      <c r="J397">
        <f>F397/B397</f>
        <v>39.682539682539684</v>
      </c>
    </row>
    <row r="398" spans="1:10" x14ac:dyDescent="0.3">
      <c r="A398" s="1">
        <v>44440</v>
      </c>
      <c r="B398" s="5">
        <v>3.14</v>
      </c>
      <c r="C398">
        <f>24*60+26</f>
        <v>1466</v>
      </c>
      <c r="D398">
        <f>7*60+46</f>
        <v>466</v>
      </c>
      <c r="E398" s="4" t="str">
        <f t="shared" si="6"/>
        <v>7:46</v>
      </c>
      <c r="F398">
        <v>59</v>
      </c>
      <c r="G398" t="s">
        <v>17</v>
      </c>
      <c r="H398" s="2" t="s">
        <v>474</v>
      </c>
      <c r="I398">
        <f>COUNTIF($B$2:B398, "&lt;&gt;")</f>
        <v>397</v>
      </c>
      <c r="J398">
        <f>F398/B398</f>
        <v>18.789808917197451</v>
      </c>
    </row>
    <row r="399" spans="1:10" x14ac:dyDescent="0.3">
      <c r="A399" s="1">
        <v>44441</v>
      </c>
      <c r="B399" s="5">
        <v>3.11</v>
      </c>
      <c r="C399">
        <f>30*60+21</f>
        <v>1821</v>
      </c>
      <c r="D399">
        <f>9*60+45</f>
        <v>585</v>
      </c>
      <c r="E399" s="4" t="str">
        <f t="shared" si="6"/>
        <v>9:45</v>
      </c>
      <c r="F399">
        <v>144</v>
      </c>
      <c r="G399" t="s">
        <v>76</v>
      </c>
      <c r="H399" s="2" t="s">
        <v>475</v>
      </c>
      <c r="I399">
        <f>COUNTIF($B$2:B399, "&lt;&gt;")</f>
        <v>398</v>
      </c>
      <c r="J399">
        <f>F399/B399</f>
        <v>46.30225080385852</v>
      </c>
    </row>
    <row r="400" spans="1:10" x14ac:dyDescent="0.3">
      <c r="A400" s="1">
        <v>44442</v>
      </c>
      <c r="B400" s="5">
        <v>3.11</v>
      </c>
      <c r="C400">
        <f>31*60+30</f>
        <v>1890</v>
      </c>
      <c r="D400">
        <f>10*60+6</f>
        <v>606</v>
      </c>
      <c r="E400" s="4" t="str">
        <f t="shared" si="6"/>
        <v>10:06</v>
      </c>
      <c r="F400">
        <v>3</v>
      </c>
      <c r="G400" t="s">
        <v>476</v>
      </c>
      <c r="H400" s="2" t="s">
        <v>477</v>
      </c>
      <c r="I400">
        <f>COUNTIF($B$2:B400, "&lt;&gt;")</f>
        <v>399</v>
      </c>
      <c r="J400">
        <f>F400/B400</f>
        <v>0.96463022508038587</v>
      </c>
    </row>
    <row r="401" spans="1:10" x14ac:dyDescent="0.3">
      <c r="A401" s="1">
        <v>44443</v>
      </c>
      <c r="B401" s="5">
        <v>3.11</v>
      </c>
      <c r="C401">
        <f>20*60+16</f>
        <v>1216</v>
      </c>
      <c r="D401">
        <f>6*60+32</f>
        <v>392</v>
      </c>
      <c r="E401" s="4" t="str">
        <f t="shared" si="6"/>
        <v>6:32</v>
      </c>
      <c r="F401">
        <v>20</v>
      </c>
      <c r="G401" t="s">
        <v>478</v>
      </c>
      <c r="H401" s="2" t="s">
        <v>479</v>
      </c>
      <c r="I401">
        <f>COUNTIF($B$2:B401, "&lt;&gt;")</f>
        <v>400</v>
      </c>
      <c r="J401">
        <f>F401/B401</f>
        <v>6.4308681672025729</v>
      </c>
    </row>
    <row r="402" spans="1:10" x14ac:dyDescent="0.3">
      <c r="A402" s="1">
        <v>44444</v>
      </c>
      <c r="B402" s="5">
        <v>3.13</v>
      </c>
      <c r="C402">
        <f>28*60+54</f>
        <v>1734</v>
      </c>
      <c r="D402">
        <f>9*60+14</f>
        <v>554</v>
      </c>
      <c r="E402" s="4" t="str">
        <f t="shared" si="6"/>
        <v>9:14</v>
      </c>
      <c r="F402">
        <v>114</v>
      </c>
      <c r="G402" t="s">
        <v>76</v>
      </c>
      <c r="H402" s="2" t="s">
        <v>480</v>
      </c>
      <c r="I402">
        <f>COUNTIF($B$2:B402, "&lt;&gt;")</f>
        <v>401</v>
      </c>
      <c r="J402">
        <f>F402/B402</f>
        <v>36.421725239616613</v>
      </c>
    </row>
    <row r="403" spans="1:10" x14ac:dyDescent="0.3">
      <c r="A403" s="1">
        <v>44445</v>
      </c>
      <c r="B403" s="5">
        <v>3.11</v>
      </c>
      <c r="C403">
        <f>20*60+30</f>
        <v>1230</v>
      </c>
      <c r="D403">
        <f>6*60+42</f>
        <v>402</v>
      </c>
      <c r="E403" s="4" t="str">
        <f t="shared" si="6"/>
        <v>6:42</v>
      </c>
      <c r="F403">
        <v>76</v>
      </c>
      <c r="G403" t="s">
        <v>481</v>
      </c>
      <c r="H403" s="2" t="s">
        <v>482</v>
      </c>
      <c r="I403">
        <f>COUNTIF($B$2:B403, "&lt;&gt;")</f>
        <v>402</v>
      </c>
      <c r="J403">
        <f>F403/B403</f>
        <v>24.437299035369776</v>
      </c>
    </row>
    <row r="404" spans="1:10" x14ac:dyDescent="0.3">
      <c r="A404" s="1">
        <v>44446</v>
      </c>
      <c r="B404" s="5">
        <v>3.11</v>
      </c>
      <c r="C404">
        <f>28*60+12</f>
        <v>1692</v>
      </c>
      <c r="D404">
        <f>9*60+3</f>
        <v>543</v>
      </c>
      <c r="E404" s="4" t="str">
        <f t="shared" si="6"/>
        <v>9:03</v>
      </c>
      <c r="F404">
        <v>7</v>
      </c>
      <c r="G404" t="s">
        <v>483</v>
      </c>
      <c r="H404" s="2" t="s">
        <v>484</v>
      </c>
      <c r="I404">
        <f>COUNTIF($B$2:B404, "&lt;&gt;")</f>
        <v>403</v>
      </c>
      <c r="J404">
        <f>F404/B404</f>
        <v>2.2508038585209005</v>
      </c>
    </row>
    <row r="405" spans="1:10" x14ac:dyDescent="0.3">
      <c r="A405" s="1">
        <v>44447</v>
      </c>
      <c r="B405" s="5">
        <v>3.12</v>
      </c>
      <c r="C405">
        <f>22*60+39</f>
        <v>1359</v>
      </c>
      <c r="D405">
        <f>7*60+15</f>
        <v>435</v>
      </c>
      <c r="E405" s="4" t="str">
        <f t="shared" si="6"/>
        <v>7:15</v>
      </c>
      <c r="F405">
        <v>79</v>
      </c>
      <c r="G405" t="s">
        <v>17</v>
      </c>
      <c r="H405" s="2" t="s">
        <v>485</v>
      </c>
      <c r="I405">
        <f>COUNTIF($B$2:B405, "&lt;&gt;")</f>
        <v>404</v>
      </c>
      <c r="J405">
        <f>F405/B405</f>
        <v>25.320512820512821</v>
      </c>
    </row>
    <row r="406" spans="1:10" x14ac:dyDescent="0.3">
      <c r="A406" s="1">
        <v>44448</v>
      </c>
      <c r="B406" s="5">
        <v>3.12</v>
      </c>
      <c r="C406">
        <f>26*60+50</f>
        <v>1610</v>
      </c>
      <c r="D406">
        <f>8*60+36</f>
        <v>516</v>
      </c>
      <c r="E406" s="4" t="str">
        <f t="shared" si="6"/>
        <v>8:36</v>
      </c>
      <c r="F406">
        <v>65</v>
      </c>
      <c r="G406" t="s">
        <v>19</v>
      </c>
      <c r="H406" s="2" t="s">
        <v>486</v>
      </c>
      <c r="I406">
        <f>COUNTIF($B$2:B406, "&lt;&gt;")</f>
        <v>405</v>
      </c>
      <c r="J406">
        <f>F406/B406</f>
        <v>20.833333333333332</v>
      </c>
    </row>
    <row r="407" spans="1:10" x14ac:dyDescent="0.3">
      <c r="A407" s="1">
        <v>44449</v>
      </c>
      <c r="B407" s="5">
        <v>3.13</v>
      </c>
      <c r="C407">
        <f>29*60+27</f>
        <v>1767</v>
      </c>
      <c r="D407">
        <f>9*60+23</f>
        <v>563</v>
      </c>
      <c r="E407" s="4" t="str">
        <f t="shared" si="6"/>
        <v>9:23</v>
      </c>
      <c r="F407">
        <v>118</v>
      </c>
      <c r="G407" t="s">
        <v>76</v>
      </c>
      <c r="H407" s="2" t="s">
        <v>487</v>
      </c>
      <c r="I407">
        <f>COUNTIF($B$2:B407, "&lt;&gt;")</f>
        <v>406</v>
      </c>
      <c r="J407">
        <f>F407/B407</f>
        <v>37.699680511182109</v>
      </c>
    </row>
    <row r="408" spans="1:10" x14ac:dyDescent="0.3">
      <c r="A408" s="1">
        <v>44450</v>
      </c>
      <c r="B408" s="5">
        <v>9.11</v>
      </c>
      <c r="C408">
        <f>1*3600+17*60+16</f>
        <v>4636</v>
      </c>
      <c r="D408">
        <f>8*60+29</f>
        <v>509</v>
      </c>
      <c r="E408" s="4" t="str">
        <f t="shared" si="6"/>
        <v>8:29</v>
      </c>
      <c r="F408">
        <v>379</v>
      </c>
      <c r="G408" t="s">
        <v>66</v>
      </c>
      <c r="H408" s="2" t="s">
        <v>488</v>
      </c>
      <c r="I408">
        <f>COUNTIF($B$2:B408, "&lt;&gt;")</f>
        <v>407</v>
      </c>
      <c r="J408">
        <f>F408/B408</f>
        <v>41.602634467618003</v>
      </c>
    </row>
    <row r="409" spans="1:10" x14ac:dyDescent="0.3">
      <c r="A409" s="1">
        <v>44451</v>
      </c>
      <c r="B409" s="5">
        <v>3.12</v>
      </c>
      <c r="C409">
        <f>30*60+37</f>
        <v>1837</v>
      </c>
      <c r="D409">
        <f>9*60+49</f>
        <v>589</v>
      </c>
      <c r="E409" s="4" t="str">
        <f t="shared" si="6"/>
        <v>9:49</v>
      </c>
      <c r="F409">
        <v>115</v>
      </c>
      <c r="G409" t="s">
        <v>76</v>
      </c>
      <c r="H409" s="2" t="s">
        <v>489</v>
      </c>
      <c r="I409">
        <f>COUNTIF($B$2:B409, "&lt;&gt;")</f>
        <v>408</v>
      </c>
      <c r="J409">
        <f>F409/B409</f>
        <v>36.858974358974358</v>
      </c>
    </row>
    <row r="410" spans="1:10" x14ac:dyDescent="0.3">
      <c r="A410" s="1">
        <v>44452</v>
      </c>
      <c r="B410" s="5">
        <v>3.12</v>
      </c>
      <c r="C410">
        <f>22*60+41</f>
        <v>1361</v>
      </c>
      <c r="D410">
        <f>7*60+16</f>
        <v>436</v>
      </c>
      <c r="E410" s="4" t="str">
        <f t="shared" si="6"/>
        <v>7:16</v>
      </c>
      <c r="F410">
        <v>56</v>
      </c>
      <c r="G410" t="s">
        <v>281</v>
      </c>
      <c r="H410" s="2" t="s">
        <v>490</v>
      </c>
      <c r="I410">
        <f>COUNTIF($B$2:B410, "&lt;&gt;")</f>
        <v>409</v>
      </c>
      <c r="J410">
        <f>F410/B410</f>
        <v>17.948717948717949</v>
      </c>
    </row>
    <row r="411" spans="1:10" x14ac:dyDescent="0.3">
      <c r="A411" s="1">
        <v>44453</v>
      </c>
      <c r="B411" s="5">
        <v>3.12</v>
      </c>
      <c r="C411">
        <f>27*60+52</f>
        <v>1672</v>
      </c>
      <c r="D411">
        <f>8*60+56</f>
        <v>536</v>
      </c>
      <c r="E411" s="4" t="str">
        <f t="shared" si="6"/>
        <v>8:56</v>
      </c>
      <c r="F411">
        <v>82</v>
      </c>
      <c r="G411" t="s">
        <v>491</v>
      </c>
      <c r="H411" s="2" t="s">
        <v>492</v>
      </c>
      <c r="I411">
        <f>COUNTIF($B$2:B411, "&lt;&gt;")</f>
        <v>410</v>
      </c>
      <c r="J411">
        <f>F411/B411</f>
        <v>26.282051282051281</v>
      </c>
    </row>
    <row r="412" spans="1:10" x14ac:dyDescent="0.3">
      <c r="A412" s="1">
        <v>44454</v>
      </c>
      <c r="B412" s="5">
        <v>3.11</v>
      </c>
      <c r="C412">
        <f>22*60+44</f>
        <v>1364</v>
      </c>
      <c r="D412">
        <f>7*60+18</f>
        <v>438</v>
      </c>
      <c r="E412" s="4" t="str">
        <f t="shared" si="6"/>
        <v>7:18</v>
      </c>
      <c r="F412">
        <v>59</v>
      </c>
      <c r="G412" t="s">
        <v>17</v>
      </c>
      <c r="H412" s="2" t="s">
        <v>493</v>
      </c>
      <c r="I412">
        <f>COUNTIF($B$2:B412, "&lt;&gt;")</f>
        <v>411</v>
      </c>
      <c r="J412">
        <f>F412/B412</f>
        <v>18.971061093247588</v>
      </c>
    </row>
    <row r="413" spans="1:10" x14ac:dyDescent="0.3">
      <c r="A413" s="1">
        <v>44455</v>
      </c>
      <c r="B413" s="5">
        <v>3.11</v>
      </c>
      <c r="C413">
        <f>27*60+51</f>
        <v>1671</v>
      </c>
      <c r="D413">
        <f>8*60+57</f>
        <v>537</v>
      </c>
      <c r="E413" s="4" t="str">
        <f t="shared" si="6"/>
        <v>8:57</v>
      </c>
      <c r="F413">
        <v>123</v>
      </c>
      <c r="G413" t="s">
        <v>47</v>
      </c>
      <c r="H413" s="2" t="s">
        <v>494</v>
      </c>
      <c r="I413">
        <f>COUNTIF($B$2:B413, "&lt;&gt;")</f>
        <v>412</v>
      </c>
      <c r="J413">
        <f>F413/B413</f>
        <v>39.549839228295824</v>
      </c>
    </row>
    <row r="414" spans="1:10" x14ac:dyDescent="0.3">
      <c r="A414" s="1">
        <v>44456</v>
      </c>
      <c r="B414" s="5">
        <v>3.14</v>
      </c>
      <c r="C414">
        <f>27*60+41</f>
        <v>1661</v>
      </c>
      <c r="D414">
        <f>8*60+48</f>
        <v>528</v>
      </c>
      <c r="E414" s="4" t="str">
        <f t="shared" si="6"/>
        <v>8:48</v>
      </c>
      <c r="F414">
        <v>112</v>
      </c>
      <c r="G414" t="s">
        <v>76</v>
      </c>
      <c r="H414" s="2" t="s">
        <v>495</v>
      </c>
      <c r="I414">
        <f>COUNTIF($B$2:B414, "&lt;&gt;")</f>
        <v>413</v>
      </c>
      <c r="J414">
        <f>F414/B414</f>
        <v>35.668789808917197</v>
      </c>
    </row>
    <row r="415" spans="1:10" x14ac:dyDescent="0.3">
      <c r="A415" s="1">
        <v>44457</v>
      </c>
      <c r="B415" s="5">
        <v>6.01</v>
      </c>
      <c r="C415">
        <f>49*60+21</f>
        <v>2961</v>
      </c>
      <c r="D415">
        <f>8*60+13</f>
        <v>493</v>
      </c>
      <c r="E415" s="4" t="str">
        <f t="shared" si="6"/>
        <v>8:13</v>
      </c>
      <c r="F415">
        <v>124</v>
      </c>
      <c r="G415" t="s">
        <v>41</v>
      </c>
      <c r="H415" s="2" t="s">
        <v>496</v>
      </c>
      <c r="I415">
        <f>COUNTIF($B$2:B415, "&lt;&gt;")</f>
        <v>414</v>
      </c>
      <c r="J415">
        <f>F415/B415</f>
        <v>20.632279534109816</v>
      </c>
    </row>
    <row r="416" spans="1:10" x14ac:dyDescent="0.3">
      <c r="A416" s="1">
        <v>44458</v>
      </c>
      <c r="B416" s="5">
        <v>3.12</v>
      </c>
      <c r="C416">
        <f>29*60+58</f>
        <v>1798</v>
      </c>
      <c r="D416">
        <f>9*60+36</f>
        <v>576</v>
      </c>
      <c r="E416" s="4" t="str">
        <f t="shared" si="6"/>
        <v>9:36</v>
      </c>
      <c r="F416">
        <v>112</v>
      </c>
      <c r="G416" t="s">
        <v>76</v>
      </c>
      <c r="H416" s="2" t="s">
        <v>497</v>
      </c>
      <c r="I416">
        <f>COUNTIF($B$2:B416, "&lt;&gt;")</f>
        <v>415</v>
      </c>
      <c r="J416">
        <f>F416/B416</f>
        <v>35.897435897435898</v>
      </c>
    </row>
    <row r="417" spans="1:10" x14ac:dyDescent="0.3">
      <c r="A417" s="1">
        <v>44459</v>
      </c>
      <c r="B417" s="5">
        <v>3.13</v>
      </c>
      <c r="C417">
        <f>30*60+14</f>
        <v>1814</v>
      </c>
      <c r="D417">
        <f>9*60+39</f>
        <v>579</v>
      </c>
      <c r="E417" s="4" t="str">
        <f t="shared" si="6"/>
        <v>9:39</v>
      </c>
      <c r="F417">
        <v>59</v>
      </c>
      <c r="G417" t="s">
        <v>281</v>
      </c>
      <c r="H417" s="2" t="s">
        <v>498</v>
      </c>
      <c r="I417">
        <f>COUNTIF($B$2:B417, "&lt;&gt;")</f>
        <v>416</v>
      </c>
      <c r="J417">
        <f>F417/B417</f>
        <v>18.849840255591054</v>
      </c>
    </row>
    <row r="418" spans="1:10" x14ac:dyDescent="0.3">
      <c r="A418" s="1">
        <v>44460</v>
      </c>
      <c r="B418" s="5">
        <v>3.12</v>
      </c>
      <c r="C418">
        <f>27*60+53</f>
        <v>1673</v>
      </c>
      <c r="D418">
        <f>8*60+56</f>
        <v>536</v>
      </c>
      <c r="E418" s="4" t="str">
        <f t="shared" si="6"/>
        <v>8:56</v>
      </c>
      <c r="F418">
        <v>125</v>
      </c>
      <c r="G418" t="s">
        <v>76</v>
      </c>
      <c r="H418" s="2" t="s">
        <v>499</v>
      </c>
      <c r="I418">
        <f>COUNTIF($B$2:B418, "&lt;&gt;")</f>
        <v>417</v>
      </c>
      <c r="J418">
        <f>F418/B418</f>
        <v>40.064102564102562</v>
      </c>
    </row>
    <row r="419" spans="1:10" x14ac:dyDescent="0.3">
      <c r="A419" s="1">
        <v>44461</v>
      </c>
      <c r="B419" s="5">
        <v>3.13</v>
      </c>
      <c r="C419">
        <f>28*60+59</f>
        <v>1739</v>
      </c>
      <c r="D419">
        <f>9*60+15</f>
        <v>555</v>
      </c>
      <c r="E419" s="4" t="str">
        <f t="shared" si="6"/>
        <v>9:15</v>
      </c>
      <c r="F419">
        <v>92</v>
      </c>
      <c r="G419" t="s">
        <v>17</v>
      </c>
      <c r="H419" s="2" t="s">
        <v>500</v>
      </c>
      <c r="I419">
        <f>COUNTIF($B$2:B419, "&lt;&gt;")</f>
        <v>418</v>
      </c>
      <c r="J419">
        <f>F419/B419</f>
        <v>29.39297124600639</v>
      </c>
    </row>
    <row r="420" spans="1:10" x14ac:dyDescent="0.3">
      <c r="A420" s="1">
        <v>44462</v>
      </c>
      <c r="B420" s="5">
        <v>3.51</v>
      </c>
      <c r="C420">
        <f>30*60+5</f>
        <v>1805</v>
      </c>
      <c r="D420">
        <f>8*60+34</f>
        <v>514</v>
      </c>
      <c r="E420" s="4" t="str">
        <f t="shared" si="6"/>
        <v>8:34</v>
      </c>
      <c r="F420">
        <v>138</v>
      </c>
      <c r="G420" t="s">
        <v>76</v>
      </c>
      <c r="H420" s="2" t="s">
        <v>501</v>
      </c>
      <c r="I420">
        <f>COUNTIF($B$2:B420, "&lt;&gt;")</f>
        <v>419</v>
      </c>
      <c r="J420">
        <f>F420/B420</f>
        <v>39.316239316239319</v>
      </c>
    </row>
    <row r="421" spans="1:10" x14ac:dyDescent="0.3">
      <c r="A421" s="1">
        <v>44463</v>
      </c>
      <c r="B421" s="5">
        <v>3.25</v>
      </c>
      <c r="C421">
        <f>28*60+42</f>
        <v>1722</v>
      </c>
      <c r="D421">
        <f>8*60+50</f>
        <v>530</v>
      </c>
      <c r="E421" s="4" t="str">
        <f t="shared" si="6"/>
        <v>8:50</v>
      </c>
      <c r="F421">
        <v>127</v>
      </c>
      <c r="G421" t="s">
        <v>76</v>
      </c>
      <c r="H421" s="2" t="s">
        <v>502</v>
      </c>
      <c r="I421">
        <f>COUNTIF($B$2:B421, "&lt;&gt;")</f>
        <v>420</v>
      </c>
      <c r="J421">
        <f>F421/B421</f>
        <v>39.07692307692308</v>
      </c>
    </row>
    <row r="422" spans="1:10" x14ac:dyDescent="0.3">
      <c r="A422" s="1">
        <v>44464</v>
      </c>
      <c r="B422" s="5">
        <v>6.23</v>
      </c>
      <c r="C422">
        <f>50*60+48</f>
        <v>3048</v>
      </c>
      <c r="D422">
        <f>8*60+9</f>
        <v>489</v>
      </c>
      <c r="E422" s="4" t="str">
        <f t="shared" si="6"/>
        <v>8:09</v>
      </c>
      <c r="F422">
        <v>472</v>
      </c>
      <c r="G422" t="s">
        <v>186</v>
      </c>
      <c r="H422" s="2" t="s">
        <v>503</v>
      </c>
      <c r="I422">
        <f>COUNTIF($B$2:B422, "&lt;&gt;")</f>
        <v>421</v>
      </c>
      <c r="J422">
        <f>F422/B422</f>
        <v>75.762439807383629</v>
      </c>
    </row>
    <row r="423" spans="1:10" x14ac:dyDescent="0.3">
      <c r="A423" s="1">
        <v>44465</v>
      </c>
      <c r="B423" s="5">
        <v>3.12</v>
      </c>
      <c r="C423">
        <f>24*60+27</f>
        <v>1467</v>
      </c>
      <c r="D423">
        <f>7*60+50</f>
        <v>470</v>
      </c>
      <c r="E423" s="4" t="str">
        <f t="shared" si="6"/>
        <v>7:50</v>
      </c>
      <c r="F423">
        <v>218</v>
      </c>
      <c r="G423" t="s">
        <v>504</v>
      </c>
      <c r="H423" s="2" t="s">
        <v>505</v>
      </c>
      <c r="I423">
        <f>COUNTIF($B$2:B423, "&lt;&gt;")</f>
        <v>422</v>
      </c>
      <c r="J423">
        <f>F423/B423</f>
        <v>69.871794871794876</v>
      </c>
    </row>
    <row r="424" spans="1:10" x14ac:dyDescent="0.3">
      <c r="A424" s="1">
        <v>44466</v>
      </c>
      <c r="B424" s="5">
        <v>3.13</v>
      </c>
      <c r="C424">
        <f>23*60+36</f>
        <v>1416</v>
      </c>
      <c r="D424">
        <f>7*60+32</f>
        <v>452</v>
      </c>
      <c r="E424" s="4" t="str">
        <f t="shared" si="6"/>
        <v>7:32</v>
      </c>
      <c r="F424">
        <v>102</v>
      </c>
      <c r="G424" t="s">
        <v>281</v>
      </c>
      <c r="H424" s="2" t="s">
        <v>506</v>
      </c>
      <c r="I424">
        <f>COUNTIF($B$2:B424, "&lt;&gt;")</f>
        <v>423</v>
      </c>
      <c r="J424">
        <f>F424/B424</f>
        <v>32.587859424920126</v>
      </c>
    </row>
    <row r="425" spans="1:10" x14ac:dyDescent="0.3">
      <c r="A425" s="1">
        <v>44467</v>
      </c>
      <c r="B425" s="5">
        <v>3.12</v>
      </c>
      <c r="C425">
        <f>25*60+42</f>
        <v>1542</v>
      </c>
      <c r="D425">
        <f>8*60+14</f>
        <v>494</v>
      </c>
      <c r="E425" s="4" t="str">
        <f t="shared" si="6"/>
        <v>8:14</v>
      </c>
      <c r="F425">
        <v>157</v>
      </c>
      <c r="G425" t="s">
        <v>47</v>
      </c>
      <c r="H425" s="2" t="s">
        <v>507</v>
      </c>
      <c r="I425">
        <f>COUNTIF($B$2:B425, "&lt;&gt;")</f>
        <v>424</v>
      </c>
      <c r="J425">
        <f>F425/B425</f>
        <v>50.320512820512818</v>
      </c>
    </row>
    <row r="426" spans="1:10" x14ac:dyDescent="0.3">
      <c r="A426" s="1">
        <v>44468</v>
      </c>
      <c r="B426" s="5">
        <v>3.11</v>
      </c>
      <c r="C426">
        <f>22*60+17</f>
        <v>1337</v>
      </c>
      <c r="D426">
        <f>7*60+10</f>
        <v>430</v>
      </c>
      <c r="E426" s="4" t="str">
        <f t="shared" si="6"/>
        <v>7:10</v>
      </c>
      <c r="F426">
        <v>66</v>
      </c>
      <c r="G426" t="s">
        <v>17</v>
      </c>
      <c r="H426" s="2" t="s">
        <v>508</v>
      </c>
      <c r="I426">
        <f>COUNTIF($B$2:B426, "&lt;&gt;")</f>
        <v>425</v>
      </c>
      <c r="J426">
        <f>F426/B426</f>
        <v>21.221864951768488</v>
      </c>
    </row>
    <row r="427" spans="1:10" x14ac:dyDescent="0.3">
      <c r="A427" s="1">
        <v>44469</v>
      </c>
      <c r="B427" s="5">
        <v>3.13</v>
      </c>
      <c r="C427">
        <f>28*60+43</f>
        <v>1723</v>
      </c>
      <c r="D427">
        <f>9*60+10</f>
        <v>550</v>
      </c>
      <c r="E427" s="4" t="str">
        <f t="shared" si="6"/>
        <v>9:10</v>
      </c>
      <c r="F427">
        <v>125</v>
      </c>
      <c r="G427" t="s">
        <v>47</v>
      </c>
      <c r="H427" s="2" t="s">
        <v>509</v>
      </c>
      <c r="I427">
        <f>COUNTIF($B$2:B427, "&lt;&gt;")</f>
        <v>426</v>
      </c>
      <c r="J427">
        <f>F427/B427</f>
        <v>39.936102236421725</v>
      </c>
    </row>
    <row r="428" spans="1:10" x14ac:dyDescent="0.3">
      <c r="A428" s="1">
        <v>44470</v>
      </c>
      <c r="B428" s="5">
        <v>3.11</v>
      </c>
      <c r="C428">
        <f>27*60+34</f>
        <v>1654</v>
      </c>
      <c r="D428">
        <f>8*60+51</f>
        <v>531</v>
      </c>
      <c r="E428" s="4" t="str">
        <f t="shared" si="6"/>
        <v>8:51</v>
      </c>
      <c r="F428">
        <v>135</v>
      </c>
      <c r="G428" t="s">
        <v>76</v>
      </c>
      <c r="H428" s="2" t="s">
        <v>510</v>
      </c>
      <c r="I428">
        <f>COUNTIF($B$2:B428, "&lt;&gt;")</f>
        <v>427</v>
      </c>
      <c r="J428">
        <f>F428/B428</f>
        <v>43.408360128617367</v>
      </c>
    </row>
    <row r="429" spans="1:10" x14ac:dyDescent="0.3">
      <c r="A429" s="1">
        <v>44471</v>
      </c>
      <c r="B429" s="5">
        <v>5.51</v>
      </c>
      <c r="C429">
        <f>41*60+27</f>
        <v>2487</v>
      </c>
      <c r="D429">
        <f>7*60+31</f>
        <v>451</v>
      </c>
      <c r="E429" s="4" t="str">
        <f t="shared" si="6"/>
        <v>7:31</v>
      </c>
      <c r="F429">
        <v>115</v>
      </c>
      <c r="G429" t="s">
        <v>9</v>
      </c>
      <c r="H429" s="2" t="s">
        <v>511</v>
      </c>
      <c r="I429">
        <f>COUNTIF($B$2:B429, "&lt;&gt;")</f>
        <v>428</v>
      </c>
      <c r="J429">
        <f>F429/B429</f>
        <v>20.871143375680582</v>
      </c>
    </row>
    <row r="430" spans="1:10" x14ac:dyDescent="0.3">
      <c r="A430" s="1">
        <v>44472</v>
      </c>
      <c r="B430" s="5">
        <v>3.12</v>
      </c>
      <c r="C430">
        <f>25*60+18</f>
        <v>1518</v>
      </c>
      <c r="D430">
        <f>8*60+5</f>
        <v>485</v>
      </c>
      <c r="E430" s="4" t="str">
        <f t="shared" si="6"/>
        <v>8:05</v>
      </c>
      <c r="F430">
        <v>45</v>
      </c>
      <c r="G430" t="s">
        <v>512</v>
      </c>
      <c r="H430" s="2" t="s">
        <v>513</v>
      </c>
      <c r="I430">
        <f>COUNTIF($B$2:B430, "&lt;&gt;")</f>
        <v>429</v>
      </c>
      <c r="J430">
        <f>F430/B430</f>
        <v>14.423076923076923</v>
      </c>
    </row>
    <row r="431" spans="1:10" x14ac:dyDescent="0.3">
      <c r="A431" s="1">
        <v>44473</v>
      </c>
      <c r="B431" s="5">
        <v>3.11</v>
      </c>
      <c r="C431">
        <f>27*60+27</f>
        <v>1647</v>
      </c>
      <c r="D431">
        <f>8*60+49</f>
        <v>529</v>
      </c>
      <c r="E431" s="4" t="str">
        <f t="shared" si="6"/>
        <v>8:49</v>
      </c>
      <c r="F431">
        <v>140</v>
      </c>
      <c r="G431" t="s">
        <v>76</v>
      </c>
      <c r="H431" s="2" t="s">
        <v>514</v>
      </c>
      <c r="I431">
        <f>COUNTIF($B$2:B431, "&lt;&gt;")</f>
        <v>430</v>
      </c>
      <c r="J431">
        <f>F431/B431</f>
        <v>45.016077170418008</v>
      </c>
    </row>
    <row r="432" spans="1:10" x14ac:dyDescent="0.3">
      <c r="A432" s="1">
        <v>44474</v>
      </c>
      <c r="B432" s="5">
        <v>3.11</v>
      </c>
      <c r="C432">
        <f>28*60+56</f>
        <v>1736</v>
      </c>
      <c r="D432">
        <f>9*60+18</f>
        <v>558</v>
      </c>
      <c r="E432" s="4" t="str">
        <f t="shared" si="6"/>
        <v>9:18</v>
      </c>
      <c r="F432">
        <v>173</v>
      </c>
      <c r="G432" t="s">
        <v>515</v>
      </c>
      <c r="H432" s="2" t="s">
        <v>516</v>
      </c>
      <c r="I432">
        <f>COUNTIF($B$2:B432, "&lt;&gt;")</f>
        <v>431</v>
      </c>
      <c r="J432">
        <f>F432/B432</f>
        <v>55.627009646302255</v>
      </c>
    </row>
    <row r="433" spans="1:10" x14ac:dyDescent="0.3">
      <c r="A433" s="1">
        <v>44475</v>
      </c>
      <c r="B433" s="5">
        <v>3.11</v>
      </c>
      <c r="C433">
        <f>23*60+32</f>
        <v>1412</v>
      </c>
      <c r="D433">
        <f>7*60+34</f>
        <v>454</v>
      </c>
      <c r="E433" s="4" t="str">
        <f t="shared" si="6"/>
        <v>7:34</v>
      </c>
      <c r="F433">
        <v>79</v>
      </c>
      <c r="G433" t="s">
        <v>17</v>
      </c>
      <c r="H433" s="2" t="s">
        <v>517</v>
      </c>
      <c r="I433">
        <f>COUNTIF($B$2:B433, "&lt;&gt;")</f>
        <v>432</v>
      </c>
      <c r="J433">
        <f>F433/B433</f>
        <v>25.40192926045016</v>
      </c>
    </row>
    <row r="434" spans="1:10" x14ac:dyDescent="0.3">
      <c r="A434" s="1">
        <v>44476</v>
      </c>
      <c r="B434" s="5">
        <v>4.01</v>
      </c>
      <c r="C434">
        <f>35*60+31</f>
        <v>2131</v>
      </c>
      <c r="D434">
        <f>8*60+51</f>
        <v>531</v>
      </c>
      <c r="E434" s="4" t="str">
        <f t="shared" si="6"/>
        <v>8:51</v>
      </c>
      <c r="F434">
        <v>193</v>
      </c>
      <c r="G434" t="s">
        <v>76</v>
      </c>
      <c r="H434" s="2" t="s">
        <v>518</v>
      </c>
      <c r="I434">
        <f>COUNTIF($B$2:B434, "&lt;&gt;")</f>
        <v>433</v>
      </c>
      <c r="J434">
        <f>F434/B434</f>
        <v>48.12967581047382</v>
      </c>
    </row>
    <row r="435" spans="1:10" x14ac:dyDescent="0.3">
      <c r="A435" s="1">
        <v>44477</v>
      </c>
      <c r="B435" s="5">
        <v>3.11</v>
      </c>
      <c r="C435">
        <f>26*60+45</f>
        <v>1605</v>
      </c>
      <c r="D435">
        <f>8*60+36</f>
        <v>516</v>
      </c>
      <c r="E435" s="4" t="str">
        <f t="shared" si="6"/>
        <v>8:36</v>
      </c>
      <c r="F435">
        <v>211</v>
      </c>
      <c r="G435" t="s">
        <v>515</v>
      </c>
      <c r="H435" s="2" t="s">
        <v>519</v>
      </c>
      <c r="I435">
        <f>COUNTIF($B$2:B435, "&lt;&gt;")</f>
        <v>434</v>
      </c>
      <c r="J435">
        <f>F435/B435</f>
        <v>67.845659163987136</v>
      </c>
    </row>
    <row r="436" spans="1:10" x14ac:dyDescent="0.3">
      <c r="A436" s="1">
        <v>44478</v>
      </c>
      <c r="B436" s="5">
        <v>3.12</v>
      </c>
      <c r="C436">
        <f>29*60+33</f>
        <v>1773</v>
      </c>
      <c r="D436">
        <f>9*60+28</f>
        <v>568</v>
      </c>
      <c r="E436" s="4" t="str">
        <f t="shared" si="6"/>
        <v>9:28</v>
      </c>
      <c r="F436">
        <v>124</v>
      </c>
      <c r="G436" t="s">
        <v>76</v>
      </c>
      <c r="H436" s="2" t="s">
        <v>520</v>
      </c>
      <c r="I436">
        <f>COUNTIF($B$2:B436, "&lt;&gt;")</f>
        <v>435</v>
      </c>
      <c r="J436">
        <f>F436/B436</f>
        <v>39.743589743589745</v>
      </c>
    </row>
    <row r="437" spans="1:10" x14ac:dyDescent="0.3">
      <c r="A437" s="1">
        <v>44479</v>
      </c>
      <c r="B437" s="5">
        <v>3.18</v>
      </c>
      <c r="C437">
        <f>30*60+33</f>
        <v>1833</v>
      </c>
      <c r="D437">
        <f>9*60+36</f>
        <v>576</v>
      </c>
      <c r="E437" s="4" t="str">
        <f t="shared" si="6"/>
        <v>9:36</v>
      </c>
      <c r="F437">
        <v>76</v>
      </c>
      <c r="G437" t="s">
        <v>521</v>
      </c>
      <c r="H437" s="2" t="s">
        <v>522</v>
      </c>
      <c r="I437">
        <f>COUNTIF($B$2:B437, "&lt;&gt;")</f>
        <v>436</v>
      </c>
      <c r="J437">
        <f>F437/B437</f>
        <v>23.89937106918239</v>
      </c>
    </row>
    <row r="438" spans="1:10" x14ac:dyDescent="0.3">
      <c r="A438" s="1">
        <v>44480</v>
      </c>
      <c r="B438" s="5">
        <v>3.11</v>
      </c>
      <c r="C438">
        <f>32*60+15</f>
        <v>1935</v>
      </c>
      <c r="D438">
        <f>10*60+21</f>
        <v>621</v>
      </c>
      <c r="E438" s="4" t="str">
        <f t="shared" si="6"/>
        <v>10:21</v>
      </c>
      <c r="F438">
        <v>207</v>
      </c>
      <c r="G438" t="s">
        <v>523</v>
      </c>
      <c r="H438" s="2" t="s">
        <v>524</v>
      </c>
      <c r="I438">
        <f>COUNTIF($B$2:B438, "&lt;&gt;")</f>
        <v>437</v>
      </c>
      <c r="J438">
        <f>F438/B438</f>
        <v>66.559485530546624</v>
      </c>
    </row>
    <row r="439" spans="1:10" x14ac:dyDescent="0.3">
      <c r="A439" s="1">
        <v>44481</v>
      </c>
      <c r="B439" s="5">
        <v>3.14</v>
      </c>
      <c r="C439">
        <f>30*60+28</f>
        <v>1828</v>
      </c>
      <c r="D439">
        <f>9*60+42</f>
        <v>582</v>
      </c>
      <c r="E439" s="4" t="str">
        <f t="shared" si="6"/>
        <v>9:42</v>
      </c>
      <c r="F439">
        <v>188</v>
      </c>
      <c r="G439" t="s">
        <v>525</v>
      </c>
      <c r="H439" s="2" t="s">
        <v>526</v>
      </c>
      <c r="I439">
        <f>COUNTIF($B$2:B439, "&lt;&gt;")</f>
        <v>438</v>
      </c>
      <c r="J439">
        <f>F439/B439</f>
        <v>59.872611464968152</v>
      </c>
    </row>
    <row r="440" spans="1:10" x14ac:dyDescent="0.3">
      <c r="A440" s="1">
        <v>44482</v>
      </c>
      <c r="B440" s="5">
        <v>3.11</v>
      </c>
      <c r="C440">
        <f>25*60+57</f>
        <v>1557</v>
      </c>
      <c r="D440">
        <f>8*60+21</f>
        <v>501</v>
      </c>
      <c r="E440" s="4" t="str">
        <f t="shared" si="6"/>
        <v>8:21</v>
      </c>
      <c r="F440">
        <v>68</v>
      </c>
      <c r="G440" t="s">
        <v>17</v>
      </c>
      <c r="H440" s="2" t="s">
        <v>527</v>
      </c>
      <c r="I440">
        <f>COUNTIF($B$2:B440, "&lt;&gt;")</f>
        <v>439</v>
      </c>
      <c r="J440">
        <f>F440/B440</f>
        <v>21.864951768488748</v>
      </c>
    </row>
    <row r="441" spans="1:10" x14ac:dyDescent="0.3">
      <c r="A441" s="1">
        <v>44483</v>
      </c>
      <c r="B441" s="5">
        <v>3.12</v>
      </c>
      <c r="C441">
        <f>23*60+21</f>
        <v>1401</v>
      </c>
      <c r="D441">
        <f>7*60+29</f>
        <v>449</v>
      </c>
      <c r="E441" s="4" t="str">
        <f t="shared" si="6"/>
        <v>7:29</v>
      </c>
      <c r="F441">
        <v>83</v>
      </c>
      <c r="G441" t="s">
        <v>101</v>
      </c>
      <c r="H441" s="2" t="s">
        <v>528</v>
      </c>
      <c r="I441">
        <f>COUNTIF($B$2:B441, "&lt;&gt;")</f>
        <v>440</v>
      </c>
      <c r="J441">
        <f>F441/B441</f>
        <v>26.602564102564102</v>
      </c>
    </row>
    <row r="442" spans="1:10" x14ac:dyDescent="0.3">
      <c r="A442" s="1">
        <v>44484</v>
      </c>
      <c r="B442" s="5">
        <v>3.12</v>
      </c>
      <c r="C442">
        <f>27*60+47</f>
        <v>1667</v>
      </c>
      <c r="D442">
        <f>8*60+54</f>
        <v>534</v>
      </c>
      <c r="E442" s="4" t="str">
        <f t="shared" si="6"/>
        <v>8:54</v>
      </c>
      <c r="F442">
        <v>122</v>
      </c>
      <c r="G442" t="s">
        <v>529</v>
      </c>
      <c r="H442" s="2" t="s">
        <v>530</v>
      </c>
      <c r="I442">
        <f>COUNTIF($B$2:B442, "&lt;&gt;")</f>
        <v>441</v>
      </c>
      <c r="J442">
        <f>F442/B442</f>
        <v>39.102564102564102</v>
      </c>
    </row>
    <row r="443" spans="1:10" x14ac:dyDescent="0.3">
      <c r="A443" s="1">
        <v>44485</v>
      </c>
      <c r="B443" s="5">
        <v>3.19</v>
      </c>
      <c r="C443">
        <f>29*60+13</f>
        <v>1753</v>
      </c>
      <c r="D443">
        <f>9*60+12</f>
        <v>552</v>
      </c>
      <c r="E443" s="4" t="str">
        <f t="shared" si="6"/>
        <v>9:12</v>
      </c>
      <c r="F443">
        <v>83</v>
      </c>
      <c r="G443" t="s">
        <v>512</v>
      </c>
      <c r="H443" s="2" t="s">
        <v>531</v>
      </c>
      <c r="I443">
        <f>COUNTIF($B$2:B443, "&lt;&gt;")</f>
        <v>442</v>
      </c>
      <c r="J443">
        <f>F443/B443</f>
        <v>26.018808777429467</v>
      </c>
    </row>
    <row r="444" spans="1:10" x14ac:dyDescent="0.3">
      <c r="A444" s="1">
        <v>44486</v>
      </c>
      <c r="B444" s="5">
        <v>3.12</v>
      </c>
      <c r="C444">
        <f>28*60+51</f>
        <v>1731</v>
      </c>
      <c r="D444">
        <f>9*60+15</f>
        <v>555</v>
      </c>
      <c r="E444" s="4" t="str">
        <f t="shared" si="6"/>
        <v>9:15</v>
      </c>
      <c r="F444">
        <v>141</v>
      </c>
      <c r="G444" t="s">
        <v>76</v>
      </c>
      <c r="H444" s="2" t="s">
        <v>532</v>
      </c>
      <c r="I444">
        <f>COUNTIF($B$2:B444, "&lt;&gt;")</f>
        <v>443</v>
      </c>
      <c r="J444">
        <f>F444/B444</f>
        <v>45.192307692307693</v>
      </c>
    </row>
    <row r="445" spans="1:10" x14ac:dyDescent="0.3">
      <c r="A445" s="1">
        <v>44487</v>
      </c>
      <c r="B445" s="5">
        <v>4.0199999999999996</v>
      </c>
      <c r="C445">
        <f>31*60+29</f>
        <v>1889</v>
      </c>
      <c r="D445">
        <f>7*60+50</f>
        <v>470</v>
      </c>
      <c r="E445" s="4" t="str">
        <f t="shared" si="6"/>
        <v>7:50</v>
      </c>
      <c r="F445">
        <v>93</v>
      </c>
      <c r="G445" t="s">
        <v>164</v>
      </c>
      <c r="H445" s="2" t="s">
        <v>533</v>
      </c>
      <c r="I445">
        <f>COUNTIF($B$2:B445, "&lt;&gt;")</f>
        <v>444</v>
      </c>
      <c r="J445">
        <f>F445/B445</f>
        <v>23.134328358208958</v>
      </c>
    </row>
    <row r="446" spans="1:10" x14ac:dyDescent="0.3">
      <c r="A446" s="1">
        <v>44488</v>
      </c>
      <c r="B446" s="5">
        <v>3.13</v>
      </c>
      <c r="C446">
        <f>30*60+14</f>
        <v>1814</v>
      </c>
      <c r="D446">
        <f>9*60+39</f>
        <v>579</v>
      </c>
      <c r="E446" s="4" t="str">
        <f t="shared" si="6"/>
        <v>9:39</v>
      </c>
      <c r="F446">
        <v>162</v>
      </c>
      <c r="G446" t="s">
        <v>512</v>
      </c>
      <c r="H446" s="2" t="s">
        <v>534</v>
      </c>
      <c r="I446">
        <f>COUNTIF($B$2:B446, "&lt;&gt;")</f>
        <v>445</v>
      </c>
      <c r="J446">
        <f>F446/B446</f>
        <v>51.757188498402556</v>
      </c>
    </row>
    <row r="447" spans="1:10" x14ac:dyDescent="0.3">
      <c r="A447" s="1">
        <v>44489</v>
      </c>
      <c r="B447" s="5">
        <v>3.11</v>
      </c>
      <c r="C447">
        <f>21*60+14</f>
        <v>1274</v>
      </c>
      <c r="D447">
        <f>6*60+49</f>
        <v>409</v>
      </c>
      <c r="E447" s="4" t="str">
        <f t="shared" si="6"/>
        <v>6:49</v>
      </c>
      <c r="F447">
        <v>73</v>
      </c>
      <c r="G447" t="s">
        <v>315</v>
      </c>
      <c r="H447" s="2" t="s">
        <v>535</v>
      </c>
      <c r="I447">
        <f>COUNTIF($B$2:B447, "&lt;&gt;")</f>
        <v>446</v>
      </c>
      <c r="J447">
        <f>F447/B447</f>
        <v>23.472668810289392</v>
      </c>
    </row>
    <row r="448" spans="1:10" x14ac:dyDescent="0.3">
      <c r="A448" s="1">
        <v>44490</v>
      </c>
      <c r="B448" s="5">
        <v>3.27</v>
      </c>
      <c r="C448">
        <f>27*60+2</f>
        <v>1622</v>
      </c>
      <c r="D448">
        <f>8*60+15</f>
        <v>495</v>
      </c>
      <c r="E448" s="4" t="str">
        <f t="shared" si="6"/>
        <v>8:15</v>
      </c>
      <c r="F448">
        <v>118</v>
      </c>
      <c r="G448" t="s">
        <v>76</v>
      </c>
      <c r="H448" s="2" t="s">
        <v>536</v>
      </c>
      <c r="I448">
        <f>COUNTIF($B$2:B448, "&lt;&gt;")</f>
        <v>447</v>
      </c>
      <c r="J448">
        <f>F448/B448</f>
        <v>36.085626911314982</v>
      </c>
    </row>
    <row r="449" spans="1:10" x14ac:dyDescent="0.3">
      <c r="A449" s="1">
        <v>44491</v>
      </c>
      <c r="B449" s="5">
        <v>3.12</v>
      </c>
      <c r="C449">
        <f>26*60+31</f>
        <v>1591</v>
      </c>
      <c r="D449">
        <f>8*60+30</f>
        <v>510</v>
      </c>
      <c r="E449" s="4" t="str">
        <f t="shared" si="6"/>
        <v>8:30</v>
      </c>
      <c r="F449">
        <v>129</v>
      </c>
      <c r="G449" t="s">
        <v>76</v>
      </c>
      <c r="H449" s="2" t="s">
        <v>537</v>
      </c>
      <c r="I449">
        <f>COUNTIF($B$2:B449, "&lt;&gt;")</f>
        <v>448</v>
      </c>
      <c r="J449">
        <f>F449/B449</f>
        <v>41.346153846153847</v>
      </c>
    </row>
    <row r="450" spans="1:10" x14ac:dyDescent="0.3">
      <c r="A450" s="1">
        <v>44492</v>
      </c>
      <c r="B450" s="5">
        <v>6.54</v>
      </c>
      <c r="C450">
        <f>49*60+38</f>
        <v>2978</v>
      </c>
      <c r="D450">
        <f>7*60+35</f>
        <v>455</v>
      </c>
      <c r="E450" s="4" t="str">
        <f t="shared" si="6"/>
        <v>7:35</v>
      </c>
      <c r="F450">
        <v>75</v>
      </c>
      <c r="G450" t="s">
        <v>68</v>
      </c>
      <c r="H450" s="2" t="s">
        <v>538</v>
      </c>
      <c r="I450">
        <f>COUNTIF($B$2:B450, "&lt;&gt;")</f>
        <v>449</v>
      </c>
      <c r="J450">
        <f>F450/B450</f>
        <v>11.467889908256881</v>
      </c>
    </row>
    <row r="451" spans="1:10" x14ac:dyDescent="0.3">
      <c r="A451" s="1">
        <v>44493</v>
      </c>
      <c r="B451" s="5">
        <v>3.12</v>
      </c>
      <c r="C451">
        <f>29*60+13</f>
        <v>1753</v>
      </c>
      <c r="D451">
        <f>9*60+22</f>
        <v>562</v>
      </c>
      <c r="E451" s="4" t="str">
        <f t="shared" ref="E451:E514" si="7">CONCATENATE(ROUNDDOWN(D451/60,0),":",IF(ROUNDDOWN(D451-ROUNDDOWN(D451/60,0)*60,0)&gt;=10,ROUNDDOWN(D451-ROUNDDOWN(D451/60,0)*60,3),CONCATENATE("0",ROUNDDOWN(D451-ROUNDDOWN(D451/60,0)*60,3))))</f>
        <v>9:22</v>
      </c>
      <c r="F451">
        <v>137</v>
      </c>
      <c r="G451" t="s">
        <v>76</v>
      </c>
      <c r="H451" s="2" t="s">
        <v>539</v>
      </c>
      <c r="I451">
        <f>COUNTIF($B$2:B451, "&lt;&gt;")</f>
        <v>450</v>
      </c>
      <c r="J451">
        <f>F451/B451</f>
        <v>43.910256410256409</v>
      </c>
    </row>
    <row r="452" spans="1:10" x14ac:dyDescent="0.3">
      <c r="A452" s="1">
        <v>44494</v>
      </c>
      <c r="B452" s="5">
        <v>3.13</v>
      </c>
      <c r="C452">
        <f>27*60+45</f>
        <v>1665</v>
      </c>
      <c r="D452">
        <f>8*60+52</f>
        <v>532</v>
      </c>
      <c r="E452" s="4" t="str">
        <f t="shared" si="7"/>
        <v>8:52</v>
      </c>
      <c r="F452">
        <v>87</v>
      </c>
      <c r="G452" t="s">
        <v>281</v>
      </c>
      <c r="H452" s="2" t="s">
        <v>540</v>
      </c>
      <c r="I452">
        <f>COUNTIF($B$2:B452, "&lt;&gt;")</f>
        <v>451</v>
      </c>
      <c r="J452">
        <f>F452/B452</f>
        <v>27.795527156549522</v>
      </c>
    </row>
    <row r="453" spans="1:10" x14ac:dyDescent="0.3">
      <c r="A453" s="1">
        <v>44495</v>
      </c>
      <c r="B453" s="5">
        <v>3.16</v>
      </c>
      <c r="C453">
        <f>29*60+18</f>
        <v>1758</v>
      </c>
      <c r="D453">
        <f>9*60+16</f>
        <v>556</v>
      </c>
      <c r="E453" s="4" t="str">
        <f t="shared" si="7"/>
        <v>9:16</v>
      </c>
      <c r="F453">
        <v>259</v>
      </c>
      <c r="G453" t="s">
        <v>541</v>
      </c>
      <c r="H453" s="2" t="s">
        <v>542</v>
      </c>
      <c r="I453">
        <f>COUNTIF($B$2:B453, "&lt;&gt;")</f>
        <v>452</v>
      </c>
      <c r="J453">
        <f>F453/B453</f>
        <v>81.962025316455694</v>
      </c>
    </row>
    <row r="454" spans="1:10" x14ac:dyDescent="0.3">
      <c r="A454" s="1">
        <v>44496</v>
      </c>
      <c r="B454" s="5">
        <v>3.11</v>
      </c>
      <c r="C454">
        <f>22*60+47</f>
        <v>1367</v>
      </c>
      <c r="D454">
        <f>7*60+20</f>
        <v>440</v>
      </c>
      <c r="E454" s="4" t="str">
        <f t="shared" si="7"/>
        <v>7:20</v>
      </c>
      <c r="F454">
        <v>104</v>
      </c>
      <c r="G454" t="s">
        <v>315</v>
      </c>
      <c r="H454" s="2" t="s">
        <v>543</v>
      </c>
      <c r="I454">
        <f>COUNTIF($B$2:B454, "&lt;&gt;")</f>
        <v>453</v>
      </c>
      <c r="J454">
        <f>F454/B454</f>
        <v>33.440514469453376</v>
      </c>
    </row>
    <row r="455" spans="1:10" x14ac:dyDescent="0.3">
      <c r="A455" s="1">
        <v>44497</v>
      </c>
      <c r="B455" s="5">
        <v>3.11</v>
      </c>
      <c r="C455">
        <f>25*60+2</f>
        <v>1502</v>
      </c>
      <c r="D455">
        <f>8*60+3</f>
        <v>483</v>
      </c>
      <c r="E455" s="4" t="str">
        <f t="shared" si="7"/>
        <v>8:03</v>
      </c>
      <c r="F455">
        <v>123</v>
      </c>
      <c r="G455" t="s">
        <v>76</v>
      </c>
      <c r="H455" s="2" t="s">
        <v>544</v>
      </c>
      <c r="I455">
        <f>COUNTIF($B$2:B455, "&lt;&gt;")</f>
        <v>454</v>
      </c>
      <c r="J455">
        <f>F455/B455</f>
        <v>39.549839228295824</v>
      </c>
    </row>
    <row r="456" spans="1:10" x14ac:dyDescent="0.3">
      <c r="A456" s="1">
        <v>44498</v>
      </c>
      <c r="B456" s="5">
        <v>3.11</v>
      </c>
      <c r="C456">
        <f>29*60+55</f>
        <v>1795</v>
      </c>
      <c r="D456">
        <f>9*60+36</f>
        <v>576</v>
      </c>
      <c r="E456" s="4" t="str">
        <f t="shared" si="7"/>
        <v>9:36</v>
      </c>
      <c r="F456">
        <v>184</v>
      </c>
      <c r="G456" t="s">
        <v>545</v>
      </c>
      <c r="H456" s="2" t="s">
        <v>546</v>
      </c>
      <c r="I456">
        <f>COUNTIF($B$2:B456, "&lt;&gt;")</f>
        <v>455</v>
      </c>
      <c r="J456">
        <f>F456/B456</f>
        <v>59.163987138263671</v>
      </c>
    </row>
    <row r="457" spans="1:10" x14ac:dyDescent="0.3">
      <c r="A457" s="1">
        <v>44499</v>
      </c>
      <c r="B457" s="5">
        <v>3.11</v>
      </c>
      <c r="C457">
        <f>30*60+53</f>
        <v>1853</v>
      </c>
      <c r="D457">
        <f>9*60+56</f>
        <v>596</v>
      </c>
      <c r="E457" s="4" t="str">
        <f t="shared" si="7"/>
        <v>9:56</v>
      </c>
      <c r="F457">
        <v>362</v>
      </c>
      <c r="G457" t="s">
        <v>547</v>
      </c>
      <c r="H457" s="2" t="s">
        <v>548</v>
      </c>
      <c r="I457">
        <f>COUNTIF($B$2:B457, "&lt;&gt;")</f>
        <v>456</v>
      </c>
      <c r="J457">
        <f>F457/B457</f>
        <v>116.39871382636656</v>
      </c>
    </row>
    <row r="458" spans="1:10" x14ac:dyDescent="0.3">
      <c r="A458" s="1">
        <v>44500</v>
      </c>
      <c r="B458" s="5">
        <v>3.11</v>
      </c>
      <c r="C458">
        <f>27*60+12</f>
        <v>1632</v>
      </c>
      <c r="D458">
        <f>8*60+45</f>
        <v>525</v>
      </c>
      <c r="E458" s="4" t="str">
        <f t="shared" si="7"/>
        <v>8:45</v>
      </c>
      <c r="F458">
        <v>127</v>
      </c>
      <c r="G458" t="s">
        <v>76</v>
      </c>
      <c r="H458" s="2" t="s">
        <v>549</v>
      </c>
      <c r="I458">
        <f>COUNTIF($B$2:B458, "&lt;&gt;")</f>
        <v>457</v>
      </c>
      <c r="J458">
        <f>F458/B458</f>
        <v>40.836012861736336</v>
      </c>
    </row>
    <row r="459" spans="1:10" x14ac:dyDescent="0.3">
      <c r="A459" s="1">
        <v>44501</v>
      </c>
      <c r="B459" s="5">
        <v>3.14</v>
      </c>
      <c r="C459">
        <f>22*60+43</f>
        <v>1363</v>
      </c>
      <c r="D459">
        <f>7*60+14</f>
        <v>434</v>
      </c>
      <c r="E459" s="4" t="str">
        <f t="shared" si="7"/>
        <v>7:14</v>
      </c>
      <c r="F459">
        <v>55</v>
      </c>
      <c r="G459" t="s">
        <v>281</v>
      </c>
      <c r="H459" s="2" t="s">
        <v>550</v>
      </c>
      <c r="I459">
        <f>COUNTIF($B$2:B459, "&lt;&gt;")</f>
        <v>458</v>
      </c>
      <c r="J459">
        <f>F459/B459</f>
        <v>17.515923566878982</v>
      </c>
    </row>
    <row r="460" spans="1:10" x14ac:dyDescent="0.3">
      <c r="A460" s="1">
        <v>44502</v>
      </c>
      <c r="B460" s="5">
        <v>3.14</v>
      </c>
      <c r="C460">
        <f>26*60+54</f>
        <v>1614</v>
      </c>
      <c r="D460">
        <f>8*60+34</f>
        <v>514</v>
      </c>
      <c r="E460" s="4" t="str">
        <f t="shared" si="7"/>
        <v>8:34</v>
      </c>
      <c r="F460">
        <v>120</v>
      </c>
      <c r="G460" t="s">
        <v>551</v>
      </c>
      <c r="H460" s="2" t="s">
        <v>552</v>
      </c>
      <c r="I460">
        <f>COUNTIF($B$2:B460, "&lt;&gt;")</f>
        <v>459</v>
      </c>
      <c r="J460">
        <f>F460/B460</f>
        <v>38.216560509554135</v>
      </c>
    </row>
    <row r="461" spans="1:10" x14ac:dyDescent="0.3">
      <c r="A461" s="1">
        <v>44503</v>
      </c>
      <c r="B461" s="5">
        <v>4.26</v>
      </c>
      <c r="C461">
        <f>33*60+42</f>
        <v>2022</v>
      </c>
      <c r="D461">
        <f>7*60+55</f>
        <v>475</v>
      </c>
      <c r="E461" s="4" t="str">
        <f t="shared" si="7"/>
        <v>7:55</v>
      </c>
      <c r="F461">
        <v>174</v>
      </c>
      <c r="G461" t="s">
        <v>90</v>
      </c>
      <c r="H461" s="2" t="s">
        <v>553</v>
      </c>
      <c r="I461">
        <f>COUNTIF($B$2:B461, "&lt;&gt;")</f>
        <v>460</v>
      </c>
      <c r="J461">
        <f>F461/B461</f>
        <v>40.845070422535215</v>
      </c>
    </row>
    <row r="462" spans="1:10" x14ac:dyDescent="0.3">
      <c r="A462" s="1">
        <v>44504</v>
      </c>
      <c r="B462" s="5">
        <v>3.13</v>
      </c>
      <c r="C462">
        <f>27*60+31</f>
        <v>1651</v>
      </c>
      <c r="D462">
        <f>8*60+48</f>
        <v>528</v>
      </c>
      <c r="E462" s="4" t="str">
        <f t="shared" si="7"/>
        <v>8:48</v>
      </c>
      <c r="F462">
        <v>182</v>
      </c>
      <c r="G462" t="s">
        <v>76</v>
      </c>
      <c r="H462" s="2" t="s">
        <v>554</v>
      </c>
      <c r="I462">
        <f>COUNTIF($B$2:B462, "&lt;&gt;")</f>
        <v>461</v>
      </c>
      <c r="J462">
        <f>F462/B462</f>
        <v>58.146964856230035</v>
      </c>
    </row>
    <row r="463" spans="1:10" x14ac:dyDescent="0.3">
      <c r="A463" s="1">
        <v>44505</v>
      </c>
      <c r="B463" s="5">
        <v>3.14</v>
      </c>
      <c r="C463">
        <f>27*60+25</f>
        <v>1645</v>
      </c>
      <c r="D463">
        <f>8*60+44</f>
        <v>524</v>
      </c>
      <c r="E463" s="4" t="str">
        <f t="shared" si="7"/>
        <v>8:44</v>
      </c>
      <c r="F463">
        <v>121</v>
      </c>
      <c r="G463" t="s">
        <v>76</v>
      </c>
      <c r="H463" s="2" t="s">
        <v>555</v>
      </c>
      <c r="I463">
        <f>COUNTIF($B$2:B463, "&lt;&gt;")</f>
        <v>462</v>
      </c>
      <c r="J463">
        <f>F463/B463</f>
        <v>38.535031847133759</v>
      </c>
    </row>
    <row r="464" spans="1:10" x14ac:dyDescent="0.3">
      <c r="A464" s="1">
        <v>44506</v>
      </c>
      <c r="B464" s="5">
        <v>7.34</v>
      </c>
      <c r="C464">
        <f>1*3600+37</f>
        <v>3637</v>
      </c>
      <c r="D464">
        <f>8*60+16</f>
        <v>496</v>
      </c>
      <c r="E464" s="4" t="str">
        <f t="shared" si="7"/>
        <v>8:16</v>
      </c>
      <c r="F464">
        <v>250</v>
      </c>
      <c r="G464" t="s">
        <v>78</v>
      </c>
      <c r="H464" s="2" t="s">
        <v>556</v>
      </c>
      <c r="I464">
        <f>COUNTIF($B$2:B464, "&lt;&gt;")</f>
        <v>463</v>
      </c>
      <c r="J464">
        <f>F464/B464</f>
        <v>34.059945504087196</v>
      </c>
    </row>
    <row r="465" spans="1:10" x14ac:dyDescent="0.3">
      <c r="A465" s="1">
        <v>44507</v>
      </c>
      <c r="B465" s="5">
        <v>3.12</v>
      </c>
      <c r="C465">
        <f>27*60+50</f>
        <v>1670</v>
      </c>
      <c r="D465">
        <f>8*60+55</f>
        <v>535</v>
      </c>
      <c r="E465" s="4" t="str">
        <f t="shared" si="7"/>
        <v>8:55</v>
      </c>
      <c r="F465">
        <v>136</v>
      </c>
      <c r="G465" t="s">
        <v>76</v>
      </c>
      <c r="H465" s="2" t="s">
        <v>557</v>
      </c>
      <c r="I465">
        <f>COUNTIF($B$2:B465, "&lt;&gt;")</f>
        <v>464</v>
      </c>
      <c r="J465">
        <f>F465/B465</f>
        <v>43.589743589743591</v>
      </c>
    </row>
    <row r="466" spans="1:10" x14ac:dyDescent="0.3">
      <c r="A466" s="1">
        <v>44508</v>
      </c>
      <c r="B466" s="5">
        <v>3.12</v>
      </c>
      <c r="C466">
        <f>28*60</f>
        <v>1680</v>
      </c>
      <c r="D466">
        <f>8*60+59</f>
        <v>539</v>
      </c>
      <c r="E466" s="4" t="str">
        <f t="shared" si="7"/>
        <v>8:59</v>
      </c>
      <c r="F466">
        <v>114</v>
      </c>
      <c r="G466" t="s">
        <v>281</v>
      </c>
      <c r="H466" s="2" t="s">
        <v>558</v>
      </c>
      <c r="I466">
        <f>COUNTIF($B$2:B466, "&lt;&gt;")</f>
        <v>465</v>
      </c>
      <c r="J466">
        <f>F466/B466</f>
        <v>36.53846153846154</v>
      </c>
    </row>
    <row r="467" spans="1:10" x14ac:dyDescent="0.3">
      <c r="A467" s="1">
        <v>44509</v>
      </c>
      <c r="B467" s="5">
        <v>3.17</v>
      </c>
      <c r="C467">
        <f>28*60+56</f>
        <v>1736</v>
      </c>
      <c r="D467">
        <f>9*60+8</f>
        <v>548</v>
      </c>
      <c r="E467" s="4" t="str">
        <f t="shared" si="7"/>
        <v>9:08</v>
      </c>
      <c r="F467">
        <v>108</v>
      </c>
      <c r="G467" t="s">
        <v>76</v>
      </c>
      <c r="H467" s="2" t="s">
        <v>559</v>
      </c>
      <c r="I467">
        <f>COUNTIF($B$2:B467, "&lt;&gt;")</f>
        <v>466</v>
      </c>
      <c r="J467">
        <f>F467/B467</f>
        <v>34.069400630914828</v>
      </c>
    </row>
    <row r="468" spans="1:10" x14ac:dyDescent="0.3">
      <c r="A468" s="1">
        <v>44510</v>
      </c>
      <c r="B468" s="5">
        <v>4.2699999999999996</v>
      </c>
      <c r="C468">
        <f>33*60+2</f>
        <v>1982</v>
      </c>
      <c r="D468">
        <f>7*60+43</f>
        <v>463</v>
      </c>
      <c r="E468" s="4" t="str">
        <f t="shared" si="7"/>
        <v>7:43</v>
      </c>
      <c r="F468">
        <v>164</v>
      </c>
      <c r="G468" t="s">
        <v>90</v>
      </c>
      <c r="H468" s="2" t="s">
        <v>560</v>
      </c>
      <c r="I468">
        <f>COUNTIF($B$2:B468, "&lt;&gt;")</f>
        <v>467</v>
      </c>
      <c r="J468">
        <f>F468/B468</f>
        <v>38.407494145199067</v>
      </c>
    </row>
    <row r="469" spans="1:10" x14ac:dyDescent="0.3">
      <c r="A469" s="1">
        <v>44511</v>
      </c>
      <c r="B469" s="5">
        <v>3.11</v>
      </c>
      <c r="C469">
        <f>29*60+6</f>
        <v>1746</v>
      </c>
      <c r="D469">
        <f>9*60+21</f>
        <v>561</v>
      </c>
      <c r="E469" s="4" t="str">
        <f t="shared" si="7"/>
        <v>9:21</v>
      </c>
      <c r="F469">
        <v>141</v>
      </c>
      <c r="G469" t="s">
        <v>76</v>
      </c>
      <c r="H469" s="2" t="s">
        <v>561</v>
      </c>
      <c r="I469">
        <f>COUNTIF($B$2:B469, "&lt;&gt;")</f>
        <v>468</v>
      </c>
      <c r="J469">
        <f>F469/B469</f>
        <v>45.337620578778136</v>
      </c>
    </row>
    <row r="470" spans="1:10" x14ac:dyDescent="0.3">
      <c r="A470" s="1">
        <v>44512</v>
      </c>
      <c r="B470" s="5">
        <v>3.12</v>
      </c>
      <c r="C470">
        <f>27*60+50</f>
        <v>1670</v>
      </c>
      <c r="D470">
        <f>8*60+55</f>
        <v>535</v>
      </c>
      <c r="E470" s="4" t="str">
        <f t="shared" si="7"/>
        <v>8:55</v>
      </c>
      <c r="F470">
        <v>121</v>
      </c>
      <c r="G470" t="s">
        <v>76</v>
      </c>
      <c r="H470" s="2" t="s">
        <v>562</v>
      </c>
      <c r="I470">
        <f>COUNTIF($B$2:B470, "&lt;&gt;")</f>
        <v>469</v>
      </c>
      <c r="J470">
        <f>F470/B470</f>
        <v>38.782051282051277</v>
      </c>
    </row>
    <row r="471" spans="1:10" x14ac:dyDescent="0.3">
      <c r="A471" s="1">
        <v>44513</v>
      </c>
      <c r="B471" s="5">
        <v>3.12</v>
      </c>
      <c r="C471">
        <f>28*60+51</f>
        <v>1731</v>
      </c>
      <c r="D471">
        <f>9*60+14</f>
        <v>554</v>
      </c>
      <c r="E471" s="4" t="str">
        <f t="shared" si="7"/>
        <v>9:14</v>
      </c>
      <c r="F471">
        <v>131</v>
      </c>
      <c r="G471" t="s">
        <v>76</v>
      </c>
      <c r="H471" s="2" t="s">
        <v>563</v>
      </c>
      <c r="I471">
        <f>COUNTIF($B$2:B471, "&lt;&gt;")</f>
        <v>470</v>
      </c>
      <c r="J471">
        <f>F471/B471</f>
        <v>41.987179487179489</v>
      </c>
    </row>
    <row r="472" spans="1:10" x14ac:dyDescent="0.3">
      <c r="A472" s="1">
        <v>44514</v>
      </c>
      <c r="B472" s="5">
        <v>3.12</v>
      </c>
      <c r="C472">
        <f>25*60+30</f>
        <v>1530</v>
      </c>
      <c r="D472">
        <f>8*60+10</f>
        <v>490</v>
      </c>
      <c r="E472" s="4" t="str">
        <f t="shared" si="7"/>
        <v>8:10</v>
      </c>
      <c r="F472">
        <v>170</v>
      </c>
      <c r="G472" t="s">
        <v>564</v>
      </c>
      <c r="H472" s="2" t="s">
        <v>565</v>
      </c>
      <c r="I472">
        <f>COUNTIF($B$2:B472, "&lt;&gt;")</f>
        <v>471</v>
      </c>
      <c r="J472">
        <f>F472/B472</f>
        <v>54.487179487179482</v>
      </c>
    </row>
    <row r="473" spans="1:10" x14ac:dyDescent="0.3">
      <c r="A473" s="1">
        <v>44515</v>
      </c>
      <c r="B473" s="5">
        <v>5.01</v>
      </c>
      <c r="C473">
        <f>38*60+46</f>
        <v>2326</v>
      </c>
      <c r="D473">
        <f>7*60+44</f>
        <v>464</v>
      </c>
      <c r="E473" s="4" t="str">
        <f t="shared" si="7"/>
        <v>7:44</v>
      </c>
      <c r="F473">
        <v>137</v>
      </c>
      <c r="G473" t="s">
        <v>13</v>
      </c>
      <c r="H473" s="2" t="s">
        <v>566</v>
      </c>
      <c r="I473">
        <f>COUNTIF($B$2:B473, "&lt;&gt;")</f>
        <v>472</v>
      </c>
      <c r="J473">
        <f>F473/B473</f>
        <v>27.345309381237527</v>
      </c>
    </row>
    <row r="474" spans="1:10" x14ac:dyDescent="0.3">
      <c r="A474" s="1">
        <v>44516</v>
      </c>
      <c r="B474" s="5">
        <v>3.12</v>
      </c>
      <c r="C474">
        <f>27*60+49</f>
        <v>1669</v>
      </c>
      <c r="D474">
        <f>8*60+55</f>
        <v>535</v>
      </c>
      <c r="E474" s="4" t="str">
        <f t="shared" si="7"/>
        <v>8:55</v>
      </c>
      <c r="F474">
        <v>135</v>
      </c>
      <c r="G474" t="s">
        <v>567</v>
      </c>
      <c r="H474" s="2" t="s">
        <v>568</v>
      </c>
      <c r="I474">
        <f>COUNTIF($B$2:B474, "&lt;&gt;")</f>
        <v>473</v>
      </c>
      <c r="J474">
        <f>F474/B474</f>
        <v>43.269230769230766</v>
      </c>
    </row>
    <row r="475" spans="1:10" x14ac:dyDescent="0.3">
      <c r="A475" s="1">
        <v>44517</v>
      </c>
      <c r="B475" s="5">
        <v>4.26</v>
      </c>
      <c r="C475">
        <f>32*60</f>
        <v>1920</v>
      </c>
      <c r="D475">
        <f>7*60+30</f>
        <v>450</v>
      </c>
      <c r="E475" s="4" t="str">
        <f t="shared" si="7"/>
        <v>7:30</v>
      </c>
      <c r="F475">
        <v>179</v>
      </c>
      <c r="G475" t="s">
        <v>90</v>
      </c>
      <c r="H475" s="2" t="s">
        <v>569</v>
      </c>
      <c r="I475">
        <f>COUNTIF($B$2:B475, "&lt;&gt;")</f>
        <v>474</v>
      </c>
      <c r="J475">
        <f>F475/B475</f>
        <v>42.018779342723008</v>
      </c>
    </row>
    <row r="476" spans="1:10" x14ac:dyDescent="0.3">
      <c r="A476" s="1">
        <v>44518</v>
      </c>
      <c r="B476" s="5">
        <v>3.12</v>
      </c>
      <c r="C476">
        <f>26*60+40</f>
        <v>1600</v>
      </c>
      <c r="D476">
        <f>8*60+33</f>
        <v>513</v>
      </c>
      <c r="E476" s="4" t="str">
        <f t="shared" si="7"/>
        <v>8:33</v>
      </c>
      <c r="F476">
        <v>120</v>
      </c>
      <c r="G476" t="s">
        <v>76</v>
      </c>
      <c r="H476" s="2" t="s">
        <v>570</v>
      </c>
      <c r="I476">
        <f>COUNTIF($B$2:B476, "&lt;&gt;")</f>
        <v>475</v>
      </c>
      <c r="J476">
        <f>F476/B476</f>
        <v>38.46153846153846</v>
      </c>
    </row>
    <row r="477" spans="1:10" x14ac:dyDescent="0.3">
      <c r="A477" s="1">
        <v>44519</v>
      </c>
      <c r="B477" s="5">
        <v>3.12</v>
      </c>
      <c r="C477">
        <f>25*60+58</f>
        <v>1558</v>
      </c>
      <c r="D477">
        <f>8*60+19</f>
        <v>499</v>
      </c>
      <c r="E477" s="4" t="str">
        <f t="shared" si="7"/>
        <v>8:19</v>
      </c>
      <c r="F477">
        <v>112</v>
      </c>
      <c r="G477" t="s">
        <v>76</v>
      </c>
      <c r="H477" s="2" t="s">
        <v>571</v>
      </c>
      <c r="I477">
        <f>COUNTIF($B$2:B477, "&lt;&gt;")</f>
        <v>476</v>
      </c>
      <c r="J477">
        <f>F477/B477</f>
        <v>35.897435897435898</v>
      </c>
    </row>
    <row r="478" spans="1:10" x14ac:dyDescent="0.3">
      <c r="A478" s="1">
        <v>44520</v>
      </c>
      <c r="B478" s="5">
        <v>3.12</v>
      </c>
      <c r="C478">
        <f>26*60+51</f>
        <v>1611</v>
      </c>
      <c r="D478">
        <f>8*60+36</f>
        <v>516</v>
      </c>
      <c r="E478" s="4" t="str">
        <f t="shared" si="7"/>
        <v>8:36</v>
      </c>
      <c r="F478">
        <v>152</v>
      </c>
      <c r="G478" t="s">
        <v>572</v>
      </c>
      <c r="H478" s="2" t="s">
        <v>573</v>
      </c>
      <c r="I478">
        <f>COUNTIF($B$2:B478, "&lt;&gt;")</f>
        <v>477</v>
      </c>
      <c r="J478">
        <f>F478/B478</f>
        <v>48.717948717948715</v>
      </c>
    </row>
    <row r="479" spans="1:10" x14ac:dyDescent="0.3">
      <c r="A479" s="1">
        <v>44521</v>
      </c>
      <c r="B479" s="5">
        <v>3.12</v>
      </c>
      <c r="C479">
        <f>30*60+56</f>
        <v>1856</v>
      </c>
      <c r="D479">
        <f>9*60+54</f>
        <v>594</v>
      </c>
      <c r="E479" s="4" t="str">
        <f t="shared" si="7"/>
        <v>9:54</v>
      </c>
      <c r="F479">
        <v>104</v>
      </c>
      <c r="G479" t="s">
        <v>281</v>
      </c>
      <c r="H479" s="2" t="s">
        <v>574</v>
      </c>
      <c r="I479">
        <f>COUNTIF($B$2:B479, "&lt;&gt;")</f>
        <v>478</v>
      </c>
      <c r="J479">
        <f>F479/B479</f>
        <v>33.333333333333336</v>
      </c>
    </row>
    <row r="480" spans="1:10" x14ac:dyDescent="0.3">
      <c r="A480" s="1">
        <v>44522</v>
      </c>
      <c r="B480" s="5">
        <v>3.12</v>
      </c>
      <c r="C480">
        <f>25*60+37</f>
        <v>1537</v>
      </c>
      <c r="D480">
        <f>8*60+12</f>
        <v>492</v>
      </c>
      <c r="E480" s="4" t="str">
        <f t="shared" si="7"/>
        <v>8:12</v>
      </c>
      <c r="F480">
        <v>57</v>
      </c>
      <c r="G480" t="s">
        <v>281</v>
      </c>
      <c r="H480" s="2" t="s">
        <v>575</v>
      </c>
      <c r="I480">
        <f>COUNTIF($B$2:B480, "&lt;&gt;")</f>
        <v>479</v>
      </c>
      <c r="J480">
        <f>F480/B480</f>
        <v>18.26923076923077</v>
      </c>
    </row>
    <row r="481" spans="1:10" x14ac:dyDescent="0.3">
      <c r="A481" s="1">
        <v>44523</v>
      </c>
      <c r="B481" s="5">
        <v>3.12</v>
      </c>
      <c r="C481">
        <f>27*60+16</f>
        <v>1636</v>
      </c>
      <c r="D481">
        <f>8*60+44</f>
        <v>524</v>
      </c>
      <c r="E481" s="4" t="str">
        <f t="shared" si="7"/>
        <v>8:44</v>
      </c>
      <c r="F481">
        <v>136</v>
      </c>
      <c r="G481" t="s">
        <v>76</v>
      </c>
      <c r="H481" s="2" t="s">
        <v>576</v>
      </c>
      <c r="I481">
        <f>COUNTIF($B$2:B481, "&lt;&gt;")</f>
        <v>480</v>
      </c>
      <c r="J481">
        <f>F481/B481</f>
        <v>43.589743589743591</v>
      </c>
    </row>
    <row r="482" spans="1:10" x14ac:dyDescent="0.3">
      <c r="A482" s="1">
        <v>44524</v>
      </c>
      <c r="B482" s="5">
        <v>4.21</v>
      </c>
      <c r="C482">
        <f>31*60+27</f>
        <v>1887</v>
      </c>
      <c r="D482">
        <f>7*60+28</f>
        <v>448</v>
      </c>
      <c r="E482" s="4" t="str">
        <f t="shared" si="7"/>
        <v>7:28</v>
      </c>
      <c r="F482">
        <v>181</v>
      </c>
      <c r="G482" t="s">
        <v>90</v>
      </c>
      <c r="H482" s="2" t="s">
        <v>577</v>
      </c>
      <c r="I482">
        <f>COUNTIF($B$2:B482, "&lt;&gt;")</f>
        <v>481</v>
      </c>
      <c r="J482">
        <f>F482/B482</f>
        <v>42.99287410926366</v>
      </c>
    </row>
    <row r="483" spans="1:10" x14ac:dyDescent="0.3">
      <c r="A483" s="1">
        <v>44525</v>
      </c>
      <c r="B483" s="5">
        <v>4.91</v>
      </c>
      <c r="C483">
        <f>52*60+47</f>
        <v>3167</v>
      </c>
      <c r="D483">
        <f>10*60+45</f>
        <v>645</v>
      </c>
      <c r="E483" s="4" t="str">
        <f t="shared" si="7"/>
        <v>10:45</v>
      </c>
      <c r="F483">
        <v>85</v>
      </c>
      <c r="G483" t="s">
        <v>578</v>
      </c>
      <c r="H483" s="2" t="s">
        <v>579</v>
      </c>
      <c r="I483">
        <f>COUNTIF($B$2:B483, "&lt;&gt;")</f>
        <v>482</v>
      </c>
      <c r="J483">
        <f>F483/B483</f>
        <v>17.311608961303463</v>
      </c>
    </row>
    <row r="484" spans="1:10" x14ac:dyDescent="0.3">
      <c r="A484" s="1">
        <v>44526</v>
      </c>
      <c r="B484" s="5">
        <v>3.13</v>
      </c>
      <c r="C484">
        <f>26*60+44</f>
        <v>1604</v>
      </c>
      <c r="D484">
        <f>8*60+32</f>
        <v>512</v>
      </c>
      <c r="E484" s="4" t="str">
        <f t="shared" si="7"/>
        <v>8:32</v>
      </c>
      <c r="F484">
        <v>136</v>
      </c>
      <c r="G484" t="s">
        <v>76</v>
      </c>
      <c r="H484" s="2" t="s">
        <v>580</v>
      </c>
      <c r="I484">
        <f>COUNTIF($B$2:B484, "&lt;&gt;")</f>
        <v>483</v>
      </c>
      <c r="J484">
        <f>F484/B484</f>
        <v>43.450479233226837</v>
      </c>
    </row>
    <row r="485" spans="1:10" x14ac:dyDescent="0.3">
      <c r="A485" s="1">
        <v>44527</v>
      </c>
      <c r="B485" s="5">
        <v>6.25</v>
      </c>
      <c r="C485">
        <f>45*60+18</f>
        <v>2718</v>
      </c>
      <c r="D485">
        <f>7*60+15</f>
        <v>435</v>
      </c>
      <c r="E485" s="4" t="str">
        <f t="shared" si="7"/>
        <v>7:15</v>
      </c>
      <c r="F485">
        <v>72</v>
      </c>
      <c r="G485" t="s">
        <v>32</v>
      </c>
      <c r="H485" s="2" t="s">
        <v>581</v>
      </c>
      <c r="I485">
        <f>COUNTIF($B$2:B485, "&lt;&gt;")</f>
        <v>484</v>
      </c>
      <c r="J485">
        <f>F485/B485</f>
        <v>11.52</v>
      </c>
    </row>
    <row r="486" spans="1:10" x14ac:dyDescent="0.3">
      <c r="A486" s="1">
        <v>44528</v>
      </c>
      <c r="B486" s="5">
        <v>5.0199999999999996</v>
      </c>
      <c r="C486">
        <f>46*60+12</f>
        <v>2772</v>
      </c>
      <c r="D486">
        <f>9*60+12</f>
        <v>552</v>
      </c>
      <c r="E486" s="4" t="str">
        <f t="shared" si="7"/>
        <v>9:12</v>
      </c>
      <c r="F486">
        <v>117</v>
      </c>
      <c r="G486" t="s">
        <v>444</v>
      </c>
      <c r="H486" s="2" t="s">
        <v>582</v>
      </c>
      <c r="I486">
        <f>COUNTIF($B$2:B486, "&lt;&gt;")</f>
        <v>485</v>
      </c>
      <c r="J486">
        <f>F486/B486</f>
        <v>23.306772908366536</v>
      </c>
    </row>
    <row r="487" spans="1:10" x14ac:dyDescent="0.3">
      <c r="A487" s="1">
        <v>44529</v>
      </c>
      <c r="B487" s="5">
        <v>4.09</v>
      </c>
      <c r="C487">
        <f>39*60+7</f>
        <v>2347</v>
      </c>
      <c r="D487">
        <f>9*60+34</f>
        <v>574</v>
      </c>
      <c r="E487" s="4" t="str">
        <f t="shared" si="7"/>
        <v>9:34</v>
      </c>
      <c r="F487">
        <v>186</v>
      </c>
      <c r="G487" t="s">
        <v>281</v>
      </c>
      <c r="H487" s="2" t="s">
        <v>583</v>
      </c>
      <c r="I487">
        <f>COUNTIF($B$2:B487, "&lt;&gt;")</f>
        <v>486</v>
      </c>
      <c r="J487">
        <f>F487/B487</f>
        <v>45.47677261613692</v>
      </c>
    </row>
    <row r="488" spans="1:10" x14ac:dyDescent="0.3">
      <c r="A488" s="1">
        <v>44530</v>
      </c>
      <c r="B488" s="5">
        <v>3.12</v>
      </c>
      <c r="C488">
        <f>28*60+33</f>
        <v>1713</v>
      </c>
      <c r="D488">
        <f>9*60+9</f>
        <v>549</v>
      </c>
      <c r="E488" s="4" t="str">
        <f t="shared" si="7"/>
        <v>9:09</v>
      </c>
      <c r="F488">
        <v>131</v>
      </c>
      <c r="G488" t="s">
        <v>76</v>
      </c>
      <c r="H488" s="2" t="s">
        <v>584</v>
      </c>
      <c r="I488">
        <f>COUNTIF($B$2:B488, "&lt;&gt;")</f>
        <v>487</v>
      </c>
      <c r="J488">
        <f>F488/B488</f>
        <v>41.987179487179489</v>
      </c>
    </row>
    <row r="489" spans="1:10" x14ac:dyDescent="0.3">
      <c r="A489" s="1">
        <v>44531</v>
      </c>
      <c r="B489" s="5">
        <v>3.12</v>
      </c>
      <c r="C489">
        <f>22*60+53</f>
        <v>1373</v>
      </c>
      <c r="D489">
        <f>7*60+20</f>
        <v>440</v>
      </c>
      <c r="E489" s="4" t="str">
        <f t="shared" si="7"/>
        <v>7:20</v>
      </c>
      <c r="F489">
        <v>129</v>
      </c>
      <c r="G489" t="s">
        <v>315</v>
      </c>
      <c r="H489" s="2" t="s">
        <v>585</v>
      </c>
      <c r="I489">
        <f>COUNTIF($B$2:B489, "&lt;&gt;")</f>
        <v>488</v>
      </c>
      <c r="J489">
        <f>F489/B489</f>
        <v>41.346153846153847</v>
      </c>
    </row>
    <row r="490" spans="1:10" x14ac:dyDescent="0.3">
      <c r="A490" s="1">
        <v>44532</v>
      </c>
      <c r="B490" s="5">
        <v>3.12</v>
      </c>
      <c r="C490">
        <f>28*60+39</f>
        <v>1719</v>
      </c>
      <c r="D490">
        <f>9*60+11</f>
        <v>551</v>
      </c>
      <c r="E490" s="4" t="str">
        <f t="shared" si="7"/>
        <v>9:11</v>
      </c>
      <c r="F490">
        <v>119</v>
      </c>
      <c r="G490" t="s">
        <v>76</v>
      </c>
      <c r="H490" s="2" t="s">
        <v>586</v>
      </c>
      <c r="I490">
        <f>COUNTIF($B$2:B490, "&lt;&gt;")</f>
        <v>489</v>
      </c>
      <c r="J490">
        <f>F490/B490</f>
        <v>38.141025641025642</v>
      </c>
    </row>
    <row r="491" spans="1:10" x14ac:dyDescent="0.3">
      <c r="A491" s="1">
        <v>44533</v>
      </c>
      <c r="B491" s="5">
        <v>3.24</v>
      </c>
      <c r="C491">
        <f>31*60+57</f>
        <v>1917</v>
      </c>
      <c r="D491">
        <f>9*60+52</f>
        <v>592</v>
      </c>
      <c r="E491" s="4" t="str">
        <f t="shared" si="7"/>
        <v>9:52</v>
      </c>
      <c r="F491">
        <v>204</v>
      </c>
      <c r="G491" t="s">
        <v>76</v>
      </c>
      <c r="H491" s="2" t="s">
        <v>587</v>
      </c>
      <c r="I491">
        <f>COUNTIF($B$2:B491, "&lt;&gt;")</f>
        <v>490</v>
      </c>
      <c r="J491">
        <f>F491/B491</f>
        <v>62.962962962962962</v>
      </c>
    </row>
    <row r="492" spans="1:10" x14ac:dyDescent="0.3">
      <c r="A492" s="1">
        <v>44534</v>
      </c>
      <c r="B492" s="5">
        <v>3.12</v>
      </c>
      <c r="C492">
        <f>29*60+38</f>
        <v>1778</v>
      </c>
      <c r="D492">
        <f>9*60+30</f>
        <v>570</v>
      </c>
      <c r="E492" s="4" t="str">
        <f t="shared" si="7"/>
        <v>9:30</v>
      </c>
      <c r="F492">
        <v>135</v>
      </c>
      <c r="G492" t="s">
        <v>76</v>
      </c>
      <c r="H492" s="2" t="s">
        <v>588</v>
      </c>
      <c r="I492">
        <f>COUNTIF($B$2:B492, "&lt;&gt;")</f>
        <v>491</v>
      </c>
      <c r="J492">
        <f>F492/B492</f>
        <v>43.269230769230766</v>
      </c>
    </row>
    <row r="493" spans="1:10" x14ac:dyDescent="0.3">
      <c r="A493" s="1">
        <v>44535</v>
      </c>
      <c r="B493" s="5">
        <v>3.12</v>
      </c>
      <c r="C493">
        <f>26*60+59</f>
        <v>1619</v>
      </c>
      <c r="D493">
        <f>8*60+39</f>
        <v>519</v>
      </c>
      <c r="E493" s="4" t="str">
        <f t="shared" si="7"/>
        <v>8:39</v>
      </c>
      <c r="F493">
        <v>294</v>
      </c>
      <c r="G493" t="s">
        <v>547</v>
      </c>
      <c r="H493" s="2" t="s">
        <v>589</v>
      </c>
      <c r="I493">
        <f>COUNTIF($B$2:B493, "&lt;&gt;")</f>
        <v>492</v>
      </c>
      <c r="J493">
        <f>F493/B493</f>
        <v>94.230769230769226</v>
      </c>
    </row>
    <row r="494" spans="1:10" x14ac:dyDescent="0.3">
      <c r="A494" s="1">
        <v>44536</v>
      </c>
      <c r="B494" s="5">
        <v>3.12</v>
      </c>
      <c r="C494">
        <f>24*60+42</f>
        <v>1482</v>
      </c>
      <c r="D494">
        <f>7*60+55</f>
        <v>475</v>
      </c>
      <c r="E494" s="4" t="str">
        <f t="shared" si="7"/>
        <v>7:55</v>
      </c>
      <c r="F494">
        <v>164</v>
      </c>
      <c r="G494" t="s">
        <v>47</v>
      </c>
      <c r="H494" s="2" t="s">
        <v>590</v>
      </c>
      <c r="I494">
        <f>COUNTIF($B$2:B494, "&lt;&gt;")</f>
        <v>493</v>
      </c>
      <c r="J494">
        <f>F494/B494</f>
        <v>52.564102564102562</v>
      </c>
    </row>
    <row r="495" spans="1:10" x14ac:dyDescent="0.3">
      <c r="A495" s="1">
        <v>44537</v>
      </c>
      <c r="B495" s="5">
        <v>3.12</v>
      </c>
      <c r="C495">
        <f>27*60+9</f>
        <v>1629</v>
      </c>
      <c r="D495">
        <f>8*60+42</f>
        <v>522</v>
      </c>
      <c r="E495" s="4" t="str">
        <f t="shared" si="7"/>
        <v>8:42</v>
      </c>
      <c r="F495">
        <v>202</v>
      </c>
      <c r="G495" t="s">
        <v>76</v>
      </c>
      <c r="H495" s="2" t="s">
        <v>591</v>
      </c>
      <c r="I495">
        <f>COUNTIF($B$2:B495, "&lt;&gt;")</f>
        <v>494</v>
      </c>
      <c r="J495">
        <f>F495/B495</f>
        <v>64.743589743589737</v>
      </c>
    </row>
    <row r="496" spans="1:10" x14ac:dyDescent="0.3">
      <c r="A496" s="1">
        <v>44538</v>
      </c>
      <c r="B496" s="5">
        <v>4.21</v>
      </c>
      <c r="C496">
        <f>30*60+25</f>
        <v>1825</v>
      </c>
      <c r="D496">
        <f>7*60+14</f>
        <v>434</v>
      </c>
      <c r="E496" s="4" t="str">
        <f t="shared" si="7"/>
        <v>7:14</v>
      </c>
      <c r="F496">
        <v>180</v>
      </c>
      <c r="G496" t="s">
        <v>90</v>
      </c>
      <c r="H496" s="2" t="s">
        <v>592</v>
      </c>
      <c r="I496">
        <f>COUNTIF($B$2:B496, "&lt;&gt;")</f>
        <v>495</v>
      </c>
      <c r="J496">
        <f>F496/B496</f>
        <v>42.75534441805226</v>
      </c>
    </row>
    <row r="497" spans="1:10" x14ac:dyDescent="0.3">
      <c r="A497" s="1">
        <v>44539</v>
      </c>
      <c r="B497" s="5">
        <v>3.13</v>
      </c>
      <c r="C497">
        <f>29*60+23</f>
        <v>1763</v>
      </c>
      <c r="D497">
        <f>9*60+23</f>
        <v>563</v>
      </c>
      <c r="E497" s="4" t="str">
        <f t="shared" si="7"/>
        <v>9:23</v>
      </c>
      <c r="F497">
        <v>141</v>
      </c>
      <c r="G497" t="s">
        <v>76</v>
      </c>
      <c r="H497" s="2" t="s">
        <v>593</v>
      </c>
      <c r="I497">
        <f>COUNTIF($B$2:B497, "&lt;&gt;")</f>
        <v>496</v>
      </c>
      <c r="J497">
        <f>F497/B497</f>
        <v>45.047923322683708</v>
      </c>
    </row>
    <row r="498" spans="1:10" x14ac:dyDescent="0.3">
      <c r="A498" s="1">
        <v>44540</v>
      </c>
      <c r="B498" s="5">
        <v>3.12</v>
      </c>
      <c r="C498">
        <f>28*60+47</f>
        <v>1727</v>
      </c>
      <c r="D498">
        <f>9*60+13</f>
        <v>553</v>
      </c>
      <c r="E498" s="4" t="str">
        <f t="shared" si="7"/>
        <v>9:13</v>
      </c>
      <c r="F498">
        <v>107</v>
      </c>
      <c r="G498" t="s">
        <v>76</v>
      </c>
      <c r="H498" s="2" t="s">
        <v>594</v>
      </c>
      <c r="I498">
        <f>COUNTIF($B$2:B498, "&lt;&gt;")</f>
        <v>497</v>
      </c>
      <c r="J498">
        <f>F498/B498</f>
        <v>34.294871794871796</v>
      </c>
    </row>
    <row r="499" spans="1:10" x14ac:dyDescent="0.3">
      <c r="A499" s="1">
        <v>44541</v>
      </c>
      <c r="B499" s="5">
        <v>3.12</v>
      </c>
      <c r="C499">
        <f>30*60+45</f>
        <v>1845</v>
      </c>
      <c r="D499">
        <f>9*60+51</f>
        <v>591</v>
      </c>
      <c r="E499" s="4" t="str">
        <f t="shared" si="7"/>
        <v>9:51</v>
      </c>
      <c r="F499">
        <v>253</v>
      </c>
      <c r="G499" t="s">
        <v>595</v>
      </c>
      <c r="H499" s="2" t="s">
        <v>596</v>
      </c>
      <c r="I499">
        <f>COUNTIF($B$2:B499, "&lt;&gt;")</f>
        <v>498</v>
      </c>
      <c r="J499">
        <f>F499/B499</f>
        <v>81.089743589743591</v>
      </c>
    </row>
    <row r="500" spans="1:10" x14ac:dyDescent="0.3">
      <c r="A500" s="1">
        <v>44542</v>
      </c>
      <c r="B500" s="5">
        <v>4.68</v>
      </c>
      <c r="C500">
        <f>40*60+52</f>
        <v>2452</v>
      </c>
      <c r="D500">
        <f>8*60+44</f>
        <v>524</v>
      </c>
      <c r="E500" s="4" t="str">
        <f t="shared" si="7"/>
        <v>8:44</v>
      </c>
      <c r="F500">
        <v>7</v>
      </c>
      <c r="G500" t="s">
        <v>32</v>
      </c>
      <c r="H500" s="2" t="s">
        <v>597</v>
      </c>
      <c r="I500">
        <f>COUNTIF($B$2:B500, "&lt;&gt;")</f>
        <v>499</v>
      </c>
      <c r="J500">
        <f>F500/B500</f>
        <v>1.4957264957264957</v>
      </c>
    </row>
    <row r="501" spans="1:10" x14ac:dyDescent="0.3">
      <c r="A501" s="1">
        <v>44543</v>
      </c>
      <c r="B501" s="5">
        <v>4.08</v>
      </c>
      <c r="C501">
        <f>33*60+46</f>
        <v>2026</v>
      </c>
      <c r="D501">
        <f>8*60+17</f>
        <v>497</v>
      </c>
      <c r="E501" s="4" t="str">
        <f t="shared" si="7"/>
        <v>8:17</v>
      </c>
      <c r="F501">
        <v>98</v>
      </c>
      <c r="G501" t="s">
        <v>164</v>
      </c>
      <c r="H501" s="2" t="s">
        <v>598</v>
      </c>
      <c r="I501">
        <f>COUNTIF($B$2:B501, "&lt;&gt;")</f>
        <v>500</v>
      </c>
      <c r="J501">
        <f>F501/B501</f>
        <v>24.019607843137255</v>
      </c>
    </row>
    <row r="502" spans="1:10" x14ac:dyDescent="0.3">
      <c r="A502" s="1">
        <v>44544</v>
      </c>
      <c r="B502" s="5">
        <v>3.12</v>
      </c>
      <c r="C502">
        <f>29*60+36</f>
        <v>1776</v>
      </c>
      <c r="D502">
        <f>9*60+29</f>
        <v>569</v>
      </c>
      <c r="E502" s="4" t="str">
        <f t="shared" si="7"/>
        <v>9:29</v>
      </c>
      <c r="F502">
        <v>150</v>
      </c>
      <c r="G502" t="s">
        <v>76</v>
      </c>
      <c r="H502" s="2" t="s">
        <v>599</v>
      </c>
      <c r="I502">
        <f>COUNTIF($B$2:B502, "&lt;&gt;")</f>
        <v>501</v>
      </c>
      <c r="J502">
        <f>F502/B502</f>
        <v>48.076923076923073</v>
      </c>
    </row>
    <row r="503" spans="1:10" x14ac:dyDescent="0.3">
      <c r="A503" s="1">
        <v>44545</v>
      </c>
      <c r="B503" s="5">
        <v>4.26</v>
      </c>
      <c r="C503">
        <f>33*60+30</f>
        <v>2010</v>
      </c>
      <c r="D503">
        <f>7*60+52</f>
        <v>472</v>
      </c>
      <c r="E503" s="4" t="str">
        <f t="shared" si="7"/>
        <v>7:52</v>
      </c>
      <c r="F503">
        <v>180</v>
      </c>
      <c r="G503" t="s">
        <v>90</v>
      </c>
      <c r="H503" s="2" t="s">
        <v>600</v>
      </c>
      <c r="I503">
        <f>COUNTIF($B$2:B503, "&lt;&gt;")</f>
        <v>502</v>
      </c>
      <c r="J503">
        <f>F503/B503</f>
        <v>42.253521126760567</v>
      </c>
    </row>
    <row r="504" spans="1:10" x14ac:dyDescent="0.3">
      <c r="A504" s="1">
        <v>44546</v>
      </c>
      <c r="B504" s="5">
        <v>3.14</v>
      </c>
      <c r="C504">
        <f>26*60+12</f>
        <v>1572</v>
      </c>
      <c r="D504">
        <f>8*60+21</f>
        <v>501</v>
      </c>
      <c r="E504" s="4" t="str">
        <f t="shared" si="7"/>
        <v>8:21</v>
      </c>
      <c r="F504">
        <v>182</v>
      </c>
      <c r="G504" t="s">
        <v>47</v>
      </c>
      <c r="H504" s="2" t="s">
        <v>601</v>
      </c>
      <c r="I504">
        <f>COUNTIF($B$2:B504, "&lt;&gt;")</f>
        <v>503</v>
      </c>
      <c r="J504">
        <f>F504/B504</f>
        <v>57.961783439490446</v>
      </c>
    </row>
    <row r="505" spans="1:10" x14ac:dyDescent="0.3">
      <c r="A505" s="1">
        <v>44547</v>
      </c>
      <c r="B505" s="5">
        <v>3.22</v>
      </c>
      <c r="C505">
        <f>29*60+33</f>
        <v>1773</v>
      </c>
      <c r="D505">
        <f>9*60+11</f>
        <v>551</v>
      </c>
      <c r="E505" s="4" t="str">
        <f t="shared" si="7"/>
        <v>9:11</v>
      </c>
      <c r="F505">
        <v>128</v>
      </c>
      <c r="G505" t="s">
        <v>76</v>
      </c>
      <c r="H505" s="2" t="s">
        <v>602</v>
      </c>
      <c r="I505">
        <f>COUNTIF($B$2:B505, "&lt;&gt;")</f>
        <v>504</v>
      </c>
      <c r="J505">
        <f>F505/B505</f>
        <v>39.751552795031053</v>
      </c>
    </row>
    <row r="506" spans="1:10" x14ac:dyDescent="0.3">
      <c r="A506" s="1">
        <v>44548</v>
      </c>
      <c r="B506" s="5">
        <v>3.12</v>
      </c>
      <c r="C506">
        <f>30*60+33</f>
        <v>1833</v>
      </c>
      <c r="D506">
        <f>9*60+47</f>
        <v>587</v>
      </c>
      <c r="E506" s="4" t="str">
        <f t="shared" si="7"/>
        <v>9:47</v>
      </c>
      <c r="F506">
        <v>200</v>
      </c>
      <c r="G506" t="s">
        <v>76</v>
      </c>
      <c r="H506" s="2" t="s">
        <v>603</v>
      </c>
      <c r="I506">
        <f>COUNTIF($B$2:B506, "&lt;&gt;")</f>
        <v>505</v>
      </c>
      <c r="J506">
        <f>F506/B506</f>
        <v>64.102564102564102</v>
      </c>
    </row>
    <row r="507" spans="1:10" x14ac:dyDescent="0.3">
      <c r="A507" s="1">
        <v>44549</v>
      </c>
      <c r="B507" s="5">
        <v>4.07</v>
      </c>
      <c r="C507">
        <f>36*60+10</f>
        <v>2170</v>
      </c>
      <c r="D507">
        <f>8*60+53</f>
        <v>533</v>
      </c>
      <c r="E507" s="4" t="str">
        <f t="shared" si="7"/>
        <v>8:53</v>
      </c>
      <c r="F507">
        <v>82</v>
      </c>
      <c r="G507" t="s">
        <v>68</v>
      </c>
      <c r="H507" s="2" t="s">
        <v>604</v>
      </c>
      <c r="I507">
        <f>COUNTIF($B$2:B507, "&lt;&gt;")</f>
        <v>506</v>
      </c>
      <c r="J507">
        <f>F507/B507</f>
        <v>20.147420147420146</v>
      </c>
    </row>
    <row r="508" spans="1:10" x14ac:dyDescent="0.3">
      <c r="A508" s="1">
        <v>44550</v>
      </c>
      <c r="B508" s="5">
        <v>3.12</v>
      </c>
      <c r="C508">
        <f>25*60+51</f>
        <v>1551</v>
      </c>
      <c r="D508">
        <f>8*60+17</f>
        <v>497</v>
      </c>
      <c r="E508" s="4" t="str">
        <f t="shared" si="7"/>
        <v>8:17</v>
      </c>
      <c r="F508">
        <v>99</v>
      </c>
      <c r="G508" t="s">
        <v>281</v>
      </c>
      <c r="H508" s="2" t="s">
        <v>605</v>
      </c>
      <c r="I508">
        <f>COUNTIF($B$2:B508, "&lt;&gt;")</f>
        <v>507</v>
      </c>
      <c r="J508">
        <f>F508/B508</f>
        <v>31.73076923076923</v>
      </c>
    </row>
    <row r="509" spans="1:10" x14ac:dyDescent="0.3">
      <c r="A509" s="1">
        <v>44551</v>
      </c>
      <c r="B509" s="5">
        <v>3.24</v>
      </c>
      <c r="C509">
        <f>28*60+20</f>
        <v>1700</v>
      </c>
      <c r="D509">
        <f>8*60+45</f>
        <v>525</v>
      </c>
      <c r="E509" s="4" t="str">
        <f t="shared" si="7"/>
        <v>8:45</v>
      </c>
      <c r="F509">
        <v>145</v>
      </c>
      <c r="G509" t="s">
        <v>47</v>
      </c>
      <c r="H509" s="2" t="s">
        <v>606</v>
      </c>
      <c r="I509">
        <f>COUNTIF($B$2:B509, "&lt;&gt;")</f>
        <v>508</v>
      </c>
      <c r="J509">
        <f>F509/B509</f>
        <v>44.753086419753082</v>
      </c>
    </row>
    <row r="510" spans="1:10" x14ac:dyDescent="0.3">
      <c r="A510" s="1">
        <v>44552</v>
      </c>
      <c r="B510" s="5">
        <v>4.18</v>
      </c>
      <c r="C510">
        <f>32*60+44</f>
        <v>1964</v>
      </c>
      <c r="D510">
        <f>7*60+50</f>
        <v>470</v>
      </c>
      <c r="E510" s="4" t="str">
        <f t="shared" si="7"/>
        <v>7:50</v>
      </c>
      <c r="F510">
        <v>128</v>
      </c>
      <c r="G510" t="s">
        <v>90</v>
      </c>
      <c r="H510" s="2" t="s">
        <v>607</v>
      </c>
      <c r="I510">
        <f>COUNTIF($B$2:B510, "&lt;&gt;")</f>
        <v>509</v>
      </c>
      <c r="J510">
        <f>F510/B510</f>
        <v>30.622009569377994</v>
      </c>
    </row>
    <row r="511" spans="1:10" x14ac:dyDescent="0.3">
      <c r="A511" s="1">
        <v>44553</v>
      </c>
      <c r="B511" s="5">
        <v>3.13</v>
      </c>
      <c r="C511">
        <f>26*60+8</f>
        <v>1568</v>
      </c>
      <c r="D511">
        <f>8*60+21</f>
        <v>501</v>
      </c>
      <c r="E511" s="4" t="str">
        <f t="shared" si="7"/>
        <v>8:21</v>
      </c>
      <c r="F511">
        <v>108</v>
      </c>
      <c r="G511" t="s">
        <v>76</v>
      </c>
      <c r="H511" s="2" t="s">
        <v>608</v>
      </c>
      <c r="I511">
        <f>COUNTIF($B$2:B511, "&lt;&gt;")</f>
        <v>510</v>
      </c>
      <c r="J511">
        <f>F511/B511</f>
        <v>34.504792332268373</v>
      </c>
    </row>
    <row r="512" spans="1:10" x14ac:dyDescent="0.3">
      <c r="A512" s="1">
        <v>44554</v>
      </c>
      <c r="B512" s="5">
        <v>3.13</v>
      </c>
      <c r="C512">
        <f>27*60+5</f>
        <v>1625</v>
      </c>
      <c r="D512">
        <f>8*60+39</f>
        <v>519</v>
      </c>
      <c r="E512" s="4" t="str">
        <f t="shared" si="7"/>
        <v>8:39</v>
      </c>
      <c r="F512">
        <v>129</v>
      </c>
      <c r="G512" t="s">
        <v>76</v>
      </c>
      <c r="H512" s="2" t="s">
        <v>609</v>
      </c>
      <c r="I512">
        <f>COUNTIF($B$2:B512, "&lt;&gt;")</f>
        <v>511</v>
      </c>
      <c r="J512">
        <f>F512/B512</f>
        <v>41.214057507987221</v>
      </c>
    </row>
    <row r="513" spans="1:10" x14ac:dyDescent="0.3">
      <c r="A513" s="1">
        <v>44555</v>
      </c>
      <c r="B513" s="5">
        <v>3.12</v>
      </c>
      <c r="C513">
        <f>30*60+1</f>
        <v>1801</v>
      </c>
      <c r="D513">
        <f>9*60+37</f>
        <v>577</v>
      </c>
      <c r="E513" s="4" t="str">
        <f t="shared" si="7"/>
        <v>9:37</v>
      </c>
      <c r="F513">
        <v>212</v>
      </c>
      <c r="G513" t="s">
        <v>76</v>
      </c>
      <c r="H513" s="2" t="s">
        <v>610</v>
      </c>
      <c r="I513">
        <f>COUNTIF($B$2:B513, "&lt;&gt;")</f>
        <v>512</v>
      </c>
      <c r="J513">
        <f>F513/B513</f>
        <v>67.948717948717942</v>
      </c>
    </row>
    <row r="514" spans="1:10" x14ac:dyDescent="0.3">
      <c r="A514" s="1">
        <v>44556</v>
      </c>
      <c r="B514" s="5">
        <v>3.12</v>
      </c>
      <c r="C514">
        <f>29*60+48</f>
        <v>1788</v>
      </c>
      <c r="D514">
        <f>9*60+33</f>
        <v>573</v>
      </c>
      <c r="E514" s="4" t="str">
        <f t="shared" si="7"/>
        <v>9:33</v>
      </c>
      <c r="F514">
        <v>163</v>
      </c>
      <c r="G514" t="s">
        <v>76</v>
      </c>
      <c r="H514" s="2" t="s">
        <v>611</v>
      </c>
      <c r="I514">
        <f>COUNTIF($B$2:B514, "&lt;&gt;")</f>
        <v>513</v>
      </c>
      <c r="J514">
        <f>F514/B514</f>
        <v>52.243589743589745</v>
      </c>
    </row>
    <row r="515" spans="1:10" x14ac:dyDescent="0.3">
      <c r="A515" s="1">
        <v>44557</v>
      </c>
      <c r="B515" s="5">
        <v>5.05</v>
      </c>
      <c r="C515">
        <f>44*60+53</f>
        <v>2693</v>
      </c>
      <c r="D515">
        <f>8*60+53</f>
        <v>533</v>
      </c>
      <c r="E515" s="4" t="str">
        <f t="shared" ref="E515:E519" si="8">CONCATENATE(ROUNDDOWN(D515/60,0),":",IF(ROUNDDOWN(D515-ROUNDDOWN(D515/60,0)*60,0)&gt;=10,ROUNDDOWN(D515-ROUNDDOWN(D515/60,0)*60,3),CONCATENATE("0",ROUNDDOWN(D515-ROUNDDOWN(D515/60,0)*60,3))))</f>
        <v>8:53</v>
      </c>
      <c r="F515">
        <v>136</v>
      </c>
      <c r="G515" t="s">
        <v>13</v>
      </c>
      <c r="H515" s="2" t="s">
        <v>612</v>
      </c>
      <c r="I515">
        <f>COUNTIF($B$2:B515, "&lt;&gt;")</f>
        <v>514</v>
      </c>
      <c r="J515">
        <f>F515/B515</f>
        <v>26.930693069306933</v>
      </c>
    </row>
    <row r="516" spans="1:10" x14ac:dyDescent="0.3">
      <c r="A516" s="1">
        <v>44558</v>
      </c>
      <c r="B516" s="5">
        <v>3.12</v>
      </c>
      <c r="C516">
        <f>27*60+19</f>
        <v>1639</v>
      </c>
      <c r="D516">
        <f>8*60+45</f>
        <v>525</v>
      </c>
      <c r="E516" s="4" t="str">
        <f t="shared" si="8"/>
        <v>8:45</v>
      </c>
      <c r="F516">
        <v>135</v>
      </c>
      <c r="G516" t="s">
        <v>76</v>
      </c>
      <c r="H516" s="2" t="s">
        <v>613</v>
      </c>
      <c r="I516">
        <f>COUNTIF($B$2:B516, "&lt;&gt;")</f>
        <v>515</v>
      </c>
      <c r="J516">
        <f>F516/B516</f>
        <v>43.269230769230766</v>
      </c>
    </row>
    <row r="517" spans="1:10" x14ac:dyDescent="0.3">
      <c r="A517" s="1">
        <v>44559</v>
      </c>
      <c r="B517" s="5">
        <v>3.12</v>
      </c>
      <c r="C517">
        <f>23*60+44</f>
        <v>1424</v>
      </c>
      <c r="D517">
        <f>7*60+36</f>
        <v>456</v>
      </c>
      <c r="E517" s="4" t="str">
        <f t="shared" si="8"/>
        <v>7:36</v>
      </c>
      <c r="F517">
        <v>117</v>
      </c>
      <c r="G517" t="s">
        <v>315</v>
      </c>
      <c r="H517" s="2" t="s">
        <v>614</v>
      </c>
      <c r="I517">
        <f>COUNTIF($B$2:B517, "&lt;&gt;")</f>
        <v>516</v>
      </c>
      <c r="J517">
        <f>F517/B517</f>
        <v>37.5</v>
      </c>
    </row>
    <row r="518" spans="1:10" x14ac:dyDescent="0.3">
      <c r="A518" s="1">
        <v>44560</v>
      </c>
      <c r="B518" s="5">
        <v>3.16</v>
      </c>
      <c r="C518">
        <f>26*60+45</f>
        <v>1605</v>
      </c>
      <c r="D518">
        <f>8*60+28</f>
        <v>508</v>
      </c>
      <c r="E518" s="4" t="str">
        <f t="shared" si="8"/>
        <v>8:28</v>
      </c>
      <c r="F518">
        <v>158</v>
      </c>
      <c r="G518" t="s">
        <v>76</v>
      </c>
      <c r="H518" s="2" t="s">
        <v>615</v>
      </c>
      <c r="I518">
        <f>COUNTIF($B$2:B518, "&lt;&gt;")</f>
        <v>517</v>
      </c>
      <c r="J518">
        <f>F518/B518</f>
        <v>50</v>
      </c>
    </row>
    <row r="519" spans="1:10" x14ac:dyDescent="0.3">
      <c r="A519" s="1">
        <v>44561</v>
      </c>
      <c r="B519" s="5">
        <v>3.12</v>
      </c>
      <c r="C519">
        <f>28*60+30</f>
        <v>1710</v>
      </c>
      <c r="D519">
        <f>9*60+8</f>
        <v>548</v>
      </c>
      <c r="E519" s="4" t="str">
        <f t="shared" si="8"/>
        <v>9:08</v>
      </c>
      <c r="F519">
        <v>81</v>
      </c>
      <c r="G519" t="s">
        <v>616</v>
      </c>
      <c r="H519" s="2" t="s">
        <v>617</v>
      </c>
      <c r="I519">
        <f>COUNTIF($B$2:B519, "&lt;&gt;")</f>
        <v>518</v>
      </c>
      <c r="J519">
        <f>F519/B519</f>
        <v>25.96153846153846</v>
      </c>
    </row>
    <row r="520" spans="1:10" x14ac:dyDescent="0.3">
      <c r="A520" s="1"/>
      <c r="B520" s="5"/>
    </row>
    <row r="521" spans="1:10" x14ac:dyDescent="0.3">
      <c r="A521" s="7" t="s">
        <v>634</v>
      </c>
      <c r="B521" s="5">
        <f>SUM(B2:B519)+SUM(E522:E543)</f>
        <v>2450.0099999999907</v>
      </c>
      <c r="C521" s="10"/>
      <c r="D521" s="10" t="s">
        <v>618</v>
      </c>
      <c r="E521" s="10"/>
      <c r="F521" s="10"/>
    </row>
    <row r="522" spans="1:10" x14ac:dyDescent="0.3">
      <c r="A522" s="7" t="s">
        <v>635</v>
      </c>
      <c r="B522" s="6">
        <f>COUNTA(B2:B519)</f>
        <v>518</v>
      </c>
      <c r="C522" s="10"/>
      <c r="D522" s="11">
        <v>44543</v>
      </c>
      <c r="E522" s="10">
        <v>3.14</v>
      </c>
      <c r="F522" s="10"/>
    </row>
    <row r="523" spans="1:10" x14ac:dyDescent="0.3">
      <c r="A523" s="7" t="s">
        <v>636</v>
      </c>
      <c r="B523" s="5">
        <f>B521/527</f>
        <v>4.6489753320682938</v>
      </c>
      <c r="C523" s="10"/>
      <c r="D523" s="11">
        <v>44465</v>
      </c>
      <c r="E523" s="10">
        <v>0.43</v>
      </c>
      <c r="F523" s="10"/>
    </row>
    <row r="524" spans="1:10" x14ac:dyDescent="0.3">
      <c r="A524" s="8"/>
      <c r="B524" s="9"/>
      <c r="C524" s="10"/>
      <c r="D524" s="11">
        <v>44445</v>
      </c>
      <c r="E524" s="10">
        <v>0.35</v>
      </c>
      <c r="F524" s="10"/>
    </row>
    <row r="525" spans="1:10" x14ac:dyDescent="0.3">
      <c r="A525" s="8"/>
      <c r="B525" s="9"/>
      <c r="C525" s="10"/>
      <c r="D525" s="11">
        <v>44443</v>
      </c>
      <c r="E525" s="10">
        <v>0.99</v>
      </c>
      <c r="F525" s="10"/>
    </row>
    <row r="526" spans="1:10" x14ac:dyDescent="0.3">
      <c r="A526" s="8"/>
      <c r="B526" s="9"/>
      <c r="C526" s="10"/>
      <c r="D526" s="11">
        <v>44441</v>
      </c>
      <c r="E526" s="10">
        <v>1.65</v>
      </c>
      <c r="F526" s="10"/>
    </row>
    <row r="527" spans="1:10" x14ac:dyDescent="0.3">
      <c r="A527" s="8"/>
      <c r="B527" s="9"/>
      <c r="C527" s="10"/>
      <c r="D527" s="11">
        <v>44434</v>
      </c>
      <c r="E527" s="10">
        <v>1.72</v>
      </c>
      <c r="F527" s="10"/>
    </row>
    <row r="528" spans="1:10" x14ac:dyDescent="0.3">
      <c r="A528" s="8"/>
      <c r="B528" s="9"/>
      <c r="C528" s="10"/>
      <c r="D528" s="11">
        <v>44431</v>
      </c>
      <c r="E528" s="10">
        <v>2.86</v>
      </c>
      <c r="F528" s="10"/>
    </row>
    <row r="529" spans="1:6" x14ac:dyDescent="0.3">
      <c r="A529" s="8"/>
      <c r="B529" s="9"/>
      <c r="C529" s="10"/>
      <c r="D529" s="11">
        <v>44427</v>
      </c>
      <c r="E529" s="10">
        <v>0.97</v>
      </c>
      <c r="F529" s="10"/>
    </row>
    <row r="530" spans="1:6" x14ac:dyDescent="0.3">
      <c r="A530" s="8"/>
      <c r="B530" s="9"/>
      <c r="C530" s="10"/>
      <c r="D530" s="11">
        <v>44387</v>
      </c>
      <c r="E530" s="10">
        <v>5.39</v>
      </c>
      <c r="F530" s="10"/>
    </row>
    <row r="531" spans="1:6" x14ac:dyDescent="0.3">
      <c r="A531" s="8"/>
      <c r="B531" s="9"/>
      <c r="C531" s="10"/>
      <c r="D531" s="11">
        <v>44383</v>
      </c>
      <c r="E531" s="10">
        <v>1.59</v>
      </c>
      <c r="F531" s="10"/>
    </row>
    <row r="532" spans="1:6" x14ac:dyDescent="0.3">
      <c r="A532" s="8"/>
      <c r="B532" s="9"/>
      <c r="C532" s="10"/>
      <c r="D532" s="11">
        <v>44364</v>
      </c>
      <c r="E532" s="10">
        <v>0.08</v>
      </c>
      <c r="F532" s="10"/>
    </row>
    <row r="533" spans="1:6" x14ac:dyDescent="0.3">
      <c r="A533" s="8"/>
      <c r="B533" s="9"/>
      <c r="C533" s="10"/>
      <c r="D533" s="11">
        <v>44352</v>
      </c>
      <c r="E533" s="10">
        <f>32.54-3.11</f>
        <v>29.43</v>
      </c>
      <c r="F533" s="10"/>
    </row>
    <row r="534" spans="1:6" x14ac:dyDescent="0.3">
      <c r="A534" s="8"/>
      <c r="B534" s="9"/>
      <c r="C534" s="10"/>
      <c r="D534" s="11">
        <v>44317</v>
      </c>
      <c r="E534" s="10">
        <v>0.03</v>
      </c>
      <c r="F534" s="10"/>
    </row>
    <row r="535" spans="1:6" x14ac:dyDescent="0.3">
      <c r="A535" s="8"/>
      <c r="B535" s="9"/>
      <c r="C535" s="10"/>
      <c r="D535" s="11">
        <v>44261</v>
      </c>
      <c r="E535" s="10">
        <v>2.77</v>
      </c>
      <c r="F535" s="10"/>
    </row>
    <row r="536" spans="1:6" x14ac:dyDescent="0.3">
      <c r="A536" s="8"/>
      <c r="B536" s="9"/>
      <c r="C536" s="10"/>
      <c r="D536" s="11">
        <v>44259</v>
      </c>
      <c r="E536" s="10">
        <f>1.5+1</f>
        <v>2.5</v>
      </c>
      <c r="F536" s="10"/>
    </row>
    <row r="537" spans="1:6" x14ac:dyDescent="0.3">
      <c r="A537" s="8"/>
      <c r="B537" s="9"/>
      <c r="C537" s="10"/>
      <c r="D537" s="11">
        <v>44251</v>
      </c>
      <c r="E537" s="10">
        <v>1.07</v>
      </c>
      <c r="F537" s="10"/>
    </row>
    <row r="538" spans="1:6" x14ac:dyDescent="0.3">
      <c r="A538" s="8"/>
      <c r="B538" s="9"/>
      <c r="C538" s="10"/>
      <c r="D538" s="11">
        <v>44248</v>
      </c>
      <c r="E538" s="10">
        <v>3.11</v>
      </c>
      <c r="F538" s="10"/>
    </row>
    <row r="539" spans="1:6" x14ac:dyDescent="0.3">
      <c r="A539" s="8"/>
      <c r="B539" s="9"/>
      <c r="C539" s="10"/>
      <c r="D539" s="11">
        <v>44226</v>
      </c>
      <c r="E539" s="10">
        <v>4.5999999999999996</v>
      </c>
      <c r="F539" s="10"/>
    </row>
    <row r="540" spans="1:6" x14ac:dyDescent="0.3">
      <c r="A540" s="8"/>
      <c r="B540" s="9"/>
      <c r="C540" s="10"/>
      <c r="D540" s="11">
        <v>44198</v>
      </c>
      <c r="E540" s="10">
        <f>2.02+0.65+0.7</f>
        <v>3.37</v>
      </c>
      <c r="F540" s="10"/>
    </row>
    <row r="541" spans="1:6" x14ac:dyDescent="0.3">
      <c r="A541" s="8"/>
      <c r="B541" s="9"/>
      <c r="C541" s="10"/>
      <c r="D541" s="11">
        <v>44459</v>
      </c>
      <c r="E541" s="10">
        <v>13.1</v>
      </c>
      <c r="F541" s="10"/>
    </row>
    <row r="542" spans="1:6" x14ac:dyDescent="0.3">
      <c r="A542" s="8"/>
      <c r="B542" s="9"/>
      <c r="C542" s="10"/>
      <c r="D542" s="11">
        <v>44452</v>
      </c>
      <c r="E542" s="10">
        <v>2.8</v>
      </c>
      <c r="F542" s="10"/>
    </row>
    <row r="543" spans="1:6" x14ac:dyDescent="0.3">
      <c r="A543" s="8"/>
      <c r="B543" s="9"/>
      <c r="C543" s="10"/>
      <c r="D543" s="11">
        <v>44431</v>
      </c>
      <c r="E543" s="10">
        <v>3.12</v>
      </c>
      <c r="F543" s="10"/>
    </row>
    <row r="544" spans="1:6" x14ac:dyDescent="0.3">
      <c r="A544" s="1"/>
      <c r="B544" s="5"/>
    </row>
    <row r="545" spans="1:2" x14ac:dyDescent="0.3">
      <c r="A545" s="1"/>
      <c r="B545" s="5"/>
    </row>
    <row r="546" spans="1:2" x14ac:dyDescent="0.3">
      <c r="A546" s="1"/>
      <c r="B546" s="5"/>
    </row>
  </sheetData>
  <hyperlinks>
    <hyperlink ref="H3" r:id="rId1" xr:uid="{DD0C717B-532B-4260-8E1A-CF2FDA95B26A}"/>
    <hyperlink ref="H2" r:id="rId2" xr:uid="{957FC5EC-DE78-42DB-ABE3-745D05D2B8AE}"/>
    <hyperlink ref="H4" r:id="rId3" xr:uid="{7CBE7563-C8A3-423E-9F06-085ADAE3AD03}"/>
    <hyperlink ref="H5" r:id="rId4" xr:uid="{3437938F-5729-4ED2-9388-DF9C7A353FF5}"/>
    <hyperlink ref="H6" r:id="rId5" xr:uid="{8FB4CC8D-D8A5-4290-B3A4-A3B9F4B59EB2}"/>
    <hyperlink ref="H7" r:id="rId6" xr:uid="{24E0298B-E78D-44D2-B0F7-236A7858ED60}"/>
    <hyperlink ref="H8" r:id="rId7" xr:uid="{E2CBD2F5-F196-4D96-BD4D-B01B410557BB}"/>
    <hyperlink ref="H10" r:id="rId8" xr:uid="{409FCB6D-4E26-451E-B148-DED2A0AA2797}"/>
    <hyperlink ref="H9" r:id="rId9" xr:uid="{A4F6BD1A-CF28-4E57-967A-75559366665C}"/>
    <hyperlink ref="H11" r:id="rId10" xr:uid="{74DA02DE-6076-43D0-8B90-1ABA4CA89226}"/>
    <hyperlink ref="H12" r:id="rId11" xr:uid="{10951682-A539-4CE9-ACA0-58E0BEDAAE1E}"/>
    <hyperlink ref="H13" r:id="rId12" xr:uid="{9EB8FCEC-EB79-457D-B3F0-EA9FB4E4A727}"/>
    <hyperlink ref="H14" r:id="rId13" xr:uid="{AC536550-F20E-49F9-9503-F2D724CECACB}"/>
    <hyperlink ref="H15" r:id="rId14" xr:uid="{FEE4BF2D-FCC7-4277-B8F8-F2095D51AC8C}"/>
    <hyperlink ref="H16" r:id="rId15" xr:uid="{9B3A6B8F-952F-43AC-9F3C-B9A9D77FFE83}"/>
    <hyperlink ref="H17" r:id="rId16" xr:uid="{2E0306EA-BFDC-467A-8430-C6C567C55156}"/>
    <hyperlink ref="H18" r:id="rId17" xr:uid="{B12FC63F-27F2-4D66-93C7-0A658ABAC89E}"/>
    <hyperlink ref="H19" r:id="rId18" xr:uid="{507278D4-F528-4460-A3EE-BF4769DCF25E}"/>
    <hyperlink ref="H20" r:id="rId19" xr:uid="{E58855CD-70FA-42C5-8591-CE1E147D3969}"/>
    <hyperlink ref="H21" r:id="rId20" xr:uid="{261B55E9-0011-437F-88EF-E962FFD27FE2}"/>
    <hyperlink ref="H22" r:id="rId21" xr:uid="{D39F6069-9571-4AA5-9E52-5969E191479C}"/>
    <hyperlink ref="H23" r:id="rId22" xr:uid="{30C2B08F-6366-4D01-AF3B-E002AAFD29FB}"/>
    <hyperlink ref="H24" r:id="rId23" xr:uid="{AD801153-26B0-4445-BF31-91A3F7489106}"/>
    <hyperlink ref="H25" r:id="rId24" xr:uid="{213BA6D9-9101-46F8-AC6A-C0E46B7070EC}"/>
    <hyperlink ref="H26" r:id="rId25" xr:uid="{B8BF4C5D-39C1-4182-9348-7DF47E4F19A2}"/>
    <hyperlink ref="H27" r:id="rId26" xr:uid="{404A6C80-1B58-4621-8EE4-D601F360E4E8}"/>
    <hyperlink ref="H28" r:id="rId27" xr:uid="{4A509C09-0663-4553-A1A5-B450D69919E5}"/>
    <hyperlink ref="H29" r:id="rId28" xr:uid="{9A897F82-E537-4BD3-895B-7990D508DA58}"/>
    <hyperlink ref="H30" r:id="rId29" xr:uid="{2A828E55-7317-4D20-955F-0254BF8A3439}"/>
    <hyperlink ref="H31" r:id="rId30" xr:uid="{62CBF4BC-119F-4141-80D2-B88AF97D4479}"/>
    <hyperlink ref="H32" r:id="rId31" xr:uid="{F6AF7A9D-1309-4C2B-B529-C105361540B0}"/>
    <hyperlink ref="H33" r:id="rId32" xr:uid="{2F518C3D-5C80-45AC-A244-978DB37D85F3}"/>
    <hyperlink ref="H34" r:id="rId33" xr:uid="{D5C2F79D-BB13-4367-9B25-EFEA02B32035}"/>
    <hyperlink ref="H35" r:id="rId34" xr:uid="{F99A5CB9-D1C5-4736-9202-4A30568D7044}"/>
    <hyperlink ref="H36" r:id="rId35" xr:uid="{5D3786C3-5F07-4C02-9DCD-7A00B2D2B928}"/>
    <hyperlink ref="H37" r:id="rId36" xr:uid="{98C7FD04-D4D0-4E40-9EBA-14C759994E86}"/>
    <hyperlink ref="H38" r:id="rId37" xr:uid="{E552C67A-8D13-4C08-94C9-3715351DE69E}"/>
    <hyperlink ref="H39" r:id="rId38" xr:uid="{3645EE08-311B-467E-B7D6-6BB1CACEFA30}"/>
    <hyperlink ref="H40" r:id="rId39" xr:uid="{B0707708-544A-4370-9059-C2822F0CE273}"/>
    <hyperlink ref="H41" r:id="rId40" xr:uid="{88198A19-1E29-42DE-BC25-CF5C52CA6A1A}"/>
    <hyperlink ref="H42" r:id="rId41" xr:uid="{E3AFF43E-FBD3-443E-BC8B-D6D49E3C878F}"/>
    <hyperlink ref="H43" r:id="rId42" xr:uid="{AF34E69F-72F1-4B14-BDD1-E0CEFB885E1B}"/>
    <hyperlink ref="H44" r:id="rId43" xr:uid="{454BF5F4-F09D-4E3E-B5AD-8CA2CA7C66EE}"/>
    <hyperlink ref="H45" r:id="rId44" xr:uid="{6A3B958F-80EB-47DD-96DB-E88A086130E8}"/>
    <hyperlink ref="H46" r:id="rId45" xr:uid="{737ACDB7-414B-493C-AFA7-D1C45FFFBA33}"/>
    <hyperlink ref="H47" r:id="rId46" xr:uid="{E4B47172-D33B-4CD1-929D-3CCA9C9C9F06}"/>
    <hyperlink ref="H48" r:id="rId47" xr:uid="{A96873C0-B9D4-41F7-A3BA-C61E386E9730}"/>
    <hyperlink ref="H49" r:id="rId48" xr:uid="{95DA07FB-7ED5-4093-8A68-48C41BD634E2}"/>
    <hyperlink ref="H50" r:id="rId49" xr:uid="{4563961F-BB98-48C0-87E9-14D652BB1DB7}"/>
    <hyperlink ref="H51" r:id="rId50" xr:uid="{0DE43245-2885-48C5-AA39-D2264D815271}"/>
    <hyperlink ref="H52" r:id="rId51" xr:uid="{90FDBE8A-1F94-4111-B185-43E99A5BC831}"/>
    <hyperlink ref="H53" r:id="rId52" xr:uid="{2A533EE7-61AE-459D-81F4-B5CBFED0D0F0}"/>
    <hyperlink ref="H54" r:id="rId53" xr:uid="{69DD8F1D-A141-4C70-85C1-A1B67AB7C7FE}"/>
    <hyperlink ref="H55" r:id="rId54" xr:uid="{ADE4A18D-22CF-4B16-A3B8-CEA97625385E}"/>
    <hyperlink ref="H56" r:id="rId55" xr:uid="{E1869A71-E25C-4A4B-8FC0-C7D4F6084FA1}"/>
    <hyperlink ref="H57" r:id="rId56" xr:uid="{5D8348D8-E91C-4960-A360-BAEC1847B9D9}"/>
    <hyperlink ref="H58" r:id="rId57" xr:uid="{22AEBFC9-CA88-4C7C-9A24-5996471A600F}"/>
    <hyperlink ref="H60" r:id="rId58" xr:uid="{D7FD0AAB-BFFF-4532-B264-CA9212BF3F89}"/>
    <hyperlink ref="H59" r:id="rId59" xr:uid="{9061FE0D-8311-457F-BDCC-FBE488CC29B7}"/>
    <hyperlink ref="H61" r:id="rId60" xr:uid="{4C9DEEEB-696B-4662-BC58-0E71B18C7B01}"/>
    <hyperlink ref="H62" r:id="rId61" xr:uid="{1A9B2C7A-075E-4F9F-93F0-B80EC51367B6}"/>
    <hyperlink ref="H63" r:id="rId62" xr:uid="{81961715-9974-4B9E-946E-5CCD2FEE0133}"/>
    <hyperlink ref="H64" r:id="rId63" xr:uid="{E7A259D2-AB82-441C-B708-6A05EC5B95DC}"/>
    <hyperlink ref="H65" r:id="rId64" xr:uid="{A9DBADAE-5B0B-4595-8070-161A8A43FB2C}"/>
    <hyperlink ref="H66" r:id="rId65" xr:uid="{3C1AA9E9-B3A3-4E7E-9E89-8021EDE423BB}"/>
    <hyperlink ref="H67" r:id="rId66" xr:uid="{7B747FA0-7AD6-46E6-B313-EF2349AF9A31}"/>
    <hyperlink ref="H68" r:id="rId67" xr:uid="{4D017FD6-6654-4B7D-A6C6-4F56A6C3C70E}"/>
    <hyperlink ref="H69" r:id="rId68" xr:uid="{997906FB-955F-4BD4-81B2-55701A746788}"/>
    <hyperlink ref="H70" r:id="rId69" xr:uid="{8FFF696A-24FF-45D7-AD89-7CFAF771A843}"/>
    <hyperlink ref="H71" r:id="rId70" xr:uid="{B46FC5C3-0FCB-4919-B3C6-3C15A7DF05E7}"/>
    <hyperlink ref="H74" r:id="rId71" xr:uid="{730BF27F-21C1-4E98-8B76-D1B19AF6ED42}"/>
    <hyperlink ref="H73" r:id="rId72" xr:uid="{3B69AE48-A3C3-4119-BC54-6363F5BB5108}"/>
    <hyperlink ref="H72" r:id="rId73" xr:uid="{1710FDC0-4430-4577-B3DC-F74FAF840674}"/>
    <hyperlink ref="H75" r:id="rId74" xr:uid="{11284FC6-EBA3-45EA-8032-7B8CF5252391}"/>
    <hyperlink ref="H76" r:id="rId75" xr:uid="{7BABDA07-F196-485F-A9B4-776859B7BB69}"/>
    <hyperlink ref="H77" r:id="rId76" xr:uid="{A4E76694-C48B-4896-A007-055850DC9BFB}"/>
    <hyperlink ref="H78" r:id="rId77" xr:uid="{C3EFFEE0-E294-46FB-8397-11BA1BAACC75}"/>
    <hyperlink ref="H79" r:id="rId78" xr:uid="{234230FA-3A9D-4B83-9B8D-933454BC030E}"/>
    <hyperlink ref="H80" r:id="rId79" xr:uid="{738AAEDC-6CDB-4D52-902A-7F30D261D3D1}"/>
    <hyperlink ref="H81" r:id="rId80" xr:uid="{7E28D776-B789-4E74-986C-A5B6D443661A}"/>
    <hyperlink ref="H82" r:id="rId81" xr:uid="{22C78540-2AEF-41C2-B818-E280BAA9FAA2}"/>
    <hyperlink ref="H83" r:id="rId82" xr:uid="{55F39F18-163B-4A63-9942-F1A624275169}"/>
    <hyperlink ref="H84" r:id="rId83" xr:uid="{82038B54-80C7-4616-AFBF-DD74298EA91C}"/>
    <hyperlink ref="H85" r:id="rId84" xr:uid="{15350B30-DF6D-43AD-9134-26024E1C8E21}"/>
    <hyperlink ref="H86" r:id="rId85" xr:uid="{B38D12D6-1524-400A-8BB3-E0A5C5C19A91}"/>
    <hyperlink ref="H87" r:id="rId86" xr:uid="{C625F668-51AE-4F85-8D38-7A1D4E1B8087}"/>
    <hyperlink ref="H90" r:id="rId87" xr:uid="{5C937606-0FA9-41CE-A086-AD10C11495DC}"/>
    <hyperlink ref="H89" r:id="rId88" xr:uid="{0A838802-26F8-40BB-92DE-D0A0F69841EF}"/>
    <hyperlink ref="H92" r:id="rId89" xr:uid="{FBEE72C4-246B-4B9D-A8C9-1511DCE9C753}"/>
    <hyperlink ref="H91" r:id="rId90" xr:uid="{A8651E21-BDDD-44DF-811D-824B57082C2A}"/>
    <hyperlink ref="H93" r:id="rId91" xr:uid="{2099D943-7773-490C-AC0F-4AEC031519C5}"/>
    <hyperlink ref="H94" r:id="rId92" xr:uid="{8610010A-1878-43B6-B7BD-DB3DC2104C1A}"/>
    <hyperlink ref="H96" r:id="rId93" xr:uid="{BB56FD08-FCB1-4745-A9F0-D9AA05634ABA}"/>
    <hyperlink ref="H97" r:id="rId94" xr:uid="{697C2EA8-6277-4BD4-BBCC-C4C26AEADEC7}"/>
    <hyperlink ref="H98" r:id="rId95" xr:uid="{3B090C18-0DC1-4813-9E45-F2F4228C1396}"/>
    <hyperlink ref="H99" r:id="rId96" xr:uid="{9681089E-120D-4B95-B597-A90BD10668AE}"/>
    <hyperlink ref="H101" r:id="rId97" xr:uid="{16578548-270A-42AF-96D7-03F4ED8E1F82}"/>
    <hyperlink ref="H107" r:id="rId98" xr:uid="{F1EFD260-F631-46B8-AF89-4507D67EF4CC}"/>
    <hyperlink ref="H102" r:id="rId99" xr:uid="{A2FADAB8-67FF-4B12-8790-39AAF494B816}"/>
    <hyperlink ref="H106" r:id="rId100" xr:uid="{89A874FB-3F1D-4CE7-B892-53A486D73607}"/>
    <hyperlink ref="H104" r:id="rId101" xr:uid="{F269A49E-B5E2-433D-A0F1-84485800201C}"/>
    <hyperlink ref="H105" r:id="rId102" xr:uid="{F6FD8BEF-7B41-4947-A1FA-CDFF235FA737}"/>
    <hyperlink ref="H103" r:id="rId103" xr:uid="{AFCF34C0-9B5C-4BFD-AEE1-E1AEE567CBE2}"/>
    <hyperlink ref="H108" r:id="rId104" xr:uid="{AA8068C8-2622-49BA-A0CF-7C6E03C450DB}"/>
    <hyperlink ref="H109" r:id="rId105" xr:uid="{8978C581-2038-4596-B413-2C82B96FD9DE}"/>
    <hyperlink ref="H110" r:id="rId106" xr:uid="{E6FDD12F-93E8-4F4D-A54C-77AFE1331A73}"/>
    <hyperlink ref="H111" r:id="rId107" xr:uid="{C9F84766-04E9-4455-9646-0F5E4C513D5F}"/>
    <hyperlink ref="H112" r:id="rId108" xr:uid="{86E2BEC3-5D4E-4C18-B02D-662BD0110EA2}"/>
    <hyperlink ref="H113" r:id="rId109" xr:uid="{1475B2C9-75A4-4C41-87DD-3F4A64293A6B}"/>
    <hyperlink ref="H114" r:id="rId110" xr:uid="{2C3EA3B2-E59B-4F0B-9224-72495149B869}"/>
    <hyperlink ref="H115" r:id="rId111" xr:uid="{E55D376F-C667-4EE2-B479-DC854AAFB815}"/>
    <hyperlink ref="H116" r:id="rId112" xr:uid="{7EF0DB3B-FF46-4402-BFD6-328A0BF34790}"/>
    <hyperlink ref="H117" r:id="rId113" xr:uid="{1FDA8F36-6F12-4B45-8013-E8468565AB69}"/>
    <hyperlink ref="H118" r:id="rId114" xr:uid="{6B3492AF-DD15-4398-9848-29445337ADAB}"/>
    <hyperlink ref="H119" r:id="rId115" xr:uid="{14155E30-B97E-4BC0-919C-ABE5400E8775}"/>
    <hyperlink ref="H122" r:id="rId116" xr:uid="{A7083D96-ACD7-4DB7-8E28-C7384E002C67}"/>
    <hyperlink ref="H120" r:id="rId117" xr:uid="{5D9CB607-B450-4F07-8792-4832C9DB45AA}"/>
    <hyperlink ref="H124" r:id="rId118" xr:uid="{A0D0DF57-3E60-475D-98B6-EA2DAB80D8AE}"/>
    <hyperlink ref="H125" r:id="rId119" xr:uid="{A4B47D6E-20C7-4B3D-AEBE-DCAEDEB4F316}"/>
    <hyperlink ref="H126" r:id="rId120" xr:uid="{59CC1218-C189-4FB6-88C7-53836C9A5615}"/>
    <hyperlink ref="H128" r:id="rId121" xr:uid="{B0AFA1A0-DFD5-4055-B9C4-1D00726FDE6B}"/>
    <hyperlink ref="H130" r:id="rId122" xr:uid="{FC83D6C5-97CA-4B5B-9691-017319E3E4EB}"/>
    <hyperlink ref="H131" r:id="rId123" xr:uid="{699D3A9F-8A3C-410F-96E7-0E544AD9550B}"/>
    <hyperlink ref="H137" r:id="rId124" xr:uid="{E978C7BC-2BC8-42A6-8E01-2EA69E369882}"/>
    <hyperlink ref="H134" r:id="rId125" xr:uid="{8674DAC9-7D6F-4192-9EA8-D3FA16ABCC1D}"/>
    <hyperlink ref="H133" r:id="rId126" xr:uid="{A7CD88FC-C254-471B-B169-D45F6254B933}"/>
    <hyperlink ref="H132" r:id="rId127" xr:uid="{80C2CC08-B136-4400-96DD-9F7192A46C9E}"/>
    <hyperlink ref="H138" r:id="rId128" xr:uid="{958D6226-DA6B-4B07-869B-34E03A0FC806}"/>
    <hyperlink ref="H139" r:id="rId129" xr:uid="{E0DE4DB3-1CA6-4716-BAAB-CA1142624DA9}"/>
    <hyperlink ref="H140" r:id="rId130" xr:uid="{5E3F7022-2C42-40CC-B814-FCA83B64D485}"/>
    <hyperlink ref="H141" r:id="rId131" xr:uid="{260B7651-D6B1-48A3-A55E-33EFB9312C11}"/>
    <hyperlink ref="H144" r:id="rId132" xr:uid="{A3E0A3DC-1CB2-4C16-A013-967F0274102B}"/>
    <hyperlink ref="H145" r:id="rId133" xr:uid="{0421956A-6439-4805-A78D-F0950A3F91EE}"/>
    <hyperlink ref="H147" r:id="rId134" xr:uid="{C9D19741-953D-439E-9610-88B21428CE70}"/>
    <hyperlink ref="H148" r:id="rId135" xr:uid="{2914A44A-715D-4C7F-BC94-5DF314AA145C}"/>
    <hyperlink ref="H149" r:id="rId136" xr:uid="{DF62EA7C-0300-44AC-8B42-83EA2A54725E}"/>
    <hyperlink ref="H150" r:id="rId137" xr:uid="{860B2E7A-2E2D-4598-8D7A-18A6C1820AA2}"/>
    <hyperlink ref="H151" r:id="rId138" xr:uid="{F3ABB536-06AD-4BDE-A94C-9C512FF29749}"/>
    <hyperlink ref="H152" r:id="rId139" xr:uid="{B818D762-15F2-4854-BF61-70DFE1DCB7F8}"/>
    <hyperlink ref="H153" r:id="rId140" xr:uid="{55B3584C-45C3-48C5-9527-EC70F7CB3C9A}"/>
    <hyperlink ref="H154" r:id="rId141" xr:uid="{1E1D95D7-F0CF-4D88-AC75-70595C8F52DB}"/>
    <hyperlink ref="H155" r:id="rId142" xr:uid="{084E82F9-7417-4AD3-988A-23F23E3CFBA1}"/>
    <hyperlink ref="H157" r:id="rId143" xr:uid="{0D92C663-9AEA-43F6-B1B9-2F0E76A7F196}"/>
    <hyperlink ref="H158" r:id="rId144" xr:uid="{977C4BFD-A071-42BD-8F84-38398552305B}"/>
    <hyperlink ref="H159" r:id="rId145" xr:uid="{809D95EA-2515-4796-9514-7159E7A7D125}"/>
    <hyperlink ref="H167" r:id="rId146" xr:uid="{44D09F2F-3FC6-4884-9FBB-01F7A21356A6}"/>
    <hyperlink ref="H169" r:id="rId147" xr:uid="{F6DB0928-0CF2-4693-BEF2-65C17C49232F}"/>
    <hyperlink ref="H171" r:id="rId148" xr:uid="{7C83D9FD-FA62-4FB8-BD38-221B6CA63133}"/>
    <hyperlink ref="H172" r:id="rId149" xr:uid="{41191D5B-F872-409B-BFC9-3764178982E3}"/>
    <hyperlink ref="H183" r:id="rId150" xr:uid="{23523C8E-5411-4FB8-B4CD-51653D108EC7}"/>
    <hyperlink ref="H186" r:id="rId151" xr:uid="{E9941716-6B5A-4C8E-8727-962706800534}"/>
    <hyperlink ref="H197" r:id="rId152" xr:uid="{DAD568FF-C005-4A7C-821E-323E5AB3622F}"/>
    <hyperlink ref="H219" r:id="rId153" xr:uid="{603F95EB-AB69-45CD-8B7F-78376EA3D4BA}"/>
    <hyperlink ref="H228" r:id="rId154" xr:uid="{CD34A21B-0694-47ED-830D-0D71649AFC2D}"/>
    <hyperlink ref="H241" r:id="rId155" xr:uid="{BC2197CC-3998-4E4D-99AF-E2EFBEF07192}"/>
    <hyperlink ref="H392" r:id="rId156" xr:uid="{153D5E3C-824B-4467-B976-6A8ED5CC3BC1}"/>
    <hyperlink ref="H399" r:id="rId157" xr:uid="{41318DC2-93E6-4071-BDCE-43632360AB71}"/>
    <hyperlink ref="H417" r:id="rId158" xr:uid="{42B2D483-DBFB-496A-B6D6-6929A6824148}"/>
    <hyperlink ref="H419" r:id="rId159" xr:uid="{BAC3ABF3-96C6-4F1A-9D7E-27BD80FA7779}"/>
    <hyperlink ref="H446" r:id="rId160" xr:uid="{CB1C2809-0C60-445D-91DA-8E1B0B877B02}"/>
    <hyperlink ref="H447" r:id="rId161" xr:uid="{03746837-A974-44FF-8E1D-6835F58D7FA5}"/>
    <hyperlink ref="H448" r:id="rId162" xr:uid="{542ACD10-A817-4069-8ECE-5427C79B786A}"/>
    <hyperlink ref="H450" r:id="rId163" xr:uid="{FBBA609E-9E14-4D34-B2B3-D391BAB1511B}"/>
    <hyperlink ref="H449" r:id="rId164" xr:uid="{E671517A-318F-4E5F-A0D7-D69E550A222E}"/>
    <hyperlink ref="H451" r:id="rId165" xr:uid="{A3530E43-569C-4523-A88A-50B726411586}"/>
    <hyperlink ref="H452" r:id="rId166" xr:uid="{9F113C91-5B60-4C04-9E13-43E80FA5B523}"/>
    <hyperlink ref="H453" r:id="rId167" xr:uid="{5CA2BD3B-2610-449F-A80E-44E6C5AB6826}"/>
    <hyperlink ref="H454" r:id="rId168" xr:uid="{34057928-0EED-4FB9-93EA-E92698669F69}"/>
    <hyperlink ref="H455" r:id="rId169" xr:uid="{5B72D355-BF50-44E0-B0FE-70FA0F31BB0C}"/>
    <hyperlink ref="H460" r:id="rId170" xr:uid="{E373F28A-C035-4E2F-83C4-5F650C8C0061}"/>
    <hyperlink ref="H459" r:id="rId171" xr:uid="{1A2D577F-65F4-453D-BCA5-D78630CED595}"/>
    <hyperlink ref="H461" r:id="rId172" xr:uid="{C57150B3-41B9-44F4-A857-D18679CB9A4B}"/>
    <hyperlink ref="H464" r:id="rId173" xr:uid="{FC5B2EF3-6466-476D-B5CE-DC62EC18FBA9}"/>
    <hyperlink ref="H465" r:id="rId174" xr:uid="{2B45B95F-5BF4-46C6-80B9-23A616A76F85}"/>
    <hyperlink ref="H466" r:id="rId175" xr:uid="{28639083-B77F-45A8-BC15-7F04C90DB152}"/>
    <hyperlink ref="H467" r:id="rId176" xr:uid="{4A607937-4D80-4879-A245-403BC97DF509}"/>
    <hyperlink ref="H472" r:id="rId177" xr:uid="{FC92D48B-CA36-421C-BFBB-7E039DB13794}"/>
    <hyperlink ref="H473" r:id="rId178" xr:uid="{EC15C83F-6A5D-4806-A582-3E91C6012988}"/>
    <hyperlink ref="H471" r:id="rId179" xr:uid="{96A761CE-1518-4D4C-851C-B09F857B2B27}"/>
    <hyperlink ref="H469" r:id="rId180" xr:uid="{9BF231A2-1B5F-4129-B5C5-F2149D13AC62}"/>
    <hyperlink ref="H468" r:id="rId181" xr:uid="{AFB8585B-F79F-4F2B-AFF3-78A881D8C52C}"/>
    <hyperlink ref="H474" r:id="rId182" xr:uid="{94529424-AD9F-4554-A380-951E5EE826CD}"/>
    <hyperlink ref="H476" r:id="rId183" xr:uid="{962E468F-597B-409F-9577-A9B06A8A7393}"/>
    <hyperlink ref="H475" r:id="rId184" xr:uid="{8661153E-201F-4D74-A610-1C36CC7182B1}"/>
    <hyperlink ref="H477" r:id="rId185" xr:uid="{1A8DB606-0A46-4B22-9BAF-363F7604EE8B}"/>
    <hyperlink ref="H479" r:id="rId186" xr:uid="{33B8DD11-3D7A-42F7-9E99-F29B0EF7CC69}"/>
    <hyperlink ref="H478" r:id="rId187" xr:uid="{3ED08D60-1137-49FC-A616-2778E1935AA3}"/>
    <hyperlink ref="H480" r:id="rId188" xr:uid="{02276BCA-72EF-424E-9F48-00BB2CFBA72C}"/>
    <hyperlink ref="H486" r:id="rId189" xr:uid="{D0FECC99-860B-4063-A94D-92714359EF97}"/>
    <hyperlink ref="H485" r:id="rId190" xr:uid="{286E9EB6-4248-4588-8F34-7D0699D5A2C4}"/>
    <hyperlink ref="H484" r:id="rId191" xr:uid="{81BB13AB-5896-4D92-99E4-7C06AAD27736}"/>
    <hyperlink ref="H483" r:id="rId192" xr:uid="{70B462E3-17C2-42E4-8B6A-EABC45A992C9}"/>
    <hyperlink ref="H481" r:id="rId193" xr:uid="{37ECDEB0-B2BB-4596-8F98-AB748E97482B}"/>
    <hyperlink ref="H482" r:id="rId194" xr:uid="{9D254B3E-DE8E-4ED9-B207-C27E9513BDEB}"/>
    <hyperlink ref="H487" r:id="rId195" xr:uid="{E5FC833D-BF04-4283-A8CD-8F91BFAC26E1}"/>
    <hyperlink ref="H498" r:id="rId196" xr:uid="{C6734A20-956F-4E5F-A338-C0004E8D2A52}"/>
    <hyperlink ref="H497" r:id="rId197" xr:uid="{8DAE284D-1009-4A8A-87BA-553A5CA3DD6D}"/>
    <hyperlink ref="H496" r:id="rId198" xr:uid="{B89AF1FF-6D52-4DDB-8890-1E510A9A410B}"/>
    <hyperlink ref="H495" r:id="rId199" xr:uid="{B65BF300-5E6B-4952-A7FC-D5654AE8771E}"/>
    <hyperlink ref="H494" r:id="rId200" xr:uid="{B6935A18-4A03-45AE-A29A-7FBA498B8532}"/>
    <hyperlink ref="H493" r:id="rId201" xr:uid="{D191D4DE-CDE0-4347-9F38-2D3A9BF6198C}"/>
    <hyperlink ref="H488" r:id="rId202" xr:uid="{8E0DCDC5-0CE8-47F3-9CBC-F30C922D60A8}"/>
    <hyperlink ref="H489" r:id="rId203" xr:uid="{04F20127-FC52-4CB4-9BB5-D991578FAE6A}"/>
    <hyperlink ref="H490" r:id="rId204" xr:uid="{C58CA233-B3E9-4061-BE93-73A7EE426492}"/>
    <hyperlink ref="H491" r:id="rId205" xr:uid="{734DBAC4-54C4-4753-BF80-C8853B3C1CF7}"/>
    <hyperlink ref="H492" r:id="rId206" xr:uid="{9FDE599A-0BD2-44DF-B342-F1EA96ED8AAE}"/>
    <hyperlink ref="H499" r:id="rId207" xr:uid="{86FE1650-6504-4FAE-A12B-2F5289251B70}"/>
    <hyperlink ref="H500" r:id="rId208" xr:uid="{87651A8C-A907-4C84-844D-2D17DCDEE948}"/>
    <hyperlink ref="H501" r:id="rId209" xr:uid="{502F7CC5-84E2-4971-BDDB-B5FA7DF174BC}"/>
    <hyperlink ref="H502" r:id="rId210" xr:uid="{A5B24508-C121-4332-8E58-6E6C861232A1}"/>
    <hyperlink ref="H503" r:id="rId211" xr:uid="{FF52687D-A2BF-4603-9A85-3323751966B6}"/>
    <hyperlink ref="H504" r:id="rId212" xr:uid="{291924FE-DD78-49AC-B740-581722A95506}"/>
    <hyperlink ref="H505" r:id="rId213" xr:uid="{70A133BE-768F-4151-BA4D-197D410C591D}"/>
    <hyperlink ref="H506" r:id="rId214" xr:uid="{2A65E100-98BB-4AC9-B708-EBD0C62B5686}"/>
    <hyperlink ref="H507" r:id="rId215" xr:uid="{49C63C1B-3167-49B1-88F2-FAF5023AB950}"/>
    <hyperlink ref="H508" r:id="rId216" xr:uid="{2D02EB60-96E5-4B05-91AD-60F8CA44BB3B}"/>
    <hyperlink ref="H509" r:id="rId217" xr:uid="{8C4D8644-B880-4FDE-8537-C21048C1E466}"/>
    <hyperlink ref="H510" r:id="rId218" xr:uid="{09C9A8A0-244D-414C-9E18-007CC8B8CBB6}"/>
    <hyperlink ref="H425" r:id="rId219" xr:uid="{B9F4B519-7CB3-42B2-A135-02D9D9ADD678}"/>
    <hyperlink ref="H511" r:id="rId220" xr:uid="{6C0CEFF3-BE16-489D-953B-C6AD8DEBF862}"/>
    <hyperlink ref="H512" r:id="rId221" xr:uid="{0CDFE5C3-4890-4654-9034-F68D87637D24}"/>
    <hyperlink ref="H513" r:id="rId222" xr:uid="{227F6B47-2B95-4D2C-9881-4ACA3D286F55}"/>
    <hyperlink ref="H516" r:id="rId223" xr:uid="{2C684167-3791-48F6-9BAD-0095A35946A7}"/>
    <hyperlink ref="H517" r:id="rId224" xr:uid="{198F4A88-D022-4E78-B9F6-F4B7948FEE17}"/>
    <hyperlink ref="H514" r:id="rId225" xr:uid="{31E890BB-DA6C-4372-8398-738732E85E23}"/>
    <hyperlink ref="H515" r:id="rId226" xr:uid="{97CF2B7C-E4BD-4B36-9E46-E5B9256B0FAE}"/>
    <hyperlink ref="H518" r:id="rId227" xr:uid="{AAD23FBF-6C9A-479B-B569-D8DC4BFAC488}"/>
    <hyperlink ref="H519" r:id="rId228" xr:uid="{5842DE9B-7DCD-460C-97A5-3B298757B1E4}"/>
  </hyperlinks>
  <pageMargins left="0.7" right="0.7" top="0.75" bottom="0.75" header="0.3" footer="0.3"/>
  <pageSetup orientation="portrait" r:id="rId229"/>
  <tableParts count="1">
    <tablePart r:id="rId2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E755-C4ED-4314-81A1-7CADA3F3361A}">
  <dimension ref="A1:C13"/>
  <sheetViews>
    <sheetView workbookViewId="0">
      <selection activeCell="C20" sqref="C20"/>
    </sheetView>
  </sheetViews>
  <sheetFormatPr defaultRowHeight="14.4" x14ac:dyDescent="0.3"/>
  <cols>
    <col min="1" max="1" width="24.33203125" customWidth="1"/>
    <col min="2" max="2" width="23.33203125" customWidth="1"/>
    <col min="3" max="3" width="19.44140625" customWidth="1"/>
  </cols>
  <sheetData>
    <row r="1" spans="1:3" x14ac:dyDescent="0.3">
      <c r="A1" t="s">
        <v>620</v>
      </c>
      <c r="B1" t="s">
        <v>3</v>
      </c>
      <c r="C1" t="s">
        <v>621</v>
      </c>
    </row>
    <row r="2" spans="1:3" x14ac:dyDescent="0.3">
      <c r="A2" t="s">
        <v>622</v>
      </c>
      <c r="B2" cm="1">
        <f t="array" ref="B2">MIN(IF('[1]Kris''s Streak'!M2:'[1]Kris''s Streak'!M843&lt;&gt;"Track Workout",IF('[1]Kris''s Streak'!C2:'[1]Kris''s Streak'!C843&gt;3,'[1]Kris''s Streak'!E2:'[1]Kris''s Streak'!E843), 898))</f>
        <v>392</v>
      </c>
      <c r="C2" s="4" t="str">
        <f>CONCATENATE(ROUNDDOWN(B2/60,0),":",IF(ROUNDDOWN(B2-ROUNDDOWN(B2/60,0)*60,0)&gt;=10,ROUNDDOWN(B2-ROUNDDOWN(B2/60,0)*60,0),CONCATENATE("0",ROUNDDOWN(B2-ROUNDDOWN(B2/60,0)*60,0))))</f>
        <v>6:32</v>
      </c>
    </row>
    <row r="3" spans="1:3" x14ac:dyDescent="0.3">
      <c r="A3" t="s">
        <v>623</v>
      </c>
      <c r="B3" cm="1">
        <f t="array" ref="B3">MIN(IF('[1]Kris''s Streak'!M3:'[1]Kris''s Streak'!M844&lt;&gt;"Track Workout",IF('[1]Kris''s Streak'!C3:'[1]Kris''s Streak'!C844&gt;3,'[1]Kris''s Streak'!E3:'[1]Kris''s Streak'!E844), 898))</f>
        <v>392</v>
      </c>
      <c r="C3" s="4" t="str">
        <f t="shared" ref="C3:C5" si="0">CONCATENATE(ROUNDDOWN(B3/60,0),":",IF(ROUNDDOWN(B3-ROUNDDOWN(B3/60,0)*60,0)&gt;=10,ROUNDDOWN(B3-ROUNDDOWN(B3/60,0)*60,0),CONCATENATE("0",ROUNDDOWN(B3-ROUNDDOWN(B3/60,0)*60,0))))</f>
        <v>6:32</v>
      </c>
    </row>
    <row r="4" spans="1:3" x14ac:dyDescent="0.3">
      <c r="A4" t="s">
        <v>624</v>
      </c>
      <c r="B4" cm="1">
        <f t="array" ref="B4">MIN(IF('[1]Kris''s Streak'!M2:'[1]Kris''s Streak'!M843&lt;&gt;"Track Workout",IF('[1]Kris''s Streak'!C2:'[1]Kris''s Streak'!C843&gt;4,'[1]Kris''s Streak'!E2:'[1]Kris''s Streak'!E843), 898))</f>
        <v>413</v>
      </c>
      <c r="C4" s="4" t="str">
        <f t="shared" si="0"/>
        <v>6:53</v>
      </c>
    </row>
    <row r="5" spans="1:3" x14ac:dyDescent="0.3">
      <c r="A5" t="s">
        <v>625</v>
      </c>
      <c r="B5" cm="1">
        <f t="array" ref="B5">MIN(IF('[1]Kris''s Streak'!C2:'[1]Kris''s Streak'!C843&gt;5,'[1]Kris''s Streak'!E2:'[1]Kris''s Streak'!E843))</f>
        <v>435</v>
      </c>
      <c r="C5" s="4" t="str">
        <f t="shared" si="0"/>
        <v>7:15</v>
      </c>
    </row>
    <row r="6" spans="1:3" x14ac:dyDescent="0.3">
      <c r="A6" t="s">
        <v>626</v>
      </c>
      <c r="B6" cm="1">
        <f t="array" ref="B6">MIN(IF('[1]Kris''s Streak'!C2:'[1]Kris''s Streak'!C843&gt;6.21,'[1]Kris''s Streak'!E2:'[1]Kris''s Streak'!E843))</f>
        <v>435</v>
      </c>
      <c r="C6" s="4" t="str">
        <f>CONCATENATE(ROUNDDOWN(B6/60,0),":",IF(ROUNDDOWN(B6-ROUNDDOWN(B6/60,0)*60,0)&gt;=10,ROUNDDOWN(B6-ROUNDDOWN(B6/60,0)*60,0),CONCATENATE("0",ROUNDDOWN(B6-ROUNDDOWN(B6/60,0)*60,0))))</f>
        <v>7:15</v>
      </c>
    </row>
    <row r="7" spans="1:3" x14ac:dyDescent="0.3">
      <c r="A7" t="s">
        <v>627</v>
      </c>
      <c r="B7" cm="1">
        <f t="array" ref="B7">MIN(IF('[1]Kris''s Streak'!C2:'[1]Kris''s Streak'!C843&gt;9.32,'[1]Kris''s Streak'!E2:'[1]Kris''s Streak'!E843))</f>
        <v>438</v>
      </c>
      <c r="C7" s="4" t="str">
        <f>CONCATENATE(ROUNDDOWN(B7/60,0),":",IF(ROUNDDOWN(B7-ROUNDDOWN(B7/60,0)*60,0)&gt;=10,ROUNDDOWN(B7-ROUNDDOWN(B7/60,0)*60,0),CONCATENATE("0",ROUNDDOWN(B7-ROUNDDOWN(B7/60,0)*60,0))))</f>
        <v>7:18</v>
      </c>
    </row>
    <row r="8" spans="1:3" x14ac:dyDescent="0.3">
      <c r="A8" t="s">
        <v>628</v>
      </c>
      <c r="B8" cm="1">
        <f t="array" ref="B8">MIN(IF('[1]Kris''s Streak'!C2:'[1]Kris''s Streak'!C843&gt;10,'[1]Kris''s Streak'!E2:'[1]Kris''s Streak'!E843))</f>
        <v>438</v>
      </c>
      <c r="C8" s="4" t="str">
        <f t="shared" ref="C8:C13" si="1">CONCATENATE(ROUNDDOWN(B8/60,0),":",IF(ROUNDDOWN(B8-ROUNDDOWN(B8/60,0)*60,0)&gt;=10,ROUNDDOWN(B8-ROUNDDOWN(B8/60,0)*60,0),CONCATENATE("0",ROUNDDOWN(B8-ROUNDDOWN(B8/60,0)*60,0))))</f>
        <v>7:18</v>
      </c>
    </row>
    <row r="9" spans="1:3" x14ac:dyDescent="0.3">
      <c r="A9" t="s">
        <v>629</v>
      </c>
      <c r="B9" cm="1">
        <f t="array" ref="B9">MIN(IF('[1]Kris''s Streak'!C2:'[1]Kris''s Streak'!C843&gt;13.1,'[1]Kris''s Streak'!E2:'[1]Kris''s Streak'!E843))</f>
        <v>476</v>
      </c>
      <c r="C9" s="4" t="str">
        <f t="shared" si="1"/>
        <v>7:56</v>
      </c>
    </row>
    <row r="10" spans="1:3" x14ac:dyDescent="0.3">
      <c r="A10" t="s">
        <v>630</v>
      </c>
      <c r="B10" cm="1">
        <f t="array" ref="B10">MIN(IF('[1]Kris''s Streak'!C2:'[1]Kris''s Streak'!C843&gt;15,'[1]Kris''s Streak'!E2:'[1]Kris''s Streak'!E843))</f>
        <v>513</v>
      </c>
      <c r="C10" s="4" t="str">
        <f t="shared" si="1"/>
        <v>8:33</v>
      </c>
    </row>
    <row r="11" spans="1:3" x14ac:dyDescent="0.3">
      <c r="A11" t="s">
        <v>631</v>
      </c>
      <c r="B11" cm="1">
        <f t="array" ref="B11">MIN(IF('[1]Kris''s Streak'!C2:'[1]Kris''s Streak'!C843&gt;20,'[1]Kris''s Streak'!E2:'[1]Kris''s Streak'!E843))</f>
        <v>513</v>
      </c>
      <c r="C11" s="4" t="str">
        <f t="shared" si="1"/>
        <v>8:33</v>
      </c>
    </row>
    <row r="12" spans="1:3" x14ac:dyDescent="0.3">
      <c r="A12" t="s">
        <v>632</v>
      </c>
      <c r="B12" cm="1">
        <f t="array" ref="B12">MIN(IF('[1]Kris''s Streak'!C2:'[1]Kris''s Streak'!C843&gt;(26 + 385/1760),'[1]Kris''s Streak'!E2:'[1]Kris''s Streak'!E843))</f>
        <v>513</v>
      </c>
      <c r="C12" s="4" t="str">
        <f t="shared" si="1"/>
        <v>8:33</v>
      </c>
    </row>
    <row r="13" spans="1:3" x14ac:dyDescent="0.3">
      <c r="A13" t="s">
        <v>633</v>
      </c>
      <c r="B13">
        <f>(7*3600+57*60+20)/31.06856</f>
        <v>921.83223168373422</v>
      </c>
      <c r="C13" s="4" t="str">
        <f t="shared" si="1"/>
        <v>15:21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911E-825A-43AB-8E80-E7A5A9C4F651}">
  <dimension ref="A1"/>
  <sheetViews>
    <sheetView topLeftCell="A67" workbookViewId="0">
      <selection activeCell="V36" sqref="V3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518 Days of Running</vt:lpstr>
      <vt:lpstr>Personal Bests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Sooklal, Kristian</dc:creator>
  <cp:lastModifiedBy>Sooklal, Kristian</cp:lastModifiedBy>
  <dcterms:created xsi:type="dcterms:W3CDTF">2021-12-31T17:59:26Z</dcterms:created>
  <dcterms:modified xsi:type="dcterms:W3CDTF">2021-12-31T18:26:50Z</dcterms:modified>
</cp:coreProperties>
</file>