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.sooklal\Desktop\"/>
    </mc:Choice>
  </mc:AlternateContent>
  <xr:revisionPtr revIDLastSave="0" documentId="13_ncr:1_{77B09CC8-9F9E-4483-9A9E-15F356623B68}" xr6:coauthVersionLast="47" xr6:coauthVersionMax="47" xr10:uidLastSave="{00000000-0000-0000-0000-000000000000}"/>
  <bookViews>
    <workbookView xWindow="28680" yWindow="-120" windowWidth="29040" windowHeight="15840" tabRatio="883" xr2:uid="{2277DE42-9534-4CCF-8FCE-A6DD77CA1F59}"/>
  </bookViews>
  <sheets>
    <sheet name="Kris's Streak" sheetId="2" r:id="rId1"/>
    <sheet name="Average Pace Per Run" sheetId="4" r:id="rId2"/>
    <sheet name="Paces at Run Clubs" sheetId="16" r:id="rId3"/>
    <sheet name="Runs by Month" sheetId="20" r:id="rId4"/>
    <sheet name="Personal Records" sheetId="3" r:id="rId5"/>
    <sheet name="Port City" sheetId="12" r:id="rId6"/>
    <sheet name="Dudley's" sheetId="13" r:id="rId7"/>
    <sheet name="Murphy's" sheetId="19" r:id="rId8"/>
    <sheet name="New District" sheetId="14" r:id="rId9"/>
    <sheet name="Georgetown Running Company" sheetId="15" r:id="rId10"/>
    <sheet name="Run Route 1" sheetId="23" r:id="rId11"/>
    <sheet name="Astro Lab" sheetId="22" r:id="rId12"/>
    <sheet name="Shin Splints Pain" sheetId="21" r:id="rId13"/>
  </sheets>
  <definedNames>
    <definedName name="ExternalData_1" localSheetId="11" hidden="1">'Astro Lab'!$B$1:$O$12</definedName>
    <definedName name="ExternalData_1" localSheetId="6" hidden="1">'Dudley''s'!$B$1:$O$33</definedName>
    <definedName name="ExternalData_1" localSheetId="9" hidden="1">'Georgetown Running Company'!$A$1:$N$43</definedName>
    <definedName name="ExternalData_1" localSheetId="8" hidden="1">'New District'!$A$1:$N$46</definedName>
    <definedName name="ExternalData_1" localSheetId="5" hidden="1">'Port City'!$B$1:$O$63</definedName>
    <definedName name="ExternalData_1" localSheetId="10" hidden="1">'Run Route 1'!$A$1:$N$113</definedName>
    <definedName name="ExternalData_3" localSheetId="7" hidden="1">'Murphy''s'!$B$1:$O$71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0" l="1"/>
  <c r="A2" i="22"/>
  <c r="A3" i="22"/>
  <c r="A4" i="22"/>
  <c r="A5" i="22"/>
  <c r="A6" i="22"/>
  <c r="A7" i="22"/>
  <c r="A8" i="22"/>
  <c r="A9" i="22"/>
  <c r="A10" i="22"/>
  <c r="A11" i="22"/>
  <c r="A12" i="22"/>
  <c r="A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H518" i="2"/>
  <c r="G518" i="2"/>
  <c r="F518" i="2"/>
  <c r="H519" i="2"/>
  <c r="G519" i="2"/>
  <c r="F519" i="2"/>
  <c r="E519" i="2"/>
  <c r="D519" i="2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55" i="3" s="1"/>
  <c r="B42" i="3"/>
  <c r="E518" i="2"/>
  <c r="D518" i="2"/>
  <c r="H515" i="2"/>
  <c r="G515" i="2"/>
  <c r="F515" i="2"/>
  <c r="E515" i="2"/>
  <c r="D515" i="2"/>
  <c r="H514" i="2"/>
  <c r="G514" i="2"/>
  <c r="F514" i="2"/>
  <c r="E514" i="2"/>
  <c r="D514" i="2"/>
  <c r="H513" i="2"/>
  <c r="G513" i="2"/>
  <c r="F513" i="2"/>
  <c r="H517" i="2"/>
  <c r="G517" i="2"/>
  <c r="F517" i="2"/>
  <c r="E517" i="2"/>
  <c r="D517" i="2"/>
  <c r="H516" i="2"/>
  <c r="G516" i="2"/>
  <c r="F516" i="2"/>
  <c r="E516" i="2"/>
  <c r="D516" i="2"/>
  <c r="B62" i="3" l="1"/>
  <c r="B57" i="3"/>
  <c r="B59" i="3"/>
  <c r="B58" i="3"/>
  <c r="B60" i="3"/>
  <c r="B54" i="3"/>
  <c r="B50" i="3"/>
  <c r="B48" i="3"/>
  <c r="B45" i="3"/>
  <c r="B43" i="3"/>
  <c r="B56" i="3" s="1"/>
  <c r="B52" i="3"/>
  <c r="B47" i="3"/>
  <c r="E513" i="2"/>
  <c r="D513" i="2"/>
  <c r="F540" i="2"/>
  <c r="F536" i="2"/>
  <c r="F533" i="2"/>
  <c r="C522" i="2"/>
  <c r="H512" i="2"/>
  <c r="G512" i="2"/>
  <c r="F512" i="2"/>
  <c r="E512" i="2"/>
  <c r="D512" i="2"/>
  <c r="H511" i="2"/>
  <c r="G511" i="2"/>
  <c r="F511" i="2"/>
  <c r="E511" i="2"/>
  <c r="D511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H510" i="2"/>
  <c r="G510" i="2"/>
  <c r="F510" i="2"/>
  <c r="E510" i="2"/>
  <c r="D510" i="2"/>
  <c r="H509" i="2"/>
  <c r="G509" i="2"/>
  <c r="F509" i="2"/>
  <c r="E509" i="2"/>
  <c r="D509" i="2"/>
  <c r="H508" i="2"/>
  <c r="G508" i="2"/>
  <c r="F508" i="2"/>
  <c r="E508" i="2"/>
  <c r="D508" i="2"/>
  <c r="H507" i="2"/>
  <c r="G507" i="2"/>
  <c r="F507" i="2"/>
  <c r="E507" i="2"/>
  <c r="D507" i="2"/>
  <c r="H506" i="2"/>
  <c r="G506" i="2"/>
  <c r="F506" i="2"/>
  <c r="E506" i="2"/>
  <c r="D506" i="2"/>
  <c r="H505" i="2"/>
  <c r="G505" i="2"/>
  <c r="F505" i="2"/>
  <c r="E505" i="2"/>
  <c r="D505" i="2"/>
  <c r="G521" i="2" l="1"/>
  <c r="C521" i="2" s="1"/>
  <c r="C523" i="2" s="1"/>
  <c r="B53" i="3"/>
  <c r="B46" i="3"/>
  <c r="B51" i="3"/>
  <c r="B49" i="3"/>
  <c r="H504" i="2"/>
  <c r="G504" i="2"/>
  <c r="F504" i="2"/>
  <c r="E504" i="2"/>
  <c r="D504" i="2"/>
  <c r="H503" i="2"/>
  <c r="G503" i="2"/>
  <c r="F503" i="2"/>
  <c r="E503" i="2"/>
  <c r="D503" i="2"/>
  <c r="H502" i="2"/>
  <c r="G502" i="2"/>
  <c r="F502" i="2"/>
  <c r="E502" i="2"/>
  <c r="D502" i="2"/>
  <c r="H501" i="2"/>
  <c r="G501" i="2"/>
  <c r="F501" i="2"/>
  <c r="E501" i="2"/>
  <c r="D501" i="2"/>
  <c r="H500" i="2"/>
  <c r="G500" i="2"/>
  <c r="F500" i="2"/>
  <c r="E500" i="2"/>
  <c r="D500" i="2"/>
  <c r="H499" i="2"/>
  <c r="G499" i="2"/>
  <c r="F499" i="2"/>
  <c r="E499" i="2"/>
  <c r="D499" i="2"/>
  <c r="H492" i="2"/>
  <c r="G492" i="2"/>
  <c r="F492" i="2"/>
  <c r="E492" i="2"/>
  <c r="D492" i="2"/>
  <c r="H491" i="2"/>
  <c r="G491" i="2"/>
  <c r="F491" i="2"/>
  <c r="E491" i="2"/>
  <c r="D491" i="2"/>
  <c r="H490" i="2"/>
  <c r="G490" i="2"/>
  <c r="F490" i="2"/>
  <c r="E490" i="2"/>
  <c r="D490" i="2"/>
  <c r="H489" i="2"/>
  <c r="G489" i="2"/>
  <c r="F489" i="2"/>
  <c r="E489" i="2"/>
  <c r="D489" i="2"/>
  <c r="H488" i="2"/>
  <c r="G488" i="2"/>
  <c r="F488" i="2"/>
  <c r="E488" i="2"/>
  <c r="D488" i="2"/>
  <c r="H493" i="2"/>
  <c r="G493" i="2"/>
  <c r="F493" i="2"/>
  <c r="E493" i="2"/>
  <c r="D493" i="2"/>
  <c r="H494" i="2"/>
  <c r="G494" i="2"/>
  <c r="F494" i="2"/>
  <c r="E494" i="2"/>
  <c r="D494" i="2"/>
  <c r="H495" i="2"/>
  <c r="G495" i="2"/>
  <c r="F495" i="2"/>
  <c r="E495" i="2"/>
  <c r="D495" i="2"/>
  <c r="H496" i="2"/>
  <c r="G496" i="2"/>
  <c r="F496" i="2"/>
  <c r="E496" i="2"/>
  <c r="D496" i="2"/>
  <c r="H497" i="2"/>
  <c r="G497" i="2"/>
  <c r="F497" i="2"/>
  <c r="E497" i="2"/>
  <c r="D497" i="2"/>
  <c r="H498" i="2"/>
  <c r="G498" i="2"/>
  <c r="F498" i="2"/>
  <c r="E498" i="2"/>
  <c r="D498" i="2"/>
  <c r="H487" i="2" l="1"/>
  <c r="G487" i="2"/>
  <c r="F487" i="2"/>
  <c r="E487" i="2"/>
  <c r="D487" i="2"/>
  <c r="H482" i="2"/>
  <c r="G482" i="2"/>
  <c r="F482" i="2"/>
  <c r="E482" i="2"/>
  <c r="D482" i="2"/>
  <c r="H481" i="2"/>
  <c r="G481" i="2"/>
  <c r="F481" i="2"/>
  <c r="E481" i="2"/>
  <c r="D481" i="2"/>
  <c r="E483" i="2"/>
  <c r="F483" i="2"/>
  <c r="G483" i="2"/>
  <c r="H483" i="2"/>
  <c r="D483" i="2"/>
  <c r="H484" i="2"/>
  <c r="G484" i="2"/>
  <c r="F484" i="2"/>
  <c r="E484" i="2"/>
  <c r="D484" i="2"/>
  <c r="H485" i="2"/>
  <c r="G485" i="2"/>
  <c r="F485" i="2"/>
  <c r="E485" i="2"/>
  <c r="D485" i="2"/>
  <c r="H486" i="2"/>
  <c r="G486" i="2"/>
  <c r="F486" i="2"/>
  <c r="E486" i="2"/>
  <c r="D486" i="2"/>
  <c r="H480" i="2"/>
  <c r="G480" i="2"/>
  <c r="F480" i="2"/>
  <c r="E480" i="2"/>
  <c r="D480" i="2"/>
  <c r="H478" i="2"/>
  <c r="E478" i="2"/>
  <c r="F478" i="2"/>
  <c r="G478" i="2"/>
  <c r="D478" i="2"/>
  <c r="H479" i="2"/>
  <c r="G479" i="2"/>
  <c r="F479" i="2"/>
  <c r="E479" i="2"/>
  <c r="D479" i="2"/>
  <c r="H477" i="2"/>
  <c r="G477" i="2"/>
  <c r="F477" i="2"/>
  <c r="E477" i="2"/>
  <c r="D477" i="2"/>
  <c r="H475" i="2"/>
  <c r="G475" i="2"/>
  <c r="F475" i="2"/>
  <c r="E475" i="2"/>
  <c r="D475" i="2"/>
  <c r="H476" i="2"/>
  <c r="G476" i="2"/>
  <c r="F476" i="2"/>
  <c r="E476" i="2"/>
  <c r="D476" i="2"/>
  <c r="H474" i="2"/>
  <c r="G474" i="2"/>
  <c r="F474" i="2"/>
  <c r="E474" i="2"/>
  <c r="D474" i="2"/>
  <c r="H468" i="2"/>
  <c r="G468" i="2"/>
  <c r="F468" i="2"/>
  <c r="E468" i="2"/>
  <c r="D468" i="2"/>
  <c r="H469" i="2"/>
  <c r="G469" i="2"/>
  <c r="F469" i="2"/>
  <c r="E469" i="2"/>
  <c r="D469" i="2"/>
  <c r="H470" i="2"/>
  <c r="G470" i="2"/>
  <c r="F470" i="2"/>
  <c r="E470" i="2"/>
  <c r="D470" i="2"/>
  <c r="H471" i="2"/>
  <c r="G471" i="2"/>
  <c r="F471" i="2"/>
  <c r="E471" i="2"/>
  <c r="D471" i="2"/>
  <c r="H473" i="2"/>
  <c r="G473" i="2"/>
  <c r="F473" i="2"/>
  <c r="E473" i="2"/>
  <c r="D473" i="2"/>
  <c r="H472" i="2"/>
  <c r="G472" i="2"/>
  <c r="F472" i="2"/>
  <c r="E472" i="2"/>
  <c r="D472" i="2"/>
  <c r="H467" i="2"/>
  <c r="G467" i="2"/>
  <c r="F467" i="2"/>
  <c r="E467" i="2"/>
  <c r="D467" i="2"/>
  <c r="H466" i="2"/>
  <c r="G466" i="2"/>
  <c r="F466" i="2"/>
  <c r="E466" i="2"/>
  <c r="D466" i="2"/>
  <c r="H465" i="2"/>
  <c r="G465" i="2"/>
  <c r="F465" i="2"/>
  <c r="E465" i="2"/>
  <c r="D465" i="2"/>
  <c r="H464" i="2"/>
  <c r="G464" i="2"/>
  <c r="F464" i="2"/>
  <c r="E464" i="2"/>
  <c r="D464" i="2"/>
  <c r="H462" i="2"/>
  <c r="G462" i="2"/>
  <c r="F462" i="2"/>
  <c r="E462" i="2"/>
  <c r="D462" i="2"/>
  <c r="H463" i="2"/>
  <c r="G463" i="2"/>
  <c r="F463" i="2"/>
  <c r="E463" i="2"/>
  <c r="D463" i="2"/>
  <c r="H461" i="2" l="1"/>
  <c r="G461" i="2"/>
  <c r="F461" i="2"/>
  <c r="E461" i="2"/>
  <c r="D461" i="2"/>
  <c r="H457" i="2"/>
  <c r="G457" i="2"/>
  <c r="F457" i="2"/>
  <c r="E457" i="2"/>
  <c r="D457" i="2"/>
  <c r="H458" i="2"/>
  <c r="G458" i="2"/>
  <c r="F458" i="2"/>
  <c r="E458" i="2"/>
  <c r="D458" i="2"/>
  <c r="H456" i="2"/>
  <c r="G456" i="2"/>
  <c r="F456" i="2"/>
  <c r="E456" i="2"/>
  <c r="D456" i="2"/>
  <c r="H459" i="2"/>
  <c r="G459" i="2"/>
  <c r="F459" i="2"/>
  <c r="E459" i="2"/>
  <c r="D459" i="2"/>
  <c r="H460" i="2"/>
  <c r="G460" i="2"/>
  <c r="F460" i="2"/>
  <c r="E460" i="2"/>
  <c r="D460" i="2"/>
  <c r="H453" i="2"/>
  <c r="G453" i="2"/>
  <c r="F453" i="2"/>
  <c r="D453" i="2"/>
  <c r="E453" i="2"/>
  <c r="H455" i="2"/>
  <c r="G455" i="2"/>
  <c r="F455" i="2"/>
  <c r="E455" i="2"/>
  <c r="D455" i="2"/>
  <c r="H454" i="2"/>
  <c r="G454" i="2"/>
  <c r="F454" i="2"/>
  <c r="E454" i="2"/>
  <c r="D454" i="2"/>
  <c r="H452" i="2"/>
  <c r="G452" i="2"/>
  <c r="F452" i="2"/>
  <c r="E452" i="2"/>
  <c r="D452" i="2"/>
  <c r="H451" i="2"/>
  <c r="G451" i="2"/>
  <c r="F451" i="2"/>
  <c r="E451" i="2"/>
  <c r="D451" i="2"/>
  <c r="H450" i="2"/>
  <c r="G450" i="2"/>
  <c r="F450" i="2"/>
  <c r="E450" i="2"/>
  <c r="D450" i="2"/>
  <c r="H449" i="2"/>
  <c r="G449" i="2"/>
  <c r="F449" i="2"/>
  <c r="E449" i="2"/>
  <c r="D449" i="2"/>
  <c r="H448" i="2"/>
  <c r="G448" i="2"/>
  <c r="F448" i="2"/>
  <c r="E448" i="2"/>
  <c r="D448" i="2"/>
  <c r="H447" i="2"/>
  <c r="G447" i="2"/>
  <c r="F447" i="2"/>
  <c r="E447" i="2"/>
  <c r="D447" i="2"/>
  <c r="H446" i="2"/>
  <c r="G446" i="2"/>
  <c r="F446" i="2"/>
  <c r="E446" i="2"/>
  <c r="D446" i="2"/>
  <c r="H432" i="2"/>
  <c r="E432" i="2"/>
  <c r="F432" i="2"/>
  <c r="G432" i="2"/>
  <c r="D432" i="2"/>
  <c r="H433" i="2"/>
  <c r="G433" i="2"/>
  <c r="F433" i="2"/>
  <c r="E433" i="2"/>
  <c r="D433" i="2"/>
  <c r="H434" i="2"/>
  <c r="G434" i="2"/>
  <c r="F434" i="2"/>
  <c r="E434" i="2"/>
  <c r="D434" i="2"/>
  <c r="H435" i="2"/>
  <c r="G435" i="2"/>
  <c r="F435" i="2"/>
  <c r="E435" i="2"/>
  <c r="D435" i="2"/>
  <c r="H436" i="2"/>
  <c r="G436" i="2"/>
  <c r="F436" i="2"/>
  <c r="E436" i="2"/>
  <c r="D436" i="2"/>
  <c r="H437" i="2"/>
  <c r="G437" i="2"/>
  <c r="F437" i="2"/>
  <c r="E437" i="2"/>
  <c r="D437" i="2"/>
  <c r="H438" i="2"/>
  <c r="G438" i="2"/>
  <c r="F438" i="2"/>
  <c r="E438" i="2"/>
  <c r="D438" i="2"/>
  <c r="H439" i="2"/>
  <c r="G439" i="2"/>
  <c r="F439" i="2"/>
  <c r="E439" i="2"/>
  <c r="D439" i="2"/>
  <c r="H440" i="2"/>
  <c r="G440" i="2"/>
  <c r="F440" i="2"/>
  <c r="E440" i="2"/>
  <c r="D440" i="2"/>
  <c r="H441" i="2"/>
  <c r="G441" i="2"/>
  <c r="F441" i="2"/>
  <c r="E441" i="2"/>
  <c r="D441" i="2"/>
  <c r="H442" i="2"/>
  <c r="G442" i="2"/>
  <c r="F442" i="2"/>
  <c r="E442" i="2"/>
  <c r="D442" i="2"/>
  <c r="H443" i="2"/>
  <c r="G443" i="2"/>
  <c r="F443" i="2"/>
  <c r="E443" i="2"/>
  <c r="D443" i="2"/>
  <c r="H444" i="2"/>
  <c r="G444" i="2"/>
  <c r="F444" i="2"/>
  <c r="E444" i="2"/>
  <c r="D444" i="2"/>
  <c r="H445" i="2"/>
  <c r="G445" i="2"/>
  <c r="F445" i="2"/>
  <c r="E445" i="2"/>
  <c r="D445" i="2"/>
  <c r="H431" i="2"/>
  <c r="G431" i="2"/>
  <c r="F431" i="2"/>
  <c r="E431" i="2"/>
  <c r="D431" i="2"/>
  <c r="H430" i="2"/>
  <c r="G430" i="2"/>
  <c r="F430" i="2"/>
  <c r="E430" i="2"/>
  <c r="D430" i="2"/>
  <c r="H429" i="2"/>
  <c r="G429" i="2"/>
  <c r="F429" i="2"/>
  <c r="E429" i="2"/>
  <c r="D429" i="2"/>
  <c r="H425" i="2"/>
  <c r="G425" i="2"/>
  <c r="F425" i="2"/>
  <c r="E425" i="2"/>
  <c r="D425" i="2"/>
  <c r="H424" i="2"/>
  <c r="G424" i="2"/>
  <c r="F424" i="2"/>
  <c r="E424" i="2"/>
  <c r="D424" i="2"/>
  <c r="H423" i="2"/>
  <c r="G423" i="2"/>
  <c r="F423" i="2"/>
  <c r="E423" i="2"/>
  <c r="D423" i="2"/>
  <c r="H427" i="2"/>
  <c r="G427" i="2"/>
  <c r="F427" i="2"/>
  <c r="E427" i="2"/>
  <c r="D427" i="2"/>
  <c r="H426" i="2"/>
  <c r="G426" i="2"/>
  <c r="F426" i="2"/>
  <c r="E426" i="2"/>
  <c r="D426" i="2"/>
  <c r="H428" i="2"/>
  <c r="G428" i="2"/>
  <c r="F428" i="2"/>
  <c r="E428" i="2"/>
  <c r="D428" i="2"/>
  <c r="H422" i="2" l="1"/>
  <c r="G422" i="2"/>
  <c r="F422" i="2"/>
  <c r="E422" i="2"/>
  <c r="D422" i="2"/>
  <c r="H421" i="2"/>
  <c r="G421" i="2"/>
  <c r="F421" i="2"/>
  <c r="E421" i="2"/>
  <c r="D421" i="2"/>
  <c r="G420" i="2"/>
  <c r="H420" i="2"/>
  <c r="F420" i="2"/>
  <c r="E420" i="2"/>
  <c r="D420" i="2"/>
  <c r="H419" i="2"/>
  <c r="G419" i="2"/>
  <c r="F419" i="2"/>
  <c r="E419" i="2"/>
  <c r="D419" i="2"/>
  <c r="H418" i="2"/>
  <c r="G418" i="2"/>
  <c r="F418" i="2"/>
  <c r="E418" i="2"/>
  <c r="D418" i="2"/>
  <c r="H417" i="2" l="1"/>
  <c r="G417" i="2"/>
  <c r="F417" i="2"/>
  <c r="E417" i="2"/>
  <c r="D417" i="2"/>
  <c r="H415" i="2"/>
  <c r="G415" i="2"/>
  <c r="F415" i="2"/>
  <c r="E415" i="2"/>
  <c r="D415" i="2"/>
  <c r="H414" i="2"/>
  <c r="G414" i="2"/>
  <c r="F414" i="2"/>
  <c r="E414" i="2"/>
  <c r="D414" i="2"/>
  <c r="H413" i="2"/>
  <c r="G413" i="2"/>
  <c r="F413" i="2"/>
  <c r="E413" i="2"/>
  <c r="D413" i="2"/>
  <c r="H412" i="2"/>
  <c r="G412" i="2"/>
  <c r="F412" i="2"/>
  <c r="E412" i="2"/>
  <c r="D412" i="2"/>
  <c r="H416" i="2"/>
  <c r="G416" i="2"/>
  <c r="F416" i="2"/>
  <c r="E416" i="2"/>
  <c r="D416" i="2"/>
  <c r="H411" i="2"/>
  <c r="G411" i="2"/>
  <c r="F411" i="2"/>
  <c r="E411" i="2"/>
  <c r="D411" i="2"/>
  <c r="H410" i="2"/>
  <c r="G410" i="2"/>
  <c r="F410" i="2"/>
  <c r="E410" i="2"/>
  <c r="D410" i="2"/>
  <c r="H409" i="2"/>
  <c r="G409" i="2"/>
  <c r="F409" i="2"/>
  <c r="E409" i="2"/>
  <c r="D409" i="2"/>
  <c r="H408" i="2"/>
  <c r="G408" i="2"/>
  <c r="F408" i="2"/>
  <c r="E408" i="2"/>
  <c r="D408" i="2"/>
  <c r="H407" i="2"/>
  <c r="G407" i="2"/>
  <c r="F407" i="2"/>
  <c r="E407" i="2"/>
  <c r="D407" i="2"/>
  <c r="H406" i="2"/>
  <c r="G406" i="2"/>
  <c r="F406" i="2"/>
  <c r="E406" i="2"/>
  <c r="D406" i="2"/>
  <c r="E405" i="2"/>
  <c r="F405" i="2"/>
  <c r="G405" i="2"/>
  <c r="H405" i="2"/>
  <c r="D405" i="2"/>
  <c r="H399" i="2"/>
  <c r="G399" i="2"/>
  <c r="F399" i="2"/>
  <c r="E399" i="2"/>
  <c r="D399" i="2"/>
  <c r="H400" i="2"/>
  <c r="G400" i="2"/>
  <c r="F400" i="2"/>
  <c r="E400" i="2"/>
  <c r="D400" i="2"/>
  <c r="H401" i="2"/>
  <c r="G401" i="2"/>
  <c r="F401" i="2"/>
  <c r="E401" i="2"/>
  <c r="D401" i="2"/>
  <c r="H402" i="2"/>
  <c r="G402" i="2"/>
  <c r="F402" i="2"/>
  <c r="E402" i="2"/>
  <c r="D402" i="2"/>
  <c r="H404" i="2"/>
  <c r="G404" i="2"/>
  <c r="F404" i="2"/>
  <c r="E404" i="2"/>
  <c r="D404" i="2"/>
  <c r="H403" i="2"/>
  <c r="G403" i="2"/>
  <c r="F403" i="2"/>
  <c r="E403" i="2"/>
  <c r="D403" i="2"/>
  <c r="H398" i="2" l="1"/>
  <c r="G398" i="2"/>
  <c r="F398" i="2"/>
  <c r="E398" i="2"/>
  <c r="D398" i="2"/>
  <c r="H397" i="2"/>
  <c r="G397" i="2"/>
  <c r="F397" i="2"/>
  <c r="E397" i="2"/>
  <c r="D397" i="2"/>
  <c r="H396" i="2"/>
  <c r="G396" i="2"/>
  <c r="F396" i="2"/>
  <c r="E396" i="2"/>
  <c r="D396" i="2"/>
  <c r="H395" i="2"/>
  <c r="G395" i="2"/>
  <c r="F395" i="2"/>
  <c r="E395" i="2"/>
  <c r="D395" i="2"/>
  <c r="H394" i="2"/>
  <c r="G394" i="2"/>
  <c r="F394" i="2"/>
  <c r="E394" i="2"/>
  <c r="D394" i="2"/>
  <c r="H393" i="2"/>
  <c r="G393" i="2"/>
  <c r="F393" i="2"/>
  <c r="E393" i="2"/>
  <c r="D393" i="2"/>
  <c r="H392" i="2"/>
  <c r="G392" i="2"/>
  <c r="F392" i="2"/>
  <c r="E392" i="2"/>
  <c r="D392" i="2"/>
  <c r="E391" i="2"/>
  <c r="D391" i="2"/>
  <c r="H391" i="2"/>
  <c r="G391" i="2"/>
  <c r="F391" i="2"/>
  <c r="H387" i="2"/>
  <c r="G387" i="2"/>
  <c r="F387" i="2"/>
  <c r="E387" i="2"/>
  <c r="D387" i="2"/>
  <c r="H388" i="2"/>
  <c r="G388" i="2"/>
  <c r="F388" i="2"/>
  <c r="E388" i="2"/>
  <c r="D388" i="2"/>
  <c r="H389" i="2"/>
  <c r="G389" i="2"/>
  <c r="F389" i="2"/>
  <c r="E389" i="2"/>
  <c r="D389" i="2"/>
  <c r="H390" i="2"/>
  <c r="G390" i="2"/>
  <c r="F390" i="2"/>
  <c r="E390" i="2"/>
  <c r="D390" i="2"/>
  <c r="H386" i="2"/>
  <c r="G386" i="2"/>
  <c r="F386" i="2"/>
  <c r="E386" i="2"/>
  <c r="D386" i="2"/>
  <c r="H382" i="2" l="1"/>
  <c r="G382" i="2"/>
  <c r="F382" i="2"/>
  <c r="E382" i="2"/>
  <c r="D382" i="2"/>
  <c r="H381" i="2"/>
  <c r="G381" i="2"/>
  <c r="F381" i="2"/>
  <c r="E381" i="2"/>
  <c r="D381" i="2"/>
  <c r="H380" i="2"/>
  <c r="G380" i="2"/>
  <c r="F380" i="2"/>
  <c r="E380" i="2"/>
  <c r="D380" i="2"/>
  <c r="H379" i="2"/>
  <c r="G379" i="2"/>
  <c r="F379" i="2"/>
  <c r="E379" i="2"/>
  <c r="D379" i="2"/>
  <c r="H378" i="2"/>
  <c r="G378" i="2"/>
  <c r="F378" i="2"/>
  <c r="E378" i="2"/>
  <c r="D378" i="2"/>
  <c r="H377" i="2"/>
  <c r="G377" i="2"/>
  <c r="F377" i="2"/>
  <c r="E377" i="2"/>
  <c r="D377" i="2"/>
  <c r="H376" i="2"/>
  <c r="G376" i="2"/>
  <c r="F376" i="2"/>
  <c r="E376" i="2"/>
  <c r="D376" i="2"/>
  <c r="H375" i="2"/>
  <c r="G375" i="2"/>
  <c r="F375" i="2"/>
  <c r="E375" i="2"/>
  <c r="D375" i="2"/>
  <c r="H383" i="2"/>
  <c r="G383" i="2"/>
  <c r="F383" i="2"/>
  <c r="E383" i="2"/>
  <c r="D383" i="2"/>
  <c r="H384" i="2"/>
  <c r="G384" i="2"/>
  <c r="F384" i="2"/>
  <c r="E384" i="2"/>
  <c r="D384" i="2"/>
  <c r="H385" i="2"/>
  <c r="G385" i="2"/>
  <c r="F385" i="2"/>
  <c r="E385" i="2"/>
  <c r="D385" i="2"/>
  <c r="E373" i="2"/>
  <c r="D373" i="2"/>
  <c r="H373" i="2"/>
  <c r="G373" i="2"/>
  <c r="F373" i="2"/>
  <c r="H371" i="2"/>
  <c r="G371" i="2"/>
  <c r="F371" i="2"/>
  <c r="E371" i="2"/>
  <c r="D371" i="2"/>
  <c r="H372" i="2"/>
  <c r="G372" i="2"/>
  <c r="F372" i="2"/>
  <c r="E372" i="2"/>
  <c r="D372" i="2"/>
  <c r="H374" i="2"/>
  <c r="G374" i="2"/>
  <c r="F374" i="2"/>
  <c r="E374" i="2"/>
  <c r="D374" i="2"/>
  <c r="H370" i="2"/>
  <c r="G370" i="2"/>
  <c r="F370" i="2"/>
  <c r="E370" i="2"/>
  <c r="D370" i="2"/>
  <c r="H369" i="2"/>
  <c r="G369" i="2"/>
  <c r="F369" i="2"/>
  <c r="E369" i="2"/>
  <c r="D369" i="2"/>
  <c r="H368" i="2"/>
  <c r="G368" i="2"/>
  <c r="F368" i="2"/>
  <c r="E368" i="2"/>
  <c r="D368" i="2"/>
  <c r="H364" i="2"/>
  <c r="G364" i="2"/>
  <c r="F364" i="2"/>
  <c r="E364" i="2"/>
  <c r="D364" i="2"/>
  <c r="H365" i="2"/>
  <c r="G365" i="2"/>
  <c r="F365" i="2"/>
  <c r="E365" i="2"/>
  <c r="D365" i="2"/>
  <c r="H366" i="2"/>
  <c r="G366" i="2"/>
  <c r="F366" i="2"/>
  <c r="E366" i="2"/>
  <c r="D366" i="2"/>
  <c r="H367" i="2"/>
  <c r="G367" i="2"/>
  <c r="F367" i="2"/>
  <c r="E367" i="2"/>
  <c r="D367" i="2"/>
  <c r="H357" i="2"/>
  <c r="G357" i="2"/>
  <c r="F357" i="2"/>
  <c r="E357" i="2"/>
  <c r="D357" i="2"/>
  <c r="H358" i="2"/>
  <c r="G358" i="2"/>
  <c r="F358" i="2"/>
  <c r="E358" i="2"/>
  <c r="D358" i="2"/>
  <c r="H359" i="2"/>
  <c r="G359" i="2"/>
  <c r="F359" i="2"/>
  <c r="E359" i="2"/>
  <c r="D359" i="2"/>
  <c r="H356" i="2"/>
  <c r="G356" i="2"/>
  <c r="F356" i="2"/>
  <c r="E356" i="2"/>
  <c r="D356" i="2"/>
  <c r="H360" i="2"/>
  <c r="G360" i="2"/>
  <c r="F360" i="2"/>
  <c r="E360" i="2"/>
  <c r="D360" i="2"/>
  <c r="H361" i="2"/>
  <c r="G361" i="2"/>
  <c r="F361" i="2"/>
  <c r="E361" i="2"/>
  <c r="D361" i="2"/>
  <c r="H362" i="2"/>
  <c r="G362" i="2"/>
  <c r="F362" i="2"/>
  <c r="E362" i="2"/>
  <c r="D362" i="2"/>
  <c r="H363" i="2"/>
  <c r="G363" i="2"/>
  <c r="F363" i="2"/>
  <c r="E363" i="2"/>
  <c r="D363" i="2"/>
  <c r="H355" i="2"/>
  <c r="G355" i="2"/>
  <c r="F355" i="2"/>
  <c r="E355" i="2"/>
  <c r="D355" i="2"/>
  <c r="H354" i="2"/>
  <c r="G354" i="2"/>
  <c r="F354" i="2"/>
  <c r="E354" i="2"/>
  <c r="D354" i="2"/>
  <c r="H353" i="2" l="1"/>
  <c r="G353" i="2"/>
  <c r="F353" i="2"/>
  <c r="E353" i="2"/>
  <c r="D353" i="2"/>
  <c r="H352" i="2"/>
  <c r="G352" i="2"/>
  <c r="F352" i="2"/>
  <c r="E352" i="2"/>
  <c r="D352" i="2"/>
  <c r="H351" i="2"/>
  <c r="G351" i="2"/>
  <c r="F351" i="2"/>
  <c r="E351" i="2"/>
  <c r="D351" i="2"/>
  <c r="E350" i="2"/>
  <c r="F350" i="2"/>
  <c r="G350" i="2"/>
  <c r="H350" i="2"/>
  <c r="D350" i="2"/>
  <c r="H349" i="2"/>
  <c r="G349" i="2"/>
  <c r="F349" i="2"/>
  <c r="E349" i="2"/>
  <c r="D349" i="2"/>
  <c r="H348" i="2"/>
  <c r="G348" i="2"/>
  <c r="F348" i="2"/>
  <c r="E348" i="2"/>
  <c r="D348" i="2"/>
  <c r="H347" i="2"/>
  <c r="G347" i="2"/>
  <c r="F347" i="2"/>
  <c r="E347" i="2"/>
  <c r="D347" i="2"/>
  <c r="H346" i="2"/>
  <c r="G346" i="2"/>
  <c r="F346" i="2"/>
  <c r="E346" i="2"/>
  <c r="D346" i="2"/>
  <c r="H345" i="2"/>
  <c r="G345" i="2"/>
  <c r="F345" i="2"/>
  <c r="E345" i="2"/>
  <c r="D345" i="2"/>
  <c r="H344" i="2"/>
  <c r="G344" i="2"/>
  <c r="F344" i="2"/>
  <c r="E344" i="2"/>
  <c r="D344" i="2"/>
  <c r="H343" i="2"/>
  <c r="G343" i="2"/>
  <c r="F343" i="2"/>
  <c r="E343" i="2"/>
  <c r="D343" i="2"/>
  <c r="H338" i="2"/>
  <c r="G338" i="2"/>
  <c r="F338" i="2"/>
  <c r="E338" i="2"/>
  <c r="D338" i="2"/>
  <c r="H342" i="2"/>
  <c r="G342" i="2"/>
  <c r="F342" i="2"/>
  <c r="E342" i="2"/>
  <c r="D342" i="2"/>
  <c r="H341" i="2"/>
  <c r="G341" i="2"/>
  <c r="F341" i="2"/>
  <c r="E341" i="2"/>
  <c r="D341" i="2"/>
  <c r="H340" i="2"/>
  <c r="G340" i="2"/>
  <c r="F340" i="2"/>
  <c r="E340" i="2"/>
  <c r="D340" i="2"/>
  <c r="H339" i="2"/>
  <c r="G339" i="2"/>
  <c r="F339" i="2"/>
  <c r="E339" i="2"/>
  <c r="D339" i="2"/>
  <c r="H335" i="2"/>
  <c r="G335" i="2"/>
  <c r="F335" i="2"/>
  <c r="E335" i="2"/>
  <c r="D335" i="2"/>
  <c r="H336" i="2"/>
  <c r="G336" i="2"/>
  <c r="F336" i="2"/>
  <c r="E336" i="2"/>
  <c r="D336" i="2"/>
  <c r="H337" i="2"/>
  <c r="G337" i="2"/>
  <c r="F337" i="2"/>
  <c r="E337" i="2"/>
  <c r="D337" i="2"/>
  <c r="H331" i="2"/>
  <c r="E331" i="2"/>
  <c r="F331" i="2"/>
  <c r="G331" i="2"/>
  <c r="D331" i="2"/>
  <c r="H330" i="2"/>
  <c r="G330" i="2"/>
  <c r="F330" i="2"/>
  <c r="E330" i="2"/>
  <c r="D330" i="2"/>
  <c r="H334" i="2"/>
  <c r="G334" i="2"/>
  <c r="F334" i="2"/>
  <c r="E334" i="2"/>
  <c r="D334" i="2"/>
  <c r="E333" i="2"/>
  <c r="F333" i="2"/>
  <c r="G333" i="2"/>
  <c r="H333" i="2"/>
  <c r="D333" i="2"/>
  <c r="H332" i="2"/>
  <c r="G332" i="2"/>
  <c r="F332" i="2"/>
  <c r="E332" i="2"/>
  <c r="D332" i="2"/>
  <c r="H329" i="2"/>
  <c r="G329" i="2"/>
  <c r="F329" i="2"/>
  <c r="E329" i="2"/>
  <c r="D329" i="2"/>
  <c r="H327" i="2"/>
  <c r="G327" i="2"/>
  <c r="F327" i="2"/>
  <c r="E327" i="2"/>
  <c r="D327" i="2"/>
  <c r="H328" i="2"/>
  <c r="G328" i="2"/>
  <c r="F328" i="2"/>
  <c r="E328" i="2"/>
  <c r="D328" i="2"/>
  <c r="H326" i="2" l="1"/>
  <c r="G326" i="2"/>
  <c r="F326" i="2"/>
  <c r="E326" i="2"/>
  <c r="D326" i="2"/>
  <c r="H325" i="2"/>
  <c r="G325" i="2"/>
  <c r="F325" i="2"/>
  <c r="E325" i="2"/>
  <c r="D325" i="2"/>
  <c r="H324" i="2" l="1"/>
  <c r="G324" i="2"/>
  <c r="F324" i="2"/>
  <c r="E324" i="2"/>
  <c r="D324" i="2"/>
  <c r="H323" i="2"/>
  <c r="G323" i="2"/>
  <c r="F323" i="2"/>
  <c r="E323" i="2"/>
  <c r="D323" i="2"/>
  <c r="H322" i="2"/>
  <c r="G322" i="2"/>
  <c r="F322" i="2"/>
  <c r="E322" i="2"/>
  <c r="D322" i="2"/>
  <c r="F321" i="2"/>
  <c r="G321" i="2"/>
  <c r="H321" i="2"/>
  <c r="E321" i="2"/>
  <c r="D321" i="2"/>
  <c r="H320" i="2"/>
  <c r="G320" i="2"/>
  <c r="F320" i="2"/>
  <c r="E320" i="2"/>
  <c r="D320" i="2"/>
  <c r="H319" i="2" l="1"/>
  <c r="G319" i="2"/>
  <c r="F319" i="2"/>
  <c r="E319" i="2"/>
  <c r="D319" i="2"/>
  <c r="B12" i="20"/>
  <c r="B13" i="3"/>
  <c r="C13" i="3" s="1"/>
  <c r="H318" i="2"/>
  <c r="G318" i="2"/>
  <c r="F318" i="2"/>
  <c r="E318" i="2"/>
  <c r="D318" i="2"/>
  <c r="H317" i="2"/>
  <c r="G317" i="2"/>
  <c r="F317" i="2"/>
  <c r="E317" i="2"/>
  <c r="D317" i="2"/>
  <c r="H316" i="2"/>
  <c r="G316" i="2"/>
  <c r="F316" i="2"/>
  <c r="E316" i="2"/>
  <c r="D316" i="2"/>
  <c r="H314" i="2"/>
  <c r="G314" i="2"/>
  <c r="F314" i="2"/>
  <c r="E314" i="2"/>
  <c r="D314" i="2"/>
  <c r="H313" i="2"/>
  <c r="G313" i="2"/>
  <c r="F313" i="2"/>
  <c r="E313" i="2"/>
  <c r="D313" i="2"/>
  <c r="H315" i="2"/>
  <c r="G315" i="2"/>
  <c r="F315" i="2"/>
  <c r="E315" i="2"/>
  <c r="D315" i="2"/>
  <c r="H312" i="2"/>
  <c r="G312" i="2"/>
  <c r="F312" i="2"/>
  <c r="E312" i="2"/>
  <c r="D312" i="2"/>
  <c r="D13" i="3"/>
  <c r="H311" i="2"/>
  <c r="G311" i="2"/>
  <c r="F311" i="2"/>
  <c r="E311" i="2"/>
  <c r="D311" i="2"/>
  <c r="H310" i="2"/>
  <c r="G310" i="2"/>
  <c r="F310" i="2"/>
  <c r="E310" i="2"/>
  <c r="D310" i="2"/>
  <c r="H309" i="2"/>
  <c r="G309" i="2"/>
  <c r="F309" i="2"/>
  <c r="E309" i="2"/>
  <c r="D309" i="2"/>
  <c r="H308" i="2"/>
  <c r="G308" i="2"/>
  <c r="F308" i="2"/>
  <c r="E308" i="2"/>
  <c r="D308" i="2"/>
  <c r="H307" i="2" l="1"/>
  <c r="G307" i="2"/>
  <c r="F307" i="2"/>
  <c r="E307" i="2"/>
  <c r="D307" i="2"/>
  <c r="H303" i="2"/>
  <c r="G303" i="2"/>
  <c r="F303" i="2"/>
  <c r="E303" i="2"/>
  <c r="D303" i="2"/>
  <c r="H304" i="2"/>
  <c r="G304" i="2"/>
  <c r="F304" i="2"/>
  <c r="E304" i="2"/>
  <c r="D304" i="2"/>
  <c r="H305" i="2"/>
  <c r="G305" i="2"/>
  <c r="F305" i="2"/>
  <c r="E305" i="2"/>
  <c r="D305" i="2"/>
  <c r="H306" i="2"/>
  <c r="G306" i="2"/>
  <c r="F306" i="2"/>
  <c r="E306" i="2"/>
  <c r="D306" i="2"/>
  <c r="H302" i="2"/>
  <c r="G302" i="2"/>
  <c r="F302" i="2"/>
  <c r="E302" i="2"/>
  <c r="D302" i="2"/>
  <c r="H299" i="2"/>
  <c r="G299" i="2"/>
  <c r="F299" i="2"/>
  <c r="E299" i="2"/>
  <c r="D299" i="2"/>
  <c r="H300" i="2"/>
  <c r="G300" i="2"/>
  <c r="F300" i="2"/>
  <c r="E300" i="2"/>
  <c r="D300" i="2"/>
  <c r="H301" i="2"/>
  <c r="G301" i="2"/>
  <c r="F301" i="2"/>
  <c r="E301" i="2"/>
  <c r="D301" i="2"/>
  <c r="H294" i="2" l="1"/>
  <c r="G294" i="2"/>
  <c r="F294" i="2"/>
  <c r="H295" i="2"/>
  <c r="G295" i="2"/>
  <c r="F295" i="2"/>
  <c r="E295" i="2"/>
  <c r="D295" i="2"/>
  <c r="H296" i="2"/>
  <c r="G296" i="2"/>
  <c r="F296" i="2"/>
  <c r="E296" i="2"/>
  <c r="D296" i="2"/>
  <c r="H297" i="2"/>
  <c r="G297" i="2"/>
  <c r="F297" i="2"/>
  <c r="E297" i="2"/>
  <c r="D297" i="2"/>
  <c r="H298" i="2"/>
  <c r="G298" i="2"/>
  <c r="F298" i="2"/>
  <c r="E298" i="2"/>
  <c r="D298" i="2"/>
  <c r="E294" i="2" l="1"/>
  <c r="D294" i="2"/>
  <c r="H293" i="2"/>
  <c r="G293" i="2"/>
  <c r="F293" i="2"/>
  <c r="E293" i="2"/>
  <c r="D293" i="2"/>
  <c r="H292" i="2"/>
  <c r="G292" i="2"/>
  <c r="F292" i="2"/>
  <c r="E292" i="2"/>
  <c r="D292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H291" i="2"/>
  <c r="G291" i="2"/>
  <c r="F291" i="2"/>
  <c r="E291" i="2"/>
  <c r="D291" i="2"/>
  <c r="H290" i="2"/>
  <c r="G290" i="2"/>
  <c r="F290" i="2"/>
  <c r="E290" i="2"/>
  <c r="D290" i="2"/>
  <c r="H289" i="2"/>
  <c r="G289" i="2"/>
  <c r="F289" i="2"/>
  <c r="E289" i="2"/>
  <c r="D289" i="2"/>
  <c r="E287" i="2"/>
  <c r="F287" i="2"/>
  <c r="G287" i="2"/>
  <c r="H287" i="2"/>
  <c r="D287" i="2"/>
  <c r="H288" i="2"/>
  <c r="G288" i="2"/>
  <c r="F288" i="2"/>
  <c r="E288" i="2"/>
  <c r="D288" i="2"/>
  <c r="H286" i="2"/>
  <c r="G286" i="2"/>
  <c r="F286" i="2"/>
  <c r="E286" i="2"/>
  <c r="D286" i="2"/>
  <c r="H285" i="2"/>
  <c r="G285" i="2"/>
  <c r="F285" i="2"/>
  <c r="E285" i="2"/>
  <c r="D285" i="2"/>
  <c r="H284" i="2"/>
  <c r="G284" i="2"/>
  <c r="F284" i="2"/>
  <c r="E284" i="2"/>
  <c r="D284" i="2"/>
  <c r="H282" i="2"/>
  <c r="G282" i="2"/>
  <c r="F282" i="2"/>
  <c r="E282" i="2"/>
  <c r="D282" i="2"/>
  <c r="H283" i="2"/>
  <c r="G283" i="2"/>
  <c r="F283" i="2"/>
  <c r="E283" i="2"/>
  <c r="D283" i="2"/>
  <c r="H280" i="2" l="1"/>
  <c r="G280" i="2"/>
  <c r="F280" i="2"/>
  <c r="E280" i="2"/>
  <c r="D280" i="2"/>
  <c r="H281" i="2"/>
  <c r="G281" i="2"/>
  <c r="F281" i="2"/>
  <c r="E281" i="2"/>
  <c r="D281" i="2"/>
  <c r="H279" i="2"/>
  <c r="G279" i="2"/>
  <c r="F279" i="2"/>
  <c r="E279" i="2"/>
  <c r="D279" i="2"/>
  <c r="H278" i="2"/>
  <c r="G278" i="2"/>
  <c r="F278" i="2"/>
  <c r="E278" i="2"/>
  <c r="D278" i="2"/>
  <c r="H277" i="2"/>
  <c r="G277" i="2"/>
  <c r="F277" i="2"/>
  <c r="E277" i="2"/>
  <c r="D277" i="2"/>
  <c r="H276" i="2"/>
  <c r="G276" i="2"/>
  <c r="F276" i="2"/>
  <c r="E276" i="2"/>
  <c r="D276" i="2"/>
  <c r="H275" i="2"/>
  <c r="G275" i="2"/>
  <c r="F275" i="2"/>
  <c r="E275" i="2"/>
  <c r="D275" i="2"/>
  <c r="H272" i="2"/>
  <c r="E272" i="2"/>
  <c r="G272" i="2"/>
  <c r="F272" i="2"/>
  <c r="D272" i="2"/>
  <c r="H274" i="2"/>
  <c r="G274" i="2"/>
  <c r="F274" i="2"/>
  <c r="E274" i="2"/>
  <c r="D274" i="2"/>
  <c r="H271" i="2"/>
  <c r="G271" i="2"/>
  <c r="F271" i="2"/>
  <c r="E271" i="2"/>
  <c r="D271" i="2"/>
  <c r="H270" i="2"/>
  <c r="G270" i="2"/>
  <c r="F270" i="2"/>
  <c r="E270" i="2"/>
  <c r="D270" i="2"/>
  <c r="H273" i="2"/>
  <c r="G273" i="2"/>
  <c r="F273" i="2"/>
  <c r="E273" i="2"/>
  <c r="D273" i="2"/>
  <c r="H269" i="2"/>
  <c r="G269" i="2"/>
  <c r="F269" i="2"/>
  <c r="E269" i="2"/>
  <c r="D269" i="2"/>
  <c r="L504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H268" i="2"/>
  <c r="G268" i="2"/>
  <c r="F268" i="2"/>
  <c r="E268" i="2"/>
  <c r="D268" i="2"/>
  <c r="H266" i="2"/>
  <c r="G266" i="2"/>
  <c r="F266" i="2"/>
  <c r="E266" i="2"/>
  <c r="D266" i="2"/>
  <c r="E267" i="2"/>
  <c r="F267" i="2"/>
  <c r="G267" i="2"/>
  <c r="H267" i="2"/>
  <c r="D267" i="2"/>
  <c r="E264" i="2" l="1"/>
  <c r="F264" i="2"/>
  <c r="G264" i="2"/>
  <c r="H264" i="2"/>
  <c r="D264" i="2"/>
  <c r="H265" i="2"/>
  <c r="G265" i="2"/>
  <c r="F265" i="2"/>
  <c r="E265" i="2"/>
  <c r="D265" i="2"/>
  <c r="G263" i="2"/>
  <c r="H263" i="2"/>
  <c r="F263" i="2"/>
  <c r="E263" i="2"/>
  <c r="D263" i="2"/>
  <c r="H261" i="2"/>
  <c r="G261" i="2"/>
  <c r="F261" i="2"/>
  <c r="E261" i="2"/>
  <c r="D261" i="2"/>
  <c r="H262" i="2"/>
  <c r="G262" i="2"/>
  <c r="F262" i="2"/>
  <c r="E262" i="2"/>
  <c r="D262" i="2"/>
  <c r="H260" i="2"/>
  <c r="G260" i="2"/>
  <c r="F260" i="2"/>
  <c r="E260" i="2"/>
  <c r="D260" i="2"/>
  <c r="H259" i="2" l="1"/>
  <c r="G259" i="2"/>
  <c r="F259" i="2"/>
  <c r="E259" i="2"/>
  <c r="D259" i="2"/>
  <c r="H258" i="2"/>
  <c r="G258" i="2"/>
  <c r="F258" i="2"/>
  <c r="E258" i="2"/>
  <c r="D258" i="2"/>
  <c r="H257" i="2"/>
  <c r="G257" i="2"/>
  <c r="F257" i="2"/>
  <c r="E257" i="2"/>
  <c r="D257" i="2"/>
  <c r="H255" i="2"/>
  <c r="G255" i="2"/>
  <c r="F255" i="2"/>
  <c r="E255" i="2"/>
  <c r="D255" i="2"/>
  <c r="H256" i="2"/>
  <c r="G256" i="2"/>
  <c r="F256" i="2"/>
  <c r="E256" i="2"/>
  <c r="D256" i="2"/>
  <c r="H254" i="2"/>
  <c r="G254" i="2"/>
  <c r="F254" i="2"/>
  <c r="E254" i="2"/>
  <c r="D254" i="2"/>
  <c r="H251" i="2"/>
  <c r="G251" i="2"/>
  <c r="F251" i="2"/>
  <c r="E251" i="2"/>
  <c r="D251" i="2"/>
  <c r="H252" i="2"/>
  <c r="G252" i="2"/>
  <c r="F252" i="2"/>
  <c r="E252" i="2"/>
  <c r="D252" i="2"/>
  <c r="D253" i="2"/>
  <c r="E253" i="2"/>
  <c r="H253" i="2"/>
  <c r="G253" i="2"/>
  <c r="F253" i="2"/>
  <c r="H250" i="2"/>
  <c r="G250" i="2"/>
  <c r="F250" i="2"/>
  <c r="E250" i="2"/>
  <c r="D250" i="2"/>
  <c r="H249" i="2"/>
  <c r="G249" i="2"/>
  <c r="F249" i="2"/>
  <c r="E249" i="2"/>
  <c r="D249" i="2"/>
  <c r="H248" i="2"/>
  <c r="G248" i="2"/>
  <c r="F248" i="2"/>
  <c r="E248" i="2"/>
  <c r="D248" i="2"/>
  <c r="H247" i="2"/>
  <c r="G247" i="2"/>
  <c r="F247" i="2"/>
  <c r="E247" i="2"/>
  <c r="D247" i="2"/>
  <c r="H246" i="2"/>
  <c r="G246" i="2"/>
  <c r="F246" i="2"/>
  <c r="E246" i="2"/>
  <c r="D246" i="2"/>
  <c r="H245" i="2" l="1"/>
  <c r="G245" i="2"/>
  <c r="F245" i="2"/>
  <c r="E245" i="2"/>
  <c r="D245" i="2"/>
  <c r="H244" i="2"/>
  <c r="G244" i="2"/>
  <c r="F244" i="2"/>
  <c r="E244" i="2"/>
  <c r="D244" i="2"/>
  <c r="H243" i="2"/>
  <c r="G243" i="2"/>
  <c r="F243" i="2"/>
  <c r="E243" i="2"/>
  <c r="D243" i="2"/>
  <c r="H242" i="2"/>
  <c r="G242" i="2"/>
  <c r="F242" i="2"/>
  <c r="E242" i="2"/>
  <c r="D242" i="2"/>
  <c r="H240" i="2"/>
  <c r="G240" i="2"/>
  <c r="F240" i="2"/>
  <c r="E240" i="2"/>
  <c r="D240" i="2"/>
  <c r="H241" i="2"/>
  <c r="G241" i="2"/>
  <c r="F241" i="2"/>
  <c r="E241" i="2"/>
  <c r="D241" i="2"/>
  <c r="H239" i="2" l="1"/>
  <c r="G239" i="2"/>
  <c r="F239" i="2"/>
  <c r="E239" i="2"/>
  <c r="D239" i="2"/>
  <c r="H237" i="2"/>
  <c r="G237" i="2"/>
  <c r="F237" i="2"/>
  <c r="E237" i="2"/>
  <c r="D237" i="2"/>
  <c r="H238" i="2"/>
  <c r="G238" i="2"/>
  <c r="F238" i="2"/>
  <c r="E238" i="2"/>
  <c r="D238" i="2"/>
  <c r="H236" i="2"/>
  <c r="G236" i="2"/>
  <c r="F236" i="2"/>
  <c r="E236" i="2"/>
  <c r="D236" i="2"/>
  <c r="H234" i="2"/>
  <c r="G234" i="2"/>
  <c r="F234" i="2"/>
  <c r="E234" i="2"/>
  <c r="D234" i="2"/>
  <c r="H235" i="2"/>
  <c r="G235" i="2"/>
  <c r="F235" i="2"/>
  <c r="E235" i="2"/>
  <c r="D235" i="2"/>
  <c r="N494" i="2"/>
  <c r="N495" i="2"/>
  <c r="N496" i="2"/>
  <c r="N497" i="2"/>
  <c r="N498" i="2"/>
  <c r="N499" i="2"/>
  <c r="N500" i="2"/>
  <c r="L501" i="2"/>
  <c r="N501" i="2"/>
  <c r="L502" i="2"/>
  <c r="N502" i="2"/>
  <c r="L503" i="2"/>
  <c r="N503" i="2"/>
  <c r="N486" i="2"/>
  <c r="N487" i="2"/>
  <c r="N488" i="2"/>
  <c r="N489" i="2"/>
  <c r="N490" i="2"/>
  <c r="N491" i="2"/>
  <c r="N492" i="2"/>
  <c r="N493" i="2"/>
  <c r="N504" i="2"/>
  <c r="H233" i="2"/>
  <c r="G233" i="2"/>
  <c r="F233" i="2"/>
  <c r="E233" i="2"/>
  <c r="D233" i="2"/>
  <c r="H232" i="2"/>
  <c r="G232" i="2"/>
  <c r="F232" i="2"/>
  <c r="E232" i="2"/>
  <c r="D232" i="2"/>
  <c r="H231" i="2"/>
  <c r="G231" i="2"/>
  <c r="F231" i="2"/>
  <c r="E231" i="2"/>
  <c r="D231" i="2"/>
  <c r="H230" i="2"/>
  <c r="G230" i="2"/>
  <c r="F230" i="2"/>
  <c r="E230" i="2"/>
  <c r="D230" i="2"/>
  <c r="H229" i="2"/>
  <c r="G229" i="2"/>
  <c r="F229" i="2"/>
  <c r="E229" i="2"/>
  <c r="D229" i="2"/>
  <c r="H227" i="2"/>
  <c r="G227" i="2"/>
  <c r="F227" i="2"/>
  <c r="D227" i="2"/>
  <c r="E227" i="2" s="1"/>
  <c r="H228" i="2"/>
  <c r="G228" i="2"/>
  <c r="F228" i="2"/>
  <c r="E228" i="2"/>
  <c r="D228" i="2"/>
  <c r="H226" i="2"/>
  <c r="G226" i="2"/>
  <c r="F226" i="2"/>
  <c r="E226" i="2"/>
  <c r="D226" i="2"/>
  <c r="E225" i="2"/>
  <c r="F225" i="2"/>
  <c r="G225" i="2"/>
  <c r="H225" i="2"/>
  <c r="D225" i="2"/>
  <c r="H224" i="2"/>
  <c r="G224" i="2"/>
  <c r="F224" i="2"/>
  <c r="E224" i="2"/>
  <c r="D224" i="2"/>
  <c r="H220" i="2"/>
  <c r="G220" i="2"/>
  <c r="F220" i="2"/>
  <c r="E220" i="2"/>
  <c r="D220" i="2"/>
  <c r="D221" i="2"/>
  <c r="E221" i="2"/>
  <c r="F221" i="2"/>
  <c r="G221" i="2"/>
  <c r="H221" i="2"/>
  <c r="D222" i="2"/>
  <c r="E222" i="2"/>
  <c r="F222" i="2"/>
  <c r="G222" i="2"/>
  <c r="H222" i="2"/>
  <c r="D223" i="2"/>
  <c r="E223" i="2"/>
  <c r="F223" i="2"/>
  <c r="G223" i="2"/>
  <c r="H223" i="2"/>
  <c r="H217" i="2" l="1"/>
  <c r="G217" i="2"/>
  <c r="F217" i="2"/>
  <c r="H218" i="2"/>
  <c r="G218" i="2"/>
  <c r="F218" i="2"/>
  <c r="E218" i="2"/>
  <c r="D218" i="2"/>
  <c r="H219" i="2"/>
  <c r="G219" i="2"/>
  <c r="F219" i="2"/>
  <c r="E219" i="2"/>
  <c r="D219" i="2"/>
  <c r="E217" i="2"/>
  <c r="D217" i="2"/>
  <c r="H216" i="2"/>
  <c r="G216" i="2"/>
  <c r="F216" i="2"/>
  <c r="E216" i="2"/>
  <c r="D216" i="2"/>
  <c r="H213" i="2"/>
  <c r="G213" i="2"/>
  <c r="F213" i="2"/>
  <c r="E213" i="2"/>
  <c r="D213" i="2"/>
  <c r="H214" i="2"/>
  <c r="G214" i="2"/>
  <c r="F214" i="2"/>
  <c r="E214" i="2"/>
  <c r="D214" i="2"/>
  <c r="H215" i="2"/>
  <c r="G215" i="2"/>
  <c r="F215" i="2"/>
  <c r="E215" i="2"/>
  <c r="D215" i="2"/>
  <c r="H212" i="2"/>
  <c r="G212" i="2"/>
  <c r="F212" i="2"/>
  <c r="E212" i="2"/>
  <c r="D212" i="2"/>
  <c r="H211" i="2"/>
  <c r="G211" i="2"/>
  <c r="F211" i="2"/>
  <c r="E211" i="2"/>
  <c r="D211" i="2"/>
  <c r="H210" i="2"/>
  <c r="G210" i="2"/>
  <c r="F210" i="2"/>
  <c r="E210" i="2"/>
  <c r="D210" i="2"/>
  <c r="H209" i="2"/>
  <c r="G209" i="2"/>
  <c r="F209" i="2"/>
  <c r="E209" i="2"/>
  <c r="D209" i="2"/>
  <c r="H208" i="2"/>
  <c r="G208" i="2"/>
  <c r="F208" i="2"/>
  <c r="E208" i="2"/>
  <c r="D208" i="2"/>
  <c r="H207" i="2"/>
  <c r="G207" i="2"/>
  <c r="F207" i="2"/>
  <c r="E207" i="2"/>
  <c r="D207" i="2"/>
  <c r="H206" i="2"/>
  <c r="G206" i="2"/>
  <c r="F206" i="2"/>
  <c r="E206" i="2"/>
  <c r="D206" i="2"/>
  <c r="H205" i="2"/>
  <c r="G205" i="2"/>
  <c r="F205" i="2"/>
  <c r="E205" i="2"/>
  <c r="D205" i="2"/>
  <c r="H204" i="2"/>
  <c r="G204" i="2"/>
  <c r="F204" i="2"/>
  <c r="E204" i="2"/>
  <c r="D204" i="2"/>
  <c r="H203" i="2" l="1"/>
  <c r="G203" i="2"/>
  <c r="F203" i="2"/>
  <c r="E203" i="2"/>
  <c r="D203" i="2"/>
  <c r="H202" i="2"/>
  <c r="G202" i="2"/>
  <c r="F202" i="2"/>
  <c r="E202" i="2"/>
  <c r="D202" i="2"/>
  <c r="H201" i="2" l="1"/>
  <c r="G201" i="2"/>
  <c r="E201" i="2"/>
  <c r="F201" i="2"/>
  <c r="D201" i="2"/>
  <c r="C42" i="3" l="1"/>
  <c r="C41" i="3"/>
  <c r="C55" i="3" s="1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H200" i="2"/>
  <c r="G200" i="2"/>
  <c r="F200" i="2"/>
  <c r="E200" i="2"/>
  <c r="D200" i="2"/>
  <c r="H199" i="2"/>
  <c r="G199" i="2"/>
  <c r="F199" i="2"/>
  <c r="E199" i="2"/>
  <c r="D199" i="2"/>
  <c r="H198" i="2"/>
  <c r="G198" i="2"/>
  <c r="F198" i="2"/>
  <c r="E198" i="2"/>
  <c r="D198" i="2"/>
  <c r="H197" i="2"/>
  <c r="G197" i="2"/>
  <c r="F197" i="2"/>
  <c r="E197" i="2"/>
  <c r="D197" i="2"/>
  <c r="H196" i="2"/>
  <c r="G196" i="2"/>
  <c r="F196" i="2"/>
  <c r="E196" i="2"/>
  <c r="D196" i="2"/>
  <c r="C59" i="3" l="1"/>
  <c r="C60" i="3"/>
  <c r="C58" i="3"/>
  <c r="C57" i="3"/>
  <c r="C54" i="3"/>
  <c r="C47" i="3"/>
  <c r="C52" i="3"/>
  <c r="C45" i="3"/>
  <c r="C50" i="3"/>
  <c r="C48" i="3"/>
  <c r="C62" i="3"/>
  <c r="C43" i="3"/>
  <c r="C56" i="3" s="1"/>
  <c r="H194" i="2"/>
  <c r="E194" i="2"/>
  <c r="F194" i="2"/>
  <c r="G194" i="2"/>
  <c r="D194" i="2"/>
  <c r="H195" i="2"/>
  <c r="G195" i="2"/>
  <c r="F195" i="2"/>
  <c r="E195" i="2"/>
  <c r="D195" i="2"/>
  <c r="H193" i="2"/>
  <c r="G193" i="2"/>
  <c r="F193" i="2"/>
  <c r="E193" i="2"/>
  <c r="D193" i="2"/>
  <c r="N187" i="2"/>
  <c r="H192" i="2"/>
  <c r="G192" i="2"/>
  <c r="F192" i="2"/>
  <c r="E192" i="2"/>
  <c r="D192" i="2"/>
  <c r="H191" i="2"/>
  <c r="G191" i="2"/>
  <c r="F191" i="2"/>
  <c r="E191" i="2"/>
  <c r="D191" i="2"/>
  <c r="L189" i="2"/>
  <c r="H190" i="2"/>
  <c r="G190" i="2"/>
  <c r="F190" i="2"/>
  <c r="E190" i="2"/>
  <c r="D190" i="2"/>
  <c r="H189" i="2"/>
  <c r="G189" i="2"/>
  <c r="F189" i="2"/>
  <c r="E189" i="2"/>
  <c r="D189" i="2"/>
  <c r="H188" i="2"/>
  <c r="G188" i="2"/>
  <c r="F188" i="2"/>
  <c r="E188" i="2"/>
  <c r="D188" i="2"/>
  <c r="H187" i="2"/>
  <c r="G187" i="2"/>
  <c r="F187" i="2"/>
  <c r="E187" i="2"/>
  <c r="D187" i="2"/>
  <c r="H186" i="2"/>
  <c r="G186" i="2"/>
  <c r="F186" i="2"/>
  <c r="E186" i="2"/>
  <c r="D186" i="2"/>
  <c r="H185" i="2"/>
  <c r="G185" i="2"/>
  <c r="F185" i="2"/>
  <c r="E185" i="2"/>
  <c r="D185" i="2"/>
  <c r="H184" i="2"/>
  <c r="G184" i="2"/>
  <c r="F184" i="2"/>
  <c r="E184" i="2"/>
  <c r="D184" i="2"/>
  <c r="C49" i="3" l="1"/>
  <c r="C51" i="3"/>
  <c r="C53" i="3"/>
  <c r="C46" i="3"/>
  <c r="H181" i="2"/>
  <c r="G181" i="2"/>
  <c r="F181" i="2"/>
  <c r="E181" i="2"/>
  <c r="D181" i="2"/>
  <c r="H182" i="2"/>
  <c r="G182" i="2"/>
  <c r="F182" i="2"/>
  <c r="E182" i="2"/>
  <c r="D182" i="2"/>
  <c r="H183" i="2"/>
  <c r="G183" i="2"/>
  <c r="F183" i="2"/>
  <c r="E183" i="2"/>
  <c r="D183" i="2"/>
  <c r="H180" i="2"/>
  <c r="G180" i="2"/>
  <c r="F180" i="2"/>
  <c r="E180" i="2"/>
  <c r="D180" i="2"/>
  <c r="H179" i="2"/>
  <c r="G179" i="2"/>
  <c r="F179" i="2"/>
  <c r="H178" i="2"/>
  <c r="G178" i="2"/>
  <c r="F178" i="2"/>
  <c r="E179" i="2"/>
  <c r="D179" i="2"/>
  <c r="E178" i="2"/>
  <c r="D178" i="2"/>
  <c r="H177" i="2"/>
  <c r="G177" i="2"/>
  <c r="F177" i="2"/>
  <c r="E177" i="2"/>
  <c r="D177" i="2"/>
  <c r="L212" i="2" l="1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H176" i="2"/>
  <c r="G176" i="2"/>
  <c r="F176" i="2"/>
  <c r="E176" i="2"/>
  <c r="D176" i="2"/>
  <c r="H175" i="2"/>
  <c r="G175" i="2"/>
  <c r="F175" i="2"/>
  <c r="E175" i="2"/>
  <c r="D175" i="2"/>
  <c r="H174" i="2"/>
  <c r="G174" i="2"/>
  <c r="F174" i="2"/>
  <c r="E174" i="2"/>
  <c r="D174" i="2"/>
  <c r="H173" i="2"/>
  <c r="G173" i="2"/>
  <c r="F173" i="2"/>
  <c r="E173" i="2"/>
  <c r="D173" i="2"/>
  <c r="E172" i="2"/>
  <c r="F172" i="2"/>
  <c r="G172" i="2"/>
  <c r="H172" i="2"/>
  <c r="D172" i="2"/>
  <c r="G171" i="2" l="1"/>
  <c r="F171" i="2"/>
  <c r="E171" i="2"/>
  <c r="D171" i="2"/>
  <c r="H171" i="2"/>
  <c r="D18" i="20"/>
  <c r="D17" i="20"/>
  <c r="D16" i="20"/>
  <c r="D15" i="20"/>
  <c r="D14" i="20"/>
  <c r="D13" i="20"/>
  <c r="D12" i="20"/>
  <c r="D11" i="20"/>
  <c r="D10" i="20"/>
  <c r="D9" i="20"/>
  <c r="D8" i="20"/>
  <c r="B18" i="20"/>
  <c r="B17" i="20"/>
  <c r="B16" i="20"/>
  <c r="B15" i="20"/>
  <c r="B14" i="20"/>
  <c r="B13" i="20"/>
  <c r="B11" i="20"/>
  <c r="B10" i="20"/>
  <c r="B9" i="20"/>
  <c r="B8" i="20"/>
  <c r="B7" i="20"/>
  <c r="B4" i="20"/>
  <c r="B5" i="20"/>
  <c r="B6" i="20"/>
  <c r="B2" i="20"/>
  <c r="H170" i="2"/>
  <c r="G170" i="2"/>
  <c r="F170" i="2"/>
  <c r="E170" i="2"/>
  <c r="D170" i="2"/>
  <c r="H169" i="2"/>
  <c r="G169" i="2"/>
  <c r="F169" i="2"/>
  <c r="E169" i="2"/>
  <c r="D169" i="2"/>
  <c r="H168" i="2"/>
  <c r="G168" i="2"/>
  <c r="F168" i="2"/>
  <c r="E168" i="2"/>
  <c r="D168" i="2"/>
  <c r="H167" i="2"/>
  <c r="G167" i="2"/>
  <c r="F167" i="2"/>
  <c r="E167" i="2"/>
  <c r="D167" i="2"/>
  <c r="H166" i="2"/>
  <c r="G166" i="2"/>
  <c r="F166" i="2"/>
  <c r="E166" i="2"/>
  <c r="D166" i="2"/>
  <c r="H18" i="20" l="1"/>
  <c r="H165" i="2"/>
  <c r="G165" i="2"/>
  <c r="F165" i="2"/>
  <c r="E165" i="2"/>
  <c r="D165" i="2"/>
  <c r="H164" i="2"/>
  <c r="G164" i="2"/>
  <c r="F164" i="2"/>
  <c r="E164" i="2"/>
  <c r="D164" i="2"/>
  <c r="H163" i="2" l="1"/>
  <c r="G163" i="2"/>
  <c r="F163" i="2"/>
  <c r="E163" i="2"/>
  <c r="D163" i="2"/>
  <c r="E161" i="2" l="1"/>
  <c r="H161" i="2"/>
  <c r="F161" i="2"/>
  <c r="G161" i="2"/>
  <c r="D161" i="2"/>
  <c r="H160" i="2"/>
  <c r="G160" i="2"/>
  <c r="F160" i="2"/>
  <c r="E160" i="2"/>
  <c r="D160" i="2"/>
  <c r="H162" i="2"/>
  <c r="G162" i="2"/>
  <c r="F162" i="2"/>
  <c r="E162" i="2"/>
  <c r="D162" i="2"/>
  <c r="H159" i="2" l="1"/>
  <c r="G159" i="2"/>
  <c r="F159" i="2"/>
  <c r="E159" i="2"/>
  <c r="D159" i="2"/>
  <c r="H158" i="2" l="1"/>
  <c r="G158" i="2"/>
  <c r="F158" i="2"/>
  <c r="E158" i="2"/>
  <c r="D158" i="2"/>
  <c r="E157" i="2"/>
  <c r="D157" i="2"/>
  <c r="H157" i="2"/>
  <c r="G157" i="2"/>
  <c r="F157" i="2"/>
  <c r="H156" i="2" l="1"/>
  <c r="G156" i="2"/>
  <c r="F156" i="2"/>
  <c r="E156" i="2"/>
  <c r="D156" i="2"/>
  <c r="H155" i="2"/>
  <c r="G155" i="2"/>
  <c r="F155" i="2"/>
  <c r="E155" i="2"/>
  <c r="D155" i="2"/>
  <c r="D7" i="20" s="1"/>
  <c r="H154" i="2"/>
  <c r="G154" i="2"/>
  <c r="F154" i="2"/>
  <c r="E154" i="2"/>
  <c r="D154" i="2"/>
  <c r="H153" i="2"/>
  <c r="G153" i="2"/>
  <c r="F153" i="2"/>
  <c r="E153" i="2"/>
  <c r="D153" i="2"/>
  <c r="H152" i="2"/>
  <c r="G152" i="2"/>
  <c r="F152" i="2"/>
  <c r="E152" i="2"/>
  <c r="D152" i="2"/>
  <c r="H151" i="2" l="1"/>
  <c r="G151" i="2"/>
  <c r="F151" i="2"/>
  <c r="E151" i="2"/>
  <c r="D151" i="2"/>
  <c r="H150" i="2" l="1"/>
  <c r="G150" i="2"/>
  <c r="F150" i="2"/>
  <c r="D150" i="2"/>
  <c r="E150" i="2"/>
  <c r="H149" i="2" l="1"/>
  <c r="G149" i="2"/>
  <c r="F149" i="2"/>
  <c r="E149" i="2"/>
  <c r="D149" i="2"/>
  <c r="H148" i="2"/>
  <c r="G148" i="2"/>
  <c r="F148" i="2"/>
  <c r="E148" i="2"/>
  <c r="D148" i="2"/>
  <c r="H147" i="2" l="1"/>
  <c r="G147" i="2"/>
  <c r="F147" i="2"/>
  <c r="E147" i="2"/>
  <c r="D147" i="2"/>
  <c r="H146" i="2"/>
  <c r="G146" i="2"/>
  <c r="F146" i="2"/>
  <c r="E146" i="2"/>
  <c r="D146" i="2"/>
  <c r="H145" i="2" l="1"/>
  <c r="G145" i="2"/>
  <c r="F145" i="2"/>
  <c r="E145" i="2"/>
  <c r="D145" i="2"/>
  <c r="H144" i="2"/>
  <c r="G144" i="2"/>
  <c r="F144" i="2"/>
  <c r="E144" i="2"/>
  <c r="D144" i="2"/>
  <c r="H143" i="2"/>
  <c r="G143" i="2"/>
  <c r="F143" i="2"/>
  <c r="E143" i="2"/>
  <c r="D143" i="2"/>
  <c r="H142" i="2" l="1"/>
  <c r="G142" i="2"/>
  <c r="F142" i="2"/>
  <c r="E142" i="2"/>
  <c r="D142" i="2"/>
  <c r="H141" i="2" l="1"/>
  <c r="G141" i="2"/>
  <c r="F141" i="2"/>
  <c r="E141" i="2"/>
  <c r="D141" i="2"/>
  <c r="H140" i="2" l="1"/>
  <c r="G140" i="2"/>
  <c r="F140" i="2"/>
  <c r="E140" i="2"/>
  <c r="D140" i="2"/>
  <c r="H139" i="2"/>
  <c r="G139" i="2"/>
  <c r="F139" i="2"/>
  <c r="E139" i="2"/>
  <c r="D139" i="2"/>
  <c r="H138" i="2"/>
  <c r="G138" i="2"/>
  <c r="F138" i="2"/>
  <c r="E138" i="2"/>
  <c r="D138" i="2"/>
  <c r="H132" i="2" l="1"/>
  <c r="G132" i="2"/>
  <c r="F132" i="2"/>
  <c r="E132" i="2"/>
  <c r="D132" i="2"/>
  <c r="H133" i="2"/>
  <c r="G133" i="2"/>
  <c r="F133" i="2"/>
  <c r="E133" i="2"/>
  <c r="D133" i="2"/>
  <c r="H134" i="2"/>
  <c r="G134" i="2"/>
  <c r="F134" i="2"/>
  <c r="E134" i="2"/>
  <c r="D134" i="2"/>
  <c r="H135" i="2"/>
  <c r="G135" i="2"/>
  <c r="F135" i="2"/>
  <c r="E135" i="2"/>
  <c r="D135" i="2"/>
  <c r="H136" i="2"/>
  <c r="G136" i="2"/>
  <c r="F136" i="2"/>
  <c r="D136" i="2"/>
  <c r="E136" i="2"/>
  <c r="H137" i="2"/>
  <c r="G137" i="2"/>
  <c r="F137" i="2"/>
  <c r="E137" i="2"/>
  <c r="D137" i="2"/>
  <c r="H131" i="2" l="1"/>
  <c r="G131" i="2"/>
  <c r="F131" i="2"/>
  <c r="E131" i="2"/>
  <c r="D131" i="2"/>
  <c r="H130" i="2" l="1"/>
  <c r="G130" i="2"/>
  <c r="F130" i="2"/>
  <c r="E130" i="2"/>
  <c r="D130" i="2"/>
  <c r="H129" i="2"/>
  <c r="G129" i="2"/>
  <c r="F129" i="2"/>
  <c r="E129" i="2"/>
  <c r="D129" i="2"/>
  <c r="H128" i="2" l="1"/>
  <c r="G128" i="2"/>
  <c r="F128" i="2"/>
  <c r="E128" i="2"/>
  <c r="D128" i="2"/>
  <c r="H127" i="2"/>
  <c r="G127" i="2"/>
  <c r="F127" i="2"/>
  <c r="E127" i="2"/>
  <c r="D127" i="2"/>
  <c r="H126" i="2" l="1"/>
  <c r="G126" i="2"/>
  <c r="F126" i="2"/>
  <c r="E126" i="2"/>
  <c r="D126" i="2"/>
  <c r="H125" i="2" l="1"/>
  <c r="G125" i="2"/>
  <c r="F125" i="2"/>
  <c r="E125" i="2"/>
  <c r="D125" i="2"/>
  <c r="H124" i="2" l="1"/>
  <c r="G124" i="2"/>
  <c r="F124" i="2"/>
  <c r="E124" i="2"/>
  <c r="D124" i="2"/>
  <c r="D6" i="20" s="1"/>
  <c r="H120" i="2"/>
  <c r="G120" i="2"/>
  <c r="F120" i="2"/>
  <c r="E120" i="2"/>
  <c r="D120" i="2"/>
  <c r="H121" i="2"/>
  <c r="G121" i="2"/>
  <c r="F121" i="2"/>
  <c r="E121" i="2"/>
  <c r="D121" i="2"/>
  <c r="D122" i="2"/>
  <c r="E122" i="2"/>
  <c r="F122" i="2"/>
  <c r="G122" i="2"/>
  <c r="H122" i="2"/>
  <c r="D123" i="2"/>
  <c r="E123" i="2"/>
  <c r="F123" i="2"/>
  <c r="G123" i="2"/>
  <c r="H123" i="2"/>
  <c r="H119" i="2" l="1"/>
  <c r="G119" i="2"/>
  <c r="F119" i="2"/>
  <c r="E119" i="2"/>
  <c r="D119" i="2"/>
  <c r="H118" i="2"/>
  <c r="G118" i="2"/>
  <c r="F118" i="2"/>
  <c r="E118" i="2"/>
  <c r="D118" i="2"/>
  <c r="H117" i="2"/>
  <c r="G117" i="2"/>
  <c r="F117" i="2"/>
  <c r="E117" i="2"/>
  <c r="D117" i="2"/>
  <c r="H116" i="2" l="1"/>
  <c r="G116" i="2"/>
  <c r="F116" i="2"/>
  <c r="E116" i="2"/>
  <c r="D116" i="2"/>
  <c r="N115" i="2" l="1"/>
  <c r="N114" i="2"/>
  <c r="L114" i="2"/>
  <c r="H114" i="2"/>
  <c r="G114" i="2"/>
  <c r="F114" i="2"/>
  <c r="E114" i="2"/>
  <c r="D114" i="2"/>
  <c r="H115" i="2"/>
  <c r="G115" i="2"/>
  <c r="F115" i="2"/>
  <c r="E115" i="2"/>
  <c r="D115" i="2"/>
  <c r="H113" i="2" l="1"/>
  <c r="G113" i="2"/>
  <c r="F113" i="2"/>
  <c r="E113" i="2"/>
  <c r="D113" i="2"/>
  <c r="H112" i="2"/>
  <c r="G112" i="2"/>
  <c r="F112" i="2"/>
  <c r="E112" i="2"/>
  <c r="D112" i="2"/>
  <c r="H111" i="2"/>
  <c r="G111" i="2"/>
  <c r="F111" i="2"/>
  <c r="E111" i="2"/>
  <c r="D111" i="2"/>
  <c r="H110" i="2"/>
  <c r="G110" i="2"/>
  <c r="F110" i="2"/>
  <c r="E110" i="2"/>
  <c r="D110" i="2"/>
  <c r="H109" i="2"/>
  <c r="G109" i="2"/>
  <c r="F109" i="2"/>
  <c r="E109" i="2"/>
  <c r="D109" i="2"/>
  <c r="H108" i="2" l="1"/>
  <c r="G108" i="2"/>
  <c r="F108" i="2"/>
  <c r="E108" i="2"/>
  <c r="D108" i="2"/>
  <c r="L266" i="2" l="1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3" i="2"/>
  <c r="L112" i="2"/>
  <c r="L111" i="2"/>
  <c r="L110" i="2"/>
  <c r="L109" i="2"/>
  <c r="L108" i="2"/>
  <c r="L107" i="2"/>
  <c r="L106" i="2"/>
  <c r="H103" i="2"/>
  <c r="G103" i="2"/>
  <c r="F103" i="2"/>
  <c r="E103" i="2"/>
  <c r="D103" i="2"/>
  <c r="H104" i="2"/>
  <c r="G104" i="2"/>
  <c r="F104" i="2"/>
  <c r="E104" i="2"/>
  <c r="D104" i="2"/>
  <c r="H105" i="2"/>
  <c r="G105" i="2"/>
  <c r="F105" i="2"/>
  <c r="E105" i="2"/>
  <c r="D105" i="2"/>
  <c r="H106" i="2"/>
  <c r="G106" i="2"/>
  <c r="F106" i="2"/>
  <c r="E106" i="2"/>
  <c r="D106" i="2"/>
  <c r="H102" i="2"/>
  <c r="G102" i="2"/>
  <c r="F102" i="2"/>
  <c r="E102" i="2"/>
  <c r="D102" i="2"/>
  <c r="D107" i="2"/>
  <c r="H107" i="2"/>
  <c r="G107" i="2"/>
  <c r="F107" i="2"/>
  <c r="E107" i="2"/>
  <c r="H101" i="2" l="1"/>
  <c r="G101" i="2"/>
  <c r="F101" i="2"/>
  <c r="E101" i="2"/>
  <c r="D101" i="2"/>
  <c r="H100" i="2"/>
  <c r="G100" i="2"/>
  <c r="F100" i="2"/>
  <c r="E100" i="2"/>
  <c r="D100" i="2"/>
  <c r="H99" i="2"/>
  <c r="G99" i="2"/>
  <c r="F99" i="2"/>
  <c r="E99" i="2"/>
  <c r="D99" i="2"/>
  <c r="H98" i="2" l="1"/>
  <c r="G98" i="2"/>
  <c r="F98" i="2"/>
  <c r="E98" i="2"/>
  <c r="D98" i="2"/>
  <c r="H97" i="2" l="1"/>
  <c r="G97" i="2"/>
  <c r="F97" i="2"/>
  <c r="E97" i="2"/>
  <c r="D97" i="2"/>
  <c r="H96" i="2" l="1"/>
  <c r="G96" i="2"/>
  <c r="F96" i="2"/>
  <c r="E96" i="2"/>
  <c r="D96" i="2"/>
  <c r="H95" i="2" l="1"/>
  <c r="G95" i="2"/>
  <c r="F95" i="2"/>
  <c r="E95" i="2"/>
  <c r="D95" i="2"/>
  <c r="H94" i="2" l="1"/>
  <c r="G94" i="2"/>
  <c r="F94" i="2"/>
  <c r="E94" i="2"/>
  <c r="D94" i="2"/>
  <c r="D5" i="20" s="1"/>
  <c r="H93" i="2" l="1"/>
  <c r="G93" i="2"/>
  <c r="D93" i="2"/>
  <c r="E93" i="2"/>
  <c r="F93" i="2"/>
  <c r="H91" i="2" l="1"/>
  <c r="G91" i="2"/>
  <c r="F91" i="2"/>
  <c r="E91" i="2"/>
  <c r="D91" i="2"/>
  <c r="H92" i="2"/>
  <c r="G92" i="2"/>
  <c r="F92" i="2"/>
  <c r="E92" i="2"/>
  <c r="D92" i="2"/>
  <c r="H89" i="2" l="1"/>
  <c r="G89" i="2"/>
  <c r="F89" i="2"/>
  <c r="E89" i="2"/>
  <c r="D89" i="2"/>
  <c r="E90" i="2"/>
  <c r="F90" i="2"/>
  <c r="G90" i="2"/>
  <c r="H90" i="2"/>
  <c r="D90" i="2"/>
  <c r="H88" i="2" l="1"/>
  <c r="G88" i="2"/>
  <c r="F88" i="2"/>
  <c r="E88" i="2"/>
  <c r="D88" i="2"/>
  <c r="H87" i="2" l="1"/>
  <c r="G87" i="2"/>
  <c r="F87" i="2"/>
  <c r="E87" i="2"/>
  <c r="D87" i="2"/>
  <c r="E86" i="2" l="1"/>
  <c r="F86" i="2"/>
  <c r="G86" i="2"/>
  <c r="H86" i="2"/>
  <c r="D86" i="2"/>
  <c r="H85" i="2"/>
  <c r="G85" i="2"/>
  <c r="F85" i="2"/>
  <c r="E85" i="2"/>
  <c r="D85" i="2"/>
  <c r="H84" i="2" l="1"/>
  <c r="G84" i="2"/>
  <c r="F84" i="2"/>
  <c r="E84" i="2"/>
  <c r="D84" i="2"/>
  <c r="H83" i="2" l="1"/>
  <c r="G83" i="2"/>
  <c r="F83" i="2"/>
  <c r="E83" i="2"/>
  <c r="D83" i="2"/>
  <c r="H82" i="2" l="1"/>
  <c r="G82" i="2"/>
  <c r="F82" i="2"/>
  <c r="E82" i="2"/>
  <c r="D82" i="2"/>
  <c r="H81" i="2" l="1"/>
  <c r="G81" i="2"/>
  <c r="F81" i="2"/>
  <c r="E81" i="2"/>
  <c r="D81" i="2"/>
  <c r="H80" i="2" l="1"/>
  <c r="G80" i="2"/>
  <c r="F80" i="2"/>
  <c r="E80" i="2"/>
  <c r="D80" i="2"/>
  <c r="H79" i="2" l="1"/>
  <c r="G79" i="2"/>
  <c r="F79" i="2"/>
  <c r="E79" i="2"/>
  <c r="D79" i="2"/>
  <c r="H78" i="2" l="1"/>
  <c r="G78" i="2"/>
  <c r="F78" i="2"/>
  <c r="E78" i="2"/>
  <c r="D78" i="2"/>
  <c r="H77" i="2" l="1"/>
  <c r="G77" i="2"/>
  <c r="F77" i="2"/>
  <c r="E77" i="2"/>
  <c r="D77" i="2"/>
  <c r="H76" i="2" l="1"/>
  <c r="G76" i="2"/>
  <c r="F76" i="2"/>
  <c r="E76" i="2"/>
  <c r="D76" i="2"/>
  <c r="H75" i="2" l="1"/>
  <c r="G75" i="2"/>
  <c r="F75" i="2"/>
  <c r="E75" i="2"/>
  <c r="D75" i="2"/>
  <c r="H72" i="2" l="1"/>
  <c r="G72" i="2"/>
  <c r="F72" i="2"/>
  <c r="E72" i="2"/>
  <c r="D72" i="2"/>
  <c r="L73" i="2"/>
  <c r="H73" i="2"/>
  <c r="G73" i="2"/>
  <c r="F73" i="2"/>
  <c r="E73" i="2"/>
  <c r="D73" i="2"/>
  <c r="H74" i="2"/>
  <c r="G74" i="2"/>
  <c r="F74" i="2"/>
  <c r="E74" i="2"/>
  <c r="D74" i="2"/>
  <c r="H71" i="2" l="1"/>
  <c r="G71" i="2"/>
  <c r="F71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2" i="2"/>
  <c r="L71" i="2"/>
  <c r="L70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505" i="2"/>
  <c r="E71" i="2"/>
  <c r="D71" i="2"/>
  <c r="H70" i="2" l="1"/>
  <c r="G70" i="2"/>
  <c r="F70" i="2"/>
  <c r="E70" i="2"/>
  <c r="D70" i="2"/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H69" i="2"/>
  <c r="G69" i="2"/>
  <c r="F69" i="2"/>
  <c r="E69" i="2"/>
  <c r="D69" i="2"/>
  <c r="E68" i="2" l="1"/>
  <c r="D68" i="2"/>
  <c r="H67" i="2" l="1"/>
  <c r="G67" i="2"/>
  <c r="F67" i="2"/>
  <c r="E67" i="2"/>
  <c r="D67" i="2"/>
  <c r="H66" i="2" l="1"/>
  <c r="G66" i="2"/>
  <c r="F66" i="2"/>
  <c r="E66" i="2"/>
  <c r="D66" i="2"/>
  <c r="E18" i="20" l="1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B3" i="20"/>
  <c r="H6" i="20" s="1"/>
  <c r="H65" i="2"/>
  <c r="G65" i="2"/>
  <c r="F65" i="2"/>
  <c r="E65" i="2"/>
  <c r="D65" i="2"/>
  <c r="H64" i="2"/>
  <c r="G64" i="2"/>
  <c r="F64" i="2"/>
  <c r="E64" i="2"/>
  <c r="D64" i="2"/>
  <c r="E63" i="2" l="1"/>
  <c r="F63" i="2"/>
  <c r="G63" i="2"/>
  <c r="H63" i="2"/>
  <c r="D63" i="2"/>
  <c r="D4" i="20" l="1"/>
  <c r="E4" i="20" s="1"/>
  <c r="H62" i="2"/>
  <c r="G62" i="2"/>
  <c r="F62" i="2"/>
  <c r="E62" i="2"/>
  <c r="D62" i="2"/>
  <c r="L69" i="2" l="1"/>
  <c r="L68" i="2"/>
  <c r="L67" i="2"/>
  <c r="L66" i="2"/>
  <c r="L65" i="2"/>
  <c r="L64" i="2"/>
  <c r="L63" i="2"/>
  <c r="L62" i="2"/>
  <c r="L61" i="2"/>
  <c r="L60" i="2"/>
  <c r="L59" i="2"/>
  <c r="L58" i="2"/>
  <c r="L57" i="2"/>
  <c r="H61" i="2"/>
  <c r="G61" i="2"/>
  <c r="F61" i="2"/>
  <c r="E61" i="2"/>
  <c r="D61" i="2"/>
  <c r="H59" i="2" l="1"/>
  <c r="G59" i="2"/>
  <c r="F59" i="2"/>
  <c r="E59" i="2"/>
  <c r="D59" i="2"/>
  <c r="H60" i="2"/>
  <c r="G60" i="2"/>
  <c r="F60" i="2"/>
  <c r="E60" i="2"/>
  <c r="D60" i="2"/>
  <c r="H58" i="2" l="1"/>
  <c r="G58" i="2"/>
  <c r="F58" i="2"/>
  <c r="E58" i="2"/>
  <c r="D58" i="2"/>
  <c r="H57" i="2" l="1"/>
  <c r="G57" i="2"/>
  <c r="F57" i="2"/>
  <c r="E57" i="2"/>
  <c r="D57" i="2"/>
  <c r="L56" i="2"/>
  <c r="H56" i="2"/>
  <c r="G56" i="2"/>
  <c r="F56" i="2"/>
  <c r="E56" i="2"/>
  <c r="D56" i="2"/>
  <c r="E55" i="2" l="1"/>
  <c r="F55" i="2"/>
  <c r="G55" i="2"/>
  <c r="H55" i="2"/>
  <c r="D55" i="2" l="1"/>
  <c r="H54" i="2" l="1"/>
  <c r="G54" i="2"/>
  <c r="F54" i="2"/>
  <c r="E54" i="2"/>
  <c r="D54" i="2"/>
  <c r="H53" i="2"/>
  <c r="G53" i="2"/>
  <c r="F53" i="2"/>
  <c r="E53" i="2"/>
  <c r="D53" i="2"/>
  <c r="H52" i="2"/>
  <c r="G52" i="2"/>
  <c r="F52" i="2"/>
  <c r="E52" i="2"/>
  <c r="D52" i="2"/>
  <c r="H51" i="2"/>
  <c r="G51" i="2"/>
  <c r="F51" i="2"/>
  <c r="E51" i="2"/>
  <c r="D51" i="2"/>
  <c r="H50" i="2"/>
  <c r="G50" i="2"/>
  <c r="F50" i="2"/>
  <c r="E50" i="2"/>
  <c r="D50" i="2"/>
  <c r="E49" i="2"/>
  <c r="F49" i="2"/>
  <c r="G49" i="2"/>
  <c r="H49" i="2"/>
  <c r="D49" i="2"/>
  <c r="H48" i="2"/>
  <c r="G48" i="2"/>
  <c r="F48" i="2"/>
  <c r="E48" i="2"/>
  <c r="D48" i="2"/>
  <c r="H47" i="2"/>
  <c r="G47" i="2"/>
  <c r="F47" i="2"/>
  <c r="E47" i="2"/>
  <c r="D47" i="2"/>
  <c r="H46" i="2"/>
  <c r="G46" i="2"/>
  <c r="F46" i="2"/>
  <c r="E46" i="2"/>
  <c r="D46" i="2"/>
  <c r="H45" i="2"/>
  <c r="G45" i="2"/>
  <c r="F45" i="2"/>
  <c r="E45" i="2"/>
  <c r="D45" i="2"/>
  <c r="H44" i="2"/>
  <c r="G44" i="2"/>
  <c r="F44" i="2"/>
  <c r="E44" i="2"/>
  <c r="D44" i="2"/>
  <c r="H43" i="2"/>
  <c r="G43" i="2"/>
  <c r="F43" i="2"/>
  <c r="E43" i="2"/>
  <c r="D43" i="2"/>
  <c r="H42" i="2"/>
  <c r="G42" i="2"/>
  <c r="F42" i="2"/>
  <c r="E42" i="2"/>
  <c r="D42" i="2"/>
  <c r="H41" i="2"/>
  <c r="G41" i="2"/>
  <c r="F41" i="2"/>
  <c r="E41" i="2"/>
  <c r="D41" i="2"/>
  <c r="E40" i="2"/>
  <c r="H40" i="2"/>
  <c r="G40" i="2"/>
  <c r="F40" i="2"/>
  <c r="D40" i="2"/>
  <c r="H39" i="2"/>
  <c r="G39" i="2"/>
  <c r="F39" i="2"/>
  <c r="E39" i="2"/>
  <c r="D39" i="2"/>
  <c r="H38" i="2"/>
  <c r="G38" i="2"/>
  <c r="F38" i="2"/>
  <c r="E38" i="2"/>
  <c r="D38" i="2"/>
  <c r="H37" i="2"/>
  <c r="G37" i="2"/>
  <c r="F37" i="2"/>
  <c r="E37" i="2"/>
  <c r="D37" i="2"/>
  <c r="H36" i="2"/>
  <c r="G36" i="2"/>
  <c r="F36" i="2"/>
  <c r="E36" i="2"/>
  <c r="D36" i="2"/>
  <c r="H35" i="2"/>
  <c r="G35" i="2"/>
  <c r="F35" i="2"/>
  <c r="E35" i="2"/>
  <c r="D35" i="2"/>
  <c r="H34" i="2"/>
  <c r="G34" i="2"/>
  <c r="F34" i="2"/>
  <c r="E34" i="2"/>
  <c r="D34" i="2"/>
  <c r="E33" i="2"/>
  <c r="F33" i="2"/>
  <c r="G33" i="2"/>
  <c r="H33" i="2"/>
  <c r="D33" i="2"/>
  <c r="H32" i="2"/>
  <c r="G32" i="2"/>
  <c r="F32" i="2"/>
  <c r="E32" i="2"/>
  <c r="D32" i="2"/>
  <c r="E31" i="2"/>
  <c r="D31" i="2"/>
  <c r="H31" i="2"/>
  <c r="G31" i="2"/>
  <c r="F31" i="2"/>
  <c r="H30" i="2"/>
  <c r="G30" i="2"/>
  <c r="F30" i="2"/>
  <c r="E30" i="2"/>
  <c r="D30" i="2"/>
  <c r="H29" i="2"/>
  <c r="G29" i="2"/>
  <c r="F29" i="2"/>
  <c r="E29" i="2"/>
  <c r="D29" i="2"/>
  <c r="H28" i="2"/>
  <c r="G28" i="2"/>
  <c r="F28" i="2"/>
  <c r="E28" i="2"/>
  <c r="D28" i="2"/>
  <c r="H27" i="2"/>
  <c r="G27" i="2"/>
  <c r="F27" i="2"/>
  <c r="E27" i="2"/>
  <c r="D27" i="2"/>
  <c r="H26" i="2"/>
  <c r="G26" i="2"/>
  <c r="F26" i="2"/>
  <c r="E26" i="2"/>
  <c r="D26" i="2"/>
  <c r="H25" i="2"/>
  <c r="G25" i="2"/>
  <c r="F25" i="2"/>
  <c r="E25" i="2"/>
  <c r="D25" i="2"/>
  <c r="H24" i="2"/>
  <c r="G24" i="2"/>
  <c r="F24" i="2"/>
  <c r="E24" i="2"/>
  <c r="D24" i="2"/>
  <c r="H23" i="2"/>
  <c r="G23" i="2"/>
  <c r="F23" i="2"/>
  <c r="E23" i="2"/>
  <c r="D23" i="2"/>
  <c r="H22" i="2"/>
  <c r="G22" i="2"/>
  <c r="F22" i="2"/>
  <c r="E22" i="2"/>
  <c r="D22" i="2"/>
  <c r="H21" i="2"/>
  <c r="G21" i="2"/>
  <c r="F21" i="2"/>
  <c r="E21" i="2"/>
  <c r="D21" i="2"/>
  <c r="H20" i="2"/>
  <c r="G20" i="2"/>
  <c r="F20" i="2"/>
  <c r="E20" i="2"/>
  <c r="D20" i="2"/>
  <c r="H19" i="2"/>
  <c r="G19" i="2"/>
  <c r="F19" i="2"/>
  <c r="E19" i="2"/>
  <c r="D19" i="2"/>
  <c r="H18" i="2"/>
  <c r="G18" i="2"/>
  <c r="F18" i="2"/>
  <c r="E18" i="2"/>
  <c r="D18" i="2"/>
  <c r="H17" i="2"/>
  <c r="G17" i="2"/>
  <c r="F17" i="2"/>
  <c r="E17" i="2"/>
  <c r="D17" i="2"/>
  <c r="H16" i="2"/>
  <c r="G16" i="2"/>
  <c r="F16" i="2"/>
  <c r="E16" i="2"/>
  <c r="D16" i="2"/>
  <c r="H15" i="2"/>
  <c r="G15" i="2"/>
  <c r="F15" i="2"/>
  <c r="E15" i="2"/>
  <c r="D15" i="2"/>
  <c r="H14" i="2"/>
  <c r="G14" i="2"/>
  <c r="F14" i="2"/>
  <c r="E14" i="2"/>
  <c r="D14" i="2"/>
  <c r="H13" i="2"/>
  <c r="G13" i="2"/>
  <c r="F13" i="2"/>
  <c r="E13" i="2"/>
  <c r="D13" i="2"/>
  <c r="H12" i="2"/>
  <c r="G12" i="2"/>
  <c r="F12" i="2"/>
  <c r="E12" i="2"/>
  <c r="D12" i="2"/>
  <c r="H11" i="2"/>
  <c r="G11" i="2"/>
  <c r="F11" i="2"/>
  <c r="E11" i="2"/>
  <c r="D11" i="2"/>
  <c r="L9" i="2"/>
  <c r="H9" i="2"/>
  <c r="G9" i="2"/>
  <c r="F9" i="2"/>
  <c r="E9" i="2"/>
  <c r="D9" i="2"/>
  <c r="H10" i="2"/>
  <c r="G10" i="2"/>
  <c r="F10" i="2"/>
  <c r="E10" i="2"/>
  <c r="D10" i="2"/>
  <c r="H8" i="2"/>
  <c r="G8" i="2"/>
  <c r="F8" i="2"/>
  <c r="E8" i="2"/>
  <c r="D8" i="2"/>
  <c r="H7" i="2"/>
  <c r="G7" i="2"/>
  <c r="F7" i="2"/>
  <c r="E7" i="2"/>
  <c r="D7" i="2"/>
  <c r="H6" i="2"/>
  <c r="G6" i="2"/>
  <c r="F6" i="2"/>
  <c r="E6" i="2"/>
  <c r="D6" i="2"/>
  <c r="H5" i="2"/>
  <c r="G5" i="2"/>
  <c r="F5" i="2"/>
  <c r="E5" i="2"/>
  <c r="D5" i="2"/>
  <c r="H4" i="2"/>
  <c r="G4" i="2"/>
  <c r="F4" i="2"/>
  <c r="E4" i="2"/>
  <c r="D4" i="2"/>
  <c r="H3" i="2"/>
  <c r="G3" i="2"/>
  <c r="F3" i="2"/>
  <c r="E3" i="2"/>
  <c r="B3" i="3" s="1" a="1"/>
  <c r="B3" i="3" s="1"/>
  <c r="C3" i="3" s="1"/>
  <c r="D3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8" i="2"/>
  <c r="L7" i="2"/>
  <c r="L6" i="2"/>
  <c r="L5" i="2"/>
  <c r="L4" i="2"/>
  <c r="L3" i="2"/>
  <c r="L2" i="2"/>
  <c r="H2" i="2"/>
  <c r="G2" i="2"/>
  <c r="F2" i="2"/>
  <c r="E2" i="2"/>
  <c r="D2" i="2"/>
  <c r="D2" i="20" l="1"/>
  <c r="D3" i="20"/>
  <c r="E3" i="20" s="1"/>
  <c r="B4" i="3" a="1"/>
  <c r="B4" i="3" s="1"/>
  <c r="C4" i="3" s="1"/>
  <c r="B2" i="3" a="1"/>
  <c r="B2" i="3" s="1"/>
  <c r="C2" i="3" s="1"/>
  <c r="B12" i="3" a="1"/>
  <c r="B12" i="3" s="1"/>
  <c r="C12" i="3" s="1"/>
  <c r="B11" i="3" a="1"/>
  <c r="B11" i="3" s="1"/>
  <c r="C11" i="3" s="1"/>
  <c r="B10" i="3" a="1"/>
  <c r="B10" i="3" s="1"/>
  <c r="C10" i="3" s="1"/>
  <c r="B7" i="3" a="1"/>
  <c r="B7" i="3" s="1"/>
  <c r="C7" i="3" s="1"/>
  <c r="B8" i="3" a="1"/>
  <c r="B8" i="3" s="1"/>
  <c r="C8" i="3" s="1"/>
  <c r="B9" i="3" a="1"/>
  <c r="B9" i="3" s="1"/>
  <c r="C9" i="3" s="1"/>
  <c r="B6" i="3" a="1"/>
  <c r="B6" i="3" s="1"/>
  <c r="C6" i="3" s="1"/>
  <c r="B5" i="3" a="1"/>
  <c r="B5" i="3" s="1"/>
  <c r="C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1640A-A0C0-4E52-AED9-7AC8BCAF08C5}" keepAlive="1" name="Query - Astro Lab" description="Connection to the 'Astro Lab' query in the workbook." type="5" refreshedVersion="7" background="1" saveData="1">
    <dbPr connection="Provider=Microsoft.Mashup.OleDb.1;Data Source=$Workbook$;Location=&quot;Astro Lab&quot;;Extended Properties=&quot;&quot;" command="SELECT * FROM [Astro Lab]"/>
  </connection>
  <connection id="2" xr16:uid="{87D4DA5E-9954-4D08-86A0-5ADA79F00E51}" keepAlive="1" name="Query - Georgetown Running Company" description="Connection to the 'Georgetown Running Company' query in the workbook." type="5" refreshedVersion="7" background="1" saveData="1">
    <dbPr connection="Provider=Microsoft.Mashup.OleDb.1;Data Source=$Workbook$;Location=&quot;Georgetown Running Company&quot;;Extended Properties=&quot;&quot;" command="SELECT * FROM [Georgetown Running Company]"/>
  </connection>
  <connection id="3" xr16:uid="{8B70861A-63AD-44B2-8569-AE703A144AAA}" keepAlive="1" name="Query - Murphy's Run Club" description="Connection to the 'Murphy's Run Club' query in the workbook." type="5" refreshedVersion="7" background="1" saveData="1">
    <dbPr connection="Provider=Microsoft.Mashup.OleDb.1;Data Source=$Workbook$;Location=&quot;Murphy's Run Club&quot;;Extended Properties=&quot;&quot;" command="SELECT * FROM [Murphy's Run Club]"/>
  </connection>
  <connection id="4" xr16:uid="{86BA67B6-05E7-4518-A89B-B0F5C776D77A}" keepAlive="1" name="Query - New District Brewing Co" description="Connection to the 'New District Brewing Co' query in the workbook." type="5" refreshedVersion="7" background="1" saveData="1">
    <dbPr connection="Provider=Microsoft.Mashup.OleDb.1;Data Source=$Workbook$;Location=&quot;New District Brewing Co&quot;;Extended Properties=&quot;&quot;" command="SELECT * FROM [New District Brewing Co]"/>
  </connection>
  <connection id="5" xr16:uid="{041DD922-DCF5-45E0-B813-75779D8DFC9D}" keepAlive="1" name="Query - Port City" description="Connection to the 'Port City' query in the workbook." type="5" refreshedVersion="7" background="1" saveData="1">
    <dbPr connection="Provider=Microsoft.Mashup.OleDb.1;Data Source=$Workbook$;Location=&quot;Port City&quot;;Extended Properties=&quot;&quot;" command="SELECT * FROM [Port City]"/>
  </connection>
  <connection id="6" xr16:uid="{E2471B23-D165-49AF-ADA2-9F5A67FDDB45}" keepAlive="1" name="Query - Run Route 1" description="Connection to the 'Run Route 1' query in the workbook." type="5" refreshedVersion="7" background="1" saveData="1">
    <dbPr connection="Provider=Microsoft.Mashup.OleDb.1;Data Source=$Workbook$;Location=&quot;Run Route 1&quot;;Extended Properties=&quot;&quot;" command="SELECT * FROM [Run Route 1]"/>
  </connection>
  <connection id="7" xr16:uid="{F8886B71-02BC-440D-9C2D-1F2E6D3B3B0C}" keepAlive="1" name="Query - Shirlington Running Club" description="Connection to the 'Shirlington Running Club' query in the workbook." type="5" refreshedVersion="7" background="1" saveData="1">
    <dbPr connection="Provider=Microsoft.Mashup.OleDb.1;Data Source=$Workbook$;Location=&quot;Shirlington Running Club&quot;;Extended Properties=&quot;&quot;" command="SELECT * FROM [Shirlington Running Club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<sst xmlns="http://schemas.openxmlformats.org/spreadsheetml/2006/main" count="2892" uniqueCount="803">
  <si>
    <t>Date</t>
  </si>
  <si>
    <t>Run Name</t>
  </si>
  <si>
    <t>Run Distance</t>
  </si>
  <si>
    <t>Route</t>
  </si>
  <si>
    <t>Mile 1 Split</t>
  </si>
  <si>
    <t>Mile 2 Split</t>
  </si>
  <si>
    <t>Mile 3 Split</t>
  </si>
  <si>
    <t>Link:</t>
  </si>
  <si>
    <t>https://www.strava.com/activities/3848082495</t>
  </si>
  <si>
    <t>Georgetown Running Company</t>
  </si>
  <si>
    <t>Time in Seconds</t>
  </si>
  <si>
    <t>Pace (in seconds)</t>
  </si>
  <si>
    <t>Georgetown to Jefferson Memorial</t>
  </si>
  <si>
    <t>Notes:</t>
  </si>
  <si>
    <t>Streak #:</t>
  </si>
  <si>
    <t>https://www.strava.com/activities/3852990056</t>
  </si>
  <si>
    <t>Formula Running Center</t>
  </si>
  <si>
    <t>Rosslyn to DC</t>
  </si>
  <si>
    <t>Ran with Gratton</t>
  </si>
  <si>
    <t>Elevation (in feet)</t>
  </si>
  <si>
    <t>Port City</t>
  </si>
  <si>
    <t>Joggers &amp; Lagers 5 Mile Route</t>
  </si>
  <si>
    <t>10 Mile Record</t>
  </si>
  <si>
    <t>5 Mile Record</t>
  </si>
  <si>
    <t>13.1 Mile Record</t>
  </si>
  <si>
    <t>5K Record</t>
  </si>
  <si>
    <t>10K Record</t>
  </si>
  <si>
    <t>4 Mile Record</t>
  </si>
  <si>
    <t>https://www.strava.com/activities/3860614082</t>
  </si>
  <si>
    <t>Shirlington Running Club</t>
  </si>
  <si>
    <t>Dudley's Summer Route</t>
  </si>
  <si>
    <t>https://www.strava.com/activities/3865545383</t>
  </si>
  <si>
    <t>Ran with Alex</t>
  </si>
  <si>
    <t>Murphy's Run Club</t>
  </si>
  <si>
    <t>Murphy's Summer Route</t>
  </si>
  <si>
    <t>https://www.strava.com/activities/3870690820</t>
  </si>
  <si>
    <t>3 Mile Record</t>
  </si>
  <si>
    <t>New District Brewing Co.</t>
  </si>
  <si>
    <t>New District Summer Route</t>
  </si>
  <si>
    <t>https://www.strava.com/activities/3880088257</t>
  </si>
  <si>
    <t>https://www.strava.com/activities/3875612244</t>
  </si>
  <si>
    <t>Old Town Alexandria 5K</t>
  </si>
  <si>
    <t>https://www.strava.com/activities/3889118606</t>
  </si>
  <si>
    <t>College Park Long Run</t>
  </si>
  <si>
    <t>https://www.strava.com/activities/3882700631</t>
  </si>
  <si>
    <t>Rock Creek Park</t>
  </si>
  <si>
    <t>https://www.strava.com/activities/3894844075</t>
  </si>
  <si>
    <t>Hains Point 5K</t>
  </si>
  <si>
    <t>Hains Point</t>
  </si>
  <si>
    <t>https://www.strava.com/activities/3899886795</t>
  </si>
  <si>
    <t>https://www.strava.com/activities/3904692920</t>
  </si>
  <si>
    <t>https://www.strava.com/activities/3909356895</t>
  </si>
  <si>
    <t>https://www.strava.com/activities/3913740869</t>
  </si>
  <si>
    <t>Old Town Alexandria 3 Mile Run</t>
  </si>
  <si>
    <t>C &amp; O Canal</t>
  </si>
  <si>
    <t>https://www.strava.com/activities/3916444375</t>
  </si>
  <si>
    <t>Berwyn Heights Run</t>
  </si>
  <si>
    <t>https://www.strava.com/activities/3924273465</t>
  </si>
  <si>
    <t>https://www.strava.com/activities/3928452708</t>
  </si>
  <si>
    <t>https://www.strava.com/activities/3933455350</t>
  </si>
  <si>
    <t>https://www.strava.com/activities/3938211598</t>
  </si>
  <si>
    <t>https://www.strava.com/activities/3942945141</t>
  </si>
  <si>
    <t>https://www.strava.com/activities/3946989554</t>
  </si>
  <si>
    <t>https://www.strava.com/activities/3949638142'</t>
  </si>
  <si>
    <t>Murphy's Long Run</t>
  </si>
  <si>
    <t>National Mall Route (half)</t>
  </si>
  <si>
    <t>https://www.strava.com/activities/3954365523</t>
  </si>
  <si>
    <t>Kobe Bryant 8/24</t>
  </si>
  <si>
    <t>Joggers &amp; Lagers 6 Mile Route</t>
  </si>
  <si>
    <t>https://www.strava.com/activities/3961452711</t>
  </si>
  <si>
    <t>https://www.strava.com/activities/3964602073</t>
  </si>
  <si>
    <t>USPS Headquarters Loop</t>
  </si>
  <si>
    <t>USPS Headquarters Loop (x3)</t>
  </si>
  <si>
    <t>https://www.strava.com/activities/3970823032</t>
  </si>
  <si>
    <t>https://www.strava.com/activities/3975311616</t>
  </si>
  <si>
    <t>https://www.strava.com/activities/3978727030</t>
  </si>
  <si>
    <t>https://www.strava.com/activities/3982683857</t>
  </si>
  <si>
    <t>Rosslyn to Georgetown</t>
  </si>
  <si>
    <t>https://www.strava.com/activities/3985992166</t>
  </si>
  <si>
    <t>https://www.strava.com/activities/3993598515</t>
  </si>
  <si>
    <t>https://www.strava.com/activities/3998456589</t>
  </si>
  <si>
    <t>Hains Point 3 Mile Run</t>
  </si>
  <si>
    <t>https://www.strava.com/activities/4003305927</t>
  </si>
  <si>
    <t>https://www.strava.com/activities/4007865423</t>
  </si>
  <si>
    <t>https://www.strava.com/activities/4011162166</t>
  </si>
  <si>
    <t>https://www.strava.com/activities/4015193908</t>
  </si>
  <si>
    <t>https://www.strava.com/activities/4020152812</t>
  </si>
  <si>
    <t>https://www.strava.com/activities/4027692423</t>
  </si>
  <si>
    <t>https://www.strava.com/activities/4032352688</t>
  </si>
  <si>
    <t>https://www.strava.com/activities/4037134403</t>
  </si>
  <si>
    <t>https://www.strava.com/activities/4041678061</t>
  </si>
  <si>
    <t>DC to Pentagon City</t>
  </si>
  <si>
    <t>https://www.strava.com/activities/4045677900</t>
  </si>
  <si>
    <t>Team RWB Washington DC 9/11 Moving Tribute</t>
  </si>
  <si>
    <t>Mt. Vernon Trail</t>
  </si>
  <si>
    <t>https://www.strava.com/activities/4048444391</t>
  </si>
  <si>
    <t>https://www.strava.com/activities/4053666246</t>
  </si>
  <si>
    <t>Burke Lake</t>
  </si>
  <si>
    <t>https://www.strava.com/activities/4060716660</t>
  </si>
  <si>
    <t>https://www.strava.com/activities/4064157258</t>
  </si>
  <si>
    <t>https://www.strava.com/activities/4070785572</t>
  </si>
  <si>
    <t>https://www.strava.com/activities/4075309885</t>
  </si>
  <si>
    <t>Run Route 1</t>
  </si>
  <si>
    <t>https://www.strava.com/activities/4079672874</t>
  </si>
  <si>
    <t>Route 1</t>
  </si>
  <si>
    <t>Theodore Roosevelt Island</t>
  </si>
  <si>
    <t>https://www.strava.com/activities/4082066767</t>
  </si>
  <si>
    <t>https://www.strava.com/activities/4090396074</t>
  </si>
  <si>
    <t>https://www.strava.com/activities/4094293359</t>
  </si>
  <si>
    <t>https://www.strava.com/activities/4099186064</t>
  </si>
  <si>
    <t>Ran with Trip</t>
  </si>
  <si>
    <t>https://www.strava.com/activities/4103867920</t>
  </si>
  <si>
    <t>Distance</t>
  </si>
  <si>
    <t>Pace</t>
  </si>
  <si>
    <t>https://www.strava.com/activities/4108172487</t>
  </si>
  <si>
    <t>Ran with Don</t>
  </si>
  <si>
    <t>Kingstowne Striders</t>
  </si>
  <si>
    <t>https://www.strava.com/activities/4110873764</t>
  </si>
  <si>
    <t>https://www.strava.com/activities/4114368911</t>
  </si>
  <si>
    <t>https://www.strava.com/activities/4125612453</t>
  </si>
  <si>
    <t>https://www.strava.com/activities/4119311068</t>
  </si>
  <si>
    <t>https://www.strava.com/activities/4130374255</t>
  </si>
  <si>
    <t>Run #</t>
  </si>
  <si>
    <t>Murphy's Winter Route</t>
  </si>
  <si>
    <t>https://www.strava.com/activities/4135018569</t>
  </si>
  <si>
    <t>15 Mile Record</t>
  </si>
  <si>
    <t>15K Record (9.32057 miles)</t>
  </si>
  <si>
    <t>20 Mile Record</t>
  </si>
  <si>
    <t>Marathon Record</t>
  </si>
  <si>
    <t>50K Record</t>
  </si>
  <si>
    <t>https://www.strava.com/activities/4139249774</t>
  </si>
  <si>
    <t>https://www.strava.com/activities/4143119218</t>
  </si>
  <si>
    <t>https://www.strava.com/activities/4145249696</t>
  </si>
  <si>
    <t>August 2020</t>
  </si>
  <si>
    <t>Month</t>
  </si>
  <si>
    <t>September 2020</t>
  </si>
  <si>
    <t>October 2020</t>
  </si>
  <si>
    <t>November 2020</t>
  </si>
  <si>
    <t>December 2020</t>
  </si>
  <si>
    <t>January 2021</t>
  </si>
  <si>
    <t>February 2021</t>
  </si>
  <si>
    <t>Total Miles</t>
  </si>
  <si>
    <t>Date Range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</si>
  <si>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</si>
  <si>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</si>
  <si>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</si>
  <si>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</si>
  <si>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</si>
  <si>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</si>
  <si>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</si>
  <si>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</si>
  <si>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</si>
  <si>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</si>
  <si>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Average Pace</t>
  </si>
  <si>
    <t>Average Pace (in seconds)</t>
  </si>
  <si>
    <t>Del Ray Long Run</t>
  </si>
  <si>
    <t>https://www.strava.com/activities/4150411346</t>
  </si>
  <si>
    <t>https://www.strava.com/activities/4156732637</t>
  </si>
  <si>
    <t>Marine Corps Marathon</t>
  </si>
  <si>
    <t>NOVA Running Club Track Workout</t>
  </si>
  <si>
    <t>https://www.strava.com/activities/4161090054</t>
  </si>
  <si>
    <t>Track Workout</t>
  </si>
  <si>
    <t>https://www.strava.com/activities/4165576619</t>
  </si>
  <si>
    <t>New District Winter Route</t>
  </si>
  <si>
    <t>https://www.strava.com/activities/4169743559</t>
  </si>
  <si>
    <t>https://www.strava.com/activities/4172425653</t>
  </si>
  <si>
    <t>https://www.strava.com/activities/4187910645</t>
  </si>
  <si>
    <t>Cave City Run</t>
  </si>
  <si>
    <t>Cave City</t>
  </si>
  <si>
    <t>https://www.strava.com/activities/4183679740</t>
  </si>
  <si>
    <t>https://www.strava.com/activities/4178527136</t>
  </si>
  <si>
    <t>Mammoth Cave Run</t>
  </si>
  <si>
    <t>Mammoth Cave</t>
  </si>
  <si>
    <t>https://www.strava.com/activities/4191694829</t>
  </si>
  <si>
    <t>Dudley's Winter Route</t>
  </si>
  <si>
    <t>https://www.strava.com/activities/4196162537</t>
  </si>
  <si>
    <t>Ran with Hilty</t>
  </si>
  <si>
    <t>https://www.strava.com/activities/4200269274</t>
  </si>
  <si>
    <t>https://www.strava.com/activities/4203980957</t>
  </si>
  <si>
    <t>Army Ten Miler</t>
  </si>
  <si>
    <t>https://www.strava.com/activities/4206157544</t>
  </si>
  <si>
    <t>https://www.strava.com/activities/4211792372</t>
  </si>
  <si>
    <t>https://www.strava.com/activities/4217749250</t>
  </si>
  <si>
    <t>https://www.strava.com/activities/4222214550</t>
  </si>
  <si>
    <t>Ran with Margaret</t>
  </si>
  <si>
    <t>https://www.strava.com/activities/4226519733</t>
  </si>
  <si>
    <t>https://www.strava.com/activities/4230715181</t>
  </si>
  <si>
    <t>https://www.strava.com/activities/4234531100</t>
  </si>
  <si>
    <t>https://www.strava.com/activities/4236914263</t>
  </si>
  <si>
    <t>https://www.strava.com/activities/4244185963</t>
  </si>
  <si>
    <t>https://www.strava.com/activities/4247822874</t>
  </si>
  <si>
    <t>Ran in costume</t>
  </si>
  <si>
    <t>https://www.strava.com/activities/4255142862</t>
  </si>
  <si>
    <t>https://www.strava.com/activities/4252138181</t>
  </si>
  <si>
    <t>https://www.strava.com/activities/4262272045</t>
  </si>
  <si>
    <t>https://www.strava.com/activities/4260338717</t>
  </si>
  <si>
    <t>https://www.strava.com/activities/4268598858</t>
  </si>
  <si>
    <t>https://www.strava.com/activities/4273809044</t>
  </si>
  <si>
    <t>https://www.strava.com/activities/4278409016</t>
  </si>
  <si>
    <t>https://www.strava.com/activities/4282969123</t>
  </si>
  <si>
    <t>https://www.strava.com/activities/4287637149</t>
  </si>
  <si>
    <t>Murphy's National Harbor Route</t>
  </si>
  <si>
    <t>https://www.strava.com/activities/4292167702</t>
  </si>
  <si>
    <t>https://www.strava.com/activities/4299125751</t>
  </si>
  <si>
    <t>https://www.strava.com/activities/4302030178</t>
  </si>
  <si>
    <t>https://www.strava.com/activities/4308402052</t>
  </si>
  <si>
    <t>https://www.strava.com/activities/4336406658</t>
  </si>
  <si>
    <t>https://www.fitbit.com/activities/exercise/35664839979</t>
  </si>
  <si>
    <t>https://www.strava.com/activities/4315123661</t>
  </si>
  <si>
    <t>https://www.strava.com/activities/4333859121</t>
  </si>
  <si>
    <t>Great Smoky Mountains National Park Run</t>
  </si>
  <si>
    <t>Great Smoky Mountains National Park</t>
  </si>
  <si>
    <t>Gatlinburg, TN Run</t>
  </si>
  <si>
    <t>Gatlinburg, TN</t>
  </si>
  <si>
    <t>https://www.strava.com/activities/4325380189</t>
  </si>
  <si>
    <t>https://www.strava.com/activities/4320472267</t>
  </si>
  <si>
    <t>https://www.strava.com/activities/4342942710</t>
  </si>
  <si>
    <t>https://www.strava.com/activities/4348412974</t>
  </si>
  <si>
    <t>https://www.strava.com/activities/4353418213</t>
  </si>
  <si>
    <t>https://www.strava.com/activities/4358244475</t>
  </si>
  <si>
    <t>Pacers Alexandria</t>
  </si>
  <si>
    <t>Pacers Alexandria Winter Route</t>
  </si>
  <si>
    <t>https://www.strava.com/activities/4362528662</t>
  </si>
  <si>
    <t>https://www.strava.com/activities/4365743362</t>
  </si>
  <si>
    <t>https://www.strava.com/activities/4369446049</t>
  </si>
  <si>
    <t>Georgetown to National Mall</t>
  </si>
  <si>
    <t>https://www.strava.com/activities/4375929046</t>
  </si>
  <si>
    <t>https://www.strava.com/activities/4381959860</t>
  </si>
  <si>
    <t>https://www.strava.com/activities/4386645081</t>
  </si>
  <si>
    <t>https://www.strava.com/activities/4391311781</t>
  </si>
  <si>
    <t>11th Annual Kingstowne Striders Turkey Trot</t>
  </si>
  <si>
    <t>Kingstowne Striders Panera Route</t>
  </si>
  <si>
    <t>https://www.strava.com/activities/4393344969</t>
  </si>
  <si>
    <t>https://www.strava.com/activities/4402223660</t>
  </si>
  <si>
    <t>Sunday Group Run @ Panera Kingstowne</t>
  </si>
  <si>
    <t>https://www.strava.com/activities/4407633383</t>
  </si>
  <si>
    <t>Joggers &amp; Lagers 4 Mile Route</t>
  </si>
  <si>
    <t>https://www.strava.com/activities/4413876315</t>
  </si>
  <si>
    <t>College Park to Beltsville</t>
  </si>
  <si>
    <t>https://www.strava.com/activities/4399889653</t>
  </si>
  <si>
    <t>https://www.strava.com/activities/4418440681</t>
  </si>
  <si>
    <t>https://www.strava.com/activities/4422851086</t>
  </si>
  <si>
    <t>https://www.strava.com/activities/4426758310</t>
  </si>
  <si>
    <t>Old Town Alexandria</t>
  </si>
  <si>
    <t>https://www.strava.com/activities/4430342873</t>
  </si>
  <si>
    <t>https://www.strava.com/activities/4432858801</t>
  </si>
  <si>
    <t>Del Ray to DC Long Run</t>
  </si>
  <si>
    <t>https://www.strava.com/activities/4438185548</t>
  </si>
  <si>
    <t>https://www.strava.com/activities/4443890511</t>
  </si>
  <si>
    <t>https://www.strava.com/activities/4448274227</t>
  </si>
  <si>
    <t>https://www.strava.com/activities/4473261313</t>
  </si>
  <si>
    <t>https://www.strava.com/activities/4467958812</t>
  </si>
  <si>
    <t>https://www.strava.com/activities/4467900848</t>
  </si>
  <si>
    <t>https://www.strava.com/activities/4462520609</t>
  </si>
  <si>
    <t>https://www.strava.com/activities/4459578851</t>
  </si>
  <si>
    <t>https://www.strava.com/activities/4456512509</t>
  </si>
  <si>
    <t>https://www.strava.com/activities/4452527883</t>
  </si>
  <si>
    <t>https://www.strava.com/activities/4477439914</t>
  </si>
  <si>
    <t>https://www.strava.com/activities/4481477245</t>
  </si>
  <si>
    <t>https://www.strava.com/activities/4485294696</t>
  </si>
  <si>
    <t>https://www.strava.com/activities/4487910580</t>
  </si>
  <si>
    <t>Custis Trail</t>
  </si>
  <si>
    <t>https://www.strava.com/activities/4491171799</t>
  </si>
  <si>
    <t>Del Ray to Alexandria Long Run</t>
  </si>
  <si>
    <t>https://www.strava.com/activities/4496543753</t>
  </si>
  <si>
    <t>https://www.strava.com/activities/4502054124</t>
  </si>
  <si>
    <t>https://www.strava.com/activities/4506513439</t>
  </si>
  <si>
    <t>https://www.strava.com/activities/4510325091</t>
  </si>
  <si>
    <t>https://www.strava.com/activities/4513371888</t>
  </si>
  <si>
    <t>Donaldson Run</t>
  </si>
  <si>
    <t>https://www.strava.com/activities/4516351029</t>
  </si>
  <si>
    <t>https://www.strava.com/activities/4520036617</t>
  </si>
  <si>
    <t>https://www.strava.com/activities/4526500355</t>
  </si>
  <si>
    <t>Pacers 14th Street Fun Run</t>
  </si>
  <si>
    <t>Jeff Bezos Route</t>
  </si>
  <si>
    <t>https://www.strava.com/activities/4531916872</t>
  </si>
  <si>
    <t>https://www.strava.com/activities/4536827225</t>
  </si>
  <si>
    <t>https://www.strava.com/activities/4541897336</t>
  </si>
  <si>
    <t>Run with Coach D</t>
  </si>
  <si>
    <t>https://www.strava.com/activities/4546241353</t>
  </si>
  <si>
    <t>https://www.strava.com/activities/4551924496</t>
  </si>
  <si>
    <t>https://www.strava.com/activities/4554273054</t>
  </si>
  <si>
    <t>Georgetown to Calvert Hill</t>
  </si>
  <si>
    <t>Marathon</t>
  </si>
  <si>
    <t>Mile 1</t>
  </si>
  <si>
    <t>Mile 2</t>
  </si>
  <si>
    <t>Mile 3</t>
  </si>
  <si>
    <t>Mile 4</t>
  </si>
  <si>
    <t>Mile 5</t>
  </si>
  <si>
    <t>Mile 6</t>
  </si>
  <si>
    <t>Mile 7</t>
  </si>
  <si>
    <t>Mile 8</t>
  </si>
  <si>
    <t>Mile 9</t>
  </si>
  <si>
    <t>Mile 10</t>
  </si>
  <si>
    <t>Mile 11</t>
  </si>
  <si>
    <t>Mile 12</t>
  </si>
  <si>
    <t>Mile 13</t>
  </si>
  <si>
    <t>Mile 14</t>
  </si>
  <si>
    <t>Mile 15</t>
  </si>
  <si>
    <t>Mile 16</t>
  </si>
  <si>
    <t>Mile 17</t>
  </si>
  <si>
    <t>Mile 18</t>
  </si>
  <si>
    <t>Mile 19</t>
  </si>
  <si>
    <t>Mile 20</t>
  </si>
  <si>
    <t>Mile 21</t>
  </si>
  <si>
    <t>Mile 22</t>
  </si>
  <si>
    <t>Mile 23</t>
  </si>
  <si>
    <t>Mile 24</t>
  </si>
  <si>
    <t>Mile 25</t>
  </si>
  <si>
    <t>Mile 26</t>
  </si>
  <si>
    <t>https://www.strava.com/activities/4561861704</t>
  </si>
  <si>
    <t>https://www.strava.com/activities/4568549090</t>
  </si>
  <si>
    <t>https://www.strava.com/activities/4573994170</t>
  </si>
  <si>
    <t>https://www.strava.com/activities/4587791726</t>
  </si>
  <si>
    <t>https://www.strava.com/activities/4579681372</t>
  </si>
  <si>
    <t>https://www.strava.com/activities/4584668867</t>
  </si>
  <si>
    <t>https://www.strava.com/activities/4592007904</t>
  </si>
  <si>
    <t>https://www.strava.com/activities/4599903983</t>
  </si>
  <si>
    <t>https://www.strava.com/activities/4606352534</t>
  </si>
  <si>
    <t>https://www.strava.com/activities/4611767804</t>
  </si>
  <si>
    <t>https://www.strava.com/activities/4617121700</t>
  </si>
  <si>
    <t>https://www.strava.com/activities/4621977921</t>
  </si>
  <si>
    <t>https://www.strava.com/activities/4624126459</t>
  </si>
  <si>
    <t>https://www.strava.com/activities/4631488228</t>
  </si>
  <si>
    <t>https://www.strava.com/activities/4636997238</t>
  </si>
  <si>
    <t>GPS is very inconsistent and times and miles splits are *incorrect*</t>
  </si>
  <si>
    <t>Mile 26.2</t>
  </si>
  <si>
    <t>https://www.strava.com/activities/4644130656</t>
  </si>
  <si>
    <t>https://www.strava.com/activities/4649454490</t>
  </si>
  <si>
    <t>https://www.strava.com/activities/4654759464</t>
  </si>
  <si>
    <t>https://www.strava.com/activities/4659903812</t>
  </si>
  <si>
    <t>https://www.strava.com/activities/4663350856</t>
  </si>
  <si>
    <t>https://www.strava.com/activities/4667652636</t>
  </si>
  <si>
    <t>https://www.strava.com/activities/4675094101</t>
  </si>
  <si>
    <t>https://www.strava.com/activities/4681326821</t>
  </si>
  <si>
    <t>https://www.strava.com/activities/4687166857</t>
  </si>
  <si>
    <t>https://www.strava.com/activities/4700838552</t>
  </si>
  <si>
    <t>https://www.strava.com/activities/4697548501</t>
  </si>
  <si>
    <t>https://www.strava.com/activities/4692590084</t>
  </si>
  <si>
    <t>https://www.strava.com/activities/4705226085</t>
  </si>
  <si>
    <t>https://www.strava.com/activities/4713024785</t>
  </si>
  <si>
    <t>https://www.strava.com/activities/4719485798</t>
  </si>
  <si>
    <t>https://www.strava.com/activities/4724994548</t>
  </si>
  <si>
    <t>https://www.strava.com/activities/4730583781</t>
  </si>
  <si>
    <t>https://www.strava.com/activities/4736074815</t>
  </si>
  <si>
    <t>https://www.strava.com/activities/4741383162</t>
  </si>
  <si>
    <t>https://www.strava.com/activities/4744203471</t>
  </si>
  <si>
    <t>https://www.strava.com/activities/4751401788</t>
  </si>
  <si>
    <t>https://www.strava.com/activities/4757743623</t>
  </si>
  <si>
    <t>https://www.strava.com/activities/4768128355</t>
  </si>
  <si>
    <t>https://www.strava.com/activities/4762830134</t>
  </si>
  <si>
    <t>Oak Island Marathon</t>
  </si>
  <si>
    <t>https://www.strava.com/activities/4773004615</t>
  </si>
  <si>
    <t>https://www.strava.com/activities/4773644744</t>
  </si>
  <si>
    <t>https://www.strava.com/activities/4780996375</t>
  </si>
  <si>
    <t>https://www.strava.com/activities/4789027911</t>
  </si>
  <si>
    <t>https://www.strava.com/activities/4794030450</t>
  </si>
  <si>
    <t>https://www.strava.com/activities/4799209448</t>
  </si>
  <si>
    <t>https://www.strava.com/activities/4802990080</t>
  </si>
  <si>
    <t>https://www.strava.com/activities/4809544425</t>
  </si>
  <si>
    <t>https://www.strava.com/activities/4813222359</t>
  </si>
  <si>
    <t>https://www.strava.com/activities/4817753130</t>
  </si>
  <si>
    <t>Wakefield/Accotink Trail</t>
  </si>
  <si>
    <t>https://www.strava.com/activities/4824381435</t>
  </si>
  <si>
    <t>https://www.strava.com/activities/4832777505</t>
  </si>
  <si>
    <t>https://www.strava.com/activities/4838796611</t>
  </si>
  <si>
    <t>https://www.strava.com/activities/4850744411</t>
  </si>
  <si>
    <t>https://www.strava.com/activities/4844971505</t>
  </si>
  <si>
    <t>https://www.strava.com/activities/4854861123</t>
  </si>
  <si>
    <t>https://www.strava.com/activities/4859148407</t>
  </si>
  <si>
    <t>https://www.strava.com/activities/4880489465</t>
  </si>
  <si>
    <t>https://www.strava.com/activities/4874384829</t>
  </si>
  <si>
    <t>https://www.strava.com/activities/4869359387</t>
  </si>
  <si>
    <t>https://www.strava.com/activities/4886619101</t>
  </si>
  <si>
    <t>The Wydown 5K</t>
  </si>
  <si>
    <t>H St to Eastern Market</t>
  </si>
  <si>
    <t>https://www.strava.com/activities/4891535708</t>
  </si>
  <si>
    <t>Georgetown to National Zoo</t>
  </si>
  <si>
    <t>https://www.strava.com/activities/4900154548</t>
  </si>
  <si>
    <t>https://www.strava.com/activities/4896156283</t>
  </si>
  <si>
    <t>Attempted to run the New District Brewing Co. route but was hit by a car</t>
  </si>
  <si>
    <t>https://www.strava.com/activities/4915481993</t>
  </si>
  <si>
    <t>https://www.strava.com/activities/4921283198</t>
  </si>
  <si>
    <t>https://www.strava.com/activities/4926850972</t>
  </si>
  <si>
    <t>https://www.strava.com/activities/4909611416</t>
  </si>
  <si>
    <t>https://www.strava.com/activities/4931711327</t>
  </si>
  <si>
    <t>https://www.strava.com/activities/4936518053</t>
  </si>
  <si>
    <t>https://www.strava.com/activities/4939382503</t>
  </si>
  <si>
    <t>https://www.strava.com/activities/4953429385</t>
  </si>
  <si>
    <t>Joggers &amp; Lagers 3 Mile Route</t>
  </si>
  <si>
    <t>St. Patty's Half Marathon</t>
  </si>
  <si>
    <t>https://www.strava.com/activities/4945963334</t>
  </si>
  <si>
    <t>https://www.strava.com/activities/4959082786</t>
  </si>
  <si>
    <t>https://www.strava.com/activities/4964492534</t>
  </si>
  <si>
    <t>https://www.strava.com/activities/4970318913</t>
  </si>
  <si>
    <t>https://www.strava.com/activities/4975043061</t>
  </si>
  <si>
    <t>Advil</t>
  </si>
  <si>
    <t>Robitussin</t>
  </si>
  <si>
    <t>Yes</t>
  </si>
  <si>
    <t>Supreme Court to Wharf</t>
  </si>
  <si>
    <t>https://www.strava.com/activities/4978554940</t>
  </si>
  <si>
    <t>https://www.strava.com/activities/4993130360</t>
  </si>
  <si>
    <t>Kingstowne Striders Sunday Run - District Taco</t>
  </si>
  <si>
    <t>https://www.strava.com/activities/4984471625</t>
  </si>
  <si>
    <t>Tylenol</t>
  </si>
  <si>
    <t>Pain</t>
  </si>
  <si>
    <t>https://www.strava.com/activities/4999226657</t>
  </si>
  <si>
    <t>https://www.strava.com/activities/5010891936</t>
  </si>
  <si>
    <t>https://www.strava.com/activities/5005425880</t>
  </si>
  <si>
    <t>https://www.strava.com/activities/5016138151</t>
  </si>
  <si>
    <t>Ran half of the route</t>
  </si>
  <si>
    <t>https://www.strava.com/activities/5027449440</t>
  </si>
  <si>
    <t>https://www.strava.com/activities/5018707887</t>
  </si>
  <si>
    <t>https://www.strava.com/activities/5034044437</t>
  </si>
  <si>
    <t>https://www.strava.com/activities/5040667864</t>
  </si>
  <si>
    <t>https://www.strava.com/activities/5046822626</t>
  </si>
  <si>
    <t>https://www.strava.com/activities/5052259720</t>
  </si>
  <si>
    <t>https://www.strava.com/activities/5058119832</t>
  </si>
  <si>
    <t>https://www.strava.com/activities/5063231469</t>
  </si>
  <si>
    <t>Kingstowne Striders Sunday Run - Mt. Vernon Trail</t>
  </si>
  <si>
    <t>Astro Lab</t>
  </si>
  <si>
    <t>Astro Lab 3 Mile Route</t>
  </si>
  <si>
    <t>https://www.strava.com/activities/5067417935</t>
  </si>
  <si>
    <t>https://www.strava.com/activities/5076352450</t>
  </si>
  <si>
    <t>https://www.strava.com/activities/5081843169</t>
  </si>
  <si>
    <t>https://www.strava.com/activities/5098320332</t>
  </si>
  <si>
    <t>Ran It With Janet Training Run #1</t>
  </si>
  <si>
    <t>https://www.strava.com/activities/5093433663</t>
  </si>
  <si>
    <t>https://www.strava.com/activities/5088076294</t>
  </si>
  <si>
    <t>Manassas National Battlefield Park</t>
  </si>
  <si>
    <t>https://www.strava.com/activities/5102221299</t>
  </si>
  <si>
    <t>*Met Clare</t>
  </si>
  <si>
    <t>https://www.strava.com/activities/5116690678</t>
  </si>
  <si>
    <t>https://www.strava.com/activities/5108426334</t>
  </si>
  <si>
    <t>https://www.strava.com/activities/5122446621</t>
  </si>
  <si>
    <t>Murphy's Winter 3 Mile Route</t>
  </si>
  <si>
    <t>https://www.strava.com/activities/5128601040</t>
  </si>
  <si>
    <t>https://www.strava.com/activities/5133976462</t>
  </si>
  <si>
    <t>https://www.strava.com/activities/5152217373</t>
  </si>
  <si>
    <t>Georgetown to Capitol Building</t>
  </si>
  <si>
    <t>https://www.strava.com/activities/5142230977</t>
  </si>
  <si>
    <t>https://www.strava.com/activities/5157497187</t>
  </si>
  <si>
    <t>https://www.strava.com/activities/5137315671</t>
  </si>
  <si>
    <t>https://www.strava.com/activities/5169582997</t>
  </si>
  <si>
    <t>https://www.strava.com/activities/5163448776</t>
  </si>
  <si>
    <t>https://www.strava.com/activities/5179331969</t>
  </si>
  <si>
    <t>https://www.strava.com/activities/5175025489</t>
  </si>
  <si>
    <t>Ran It With Janet Training Run #2</t>
  </si>
  <si>
    <t>Pacers 5K</t>
  </si>
  <si>
    <t>https://www.strava.com/activities/5185496719</t>
  </si>
  <si>
    <t>https://www.strava.com/activities/5189925598</t>
  </si>
  <si>
    <t>Strava was a bit short of the 5K
Official Result: https://runsignup.com/Race/Results/109068/IndividualResult/KgMB?resultSetId=249873#U38473100</t>
  </si>
  <si>
    <t>https://www.strava.com/activities/5212849866</t>
  </si>
  <si>
    <t>https://www.strava.com/activities/5198481623</t>
  </si>
  <si>
    <t>https://www.strava.com/activities/5204299976</t>
  </si>
  <si>
    <t>https://www.strava.com/activities/5218921395</t>
  </si>
  <si>
    <t>https://www.strava.com/activities/5210620690</t>
  </si>
  <si>
    <t>8:52.0</t>
  </si>
  <si>
    <t>8:34.5</t>
  </si>
  <si>
    <t>8:18.2</t>
  </si>
  <si>
    <t>8:24.9</t>
  </si>
  <si>
    <t>8:38.4</t>
  </si>
  <si>
    <t>8:14.9</t>
  </si>
  <si>
    <t>8:11.8</t>
  </si>
  <si>
    <t>8:10.7</t>
  </si>
  <si>
    <t>8:18.0</t>
  </si>
  <si>
    <t>https://www.strava.com/activities/5223462062</t>
  </si>
  <si>
    <t>https://www.strava.com/activities/5227202145</t>
  </si>
  <si>
    <t>https://www.strava.com/activities/5237989791</t>
  </si>
  <si>
    <t>Pace:</t>
  </si>
  <si>
    <t>https://www.strava.com/activities/5243206050</t>
  </si>
  <si>
    <t>https://www.strava.com/activities/5248950411</t>
  </si>
  <si>
    <t>Georgetown to Arlington Cemetery</t>
  </si>
  <si>
    <t>https://www.strava.com/activities/5253966824</t>
  </si>
  <si>
    <t>https://www.strava.com/activities/5257935382</t>
  </si>
  <si>
    <t>North Point High School</t>
  </si>
  <si>
    <t>Kingstowne Striders Sunday Group Run - Panera Kingstowne</t>
  </si>
  <si>
    <t>https://www.strava.com/activities/5267851540</t>
  </si>
  <si>
    <t>https://www.strava.com/activities/5262135604</t>
  </si>
  <si>
    <t>https://www.strava.com/activities/5275615743</t>
  </si>
  <si>
    <t>https://www.strava.com/activities/5281458286</t>
  </si>
  <si>
    <t>https://www.strava.com/activities/5287028802</t>
  </si>
  <si>
    <t>https://www.strava.com/activities/5297006388</t>
  </si>
  <si>
    <t>https://www.strava.com/activities/5292725864</t>
  </si>
  <si>
    <t>https://www.strava.com/activities/5300766407</t>
  </si>
  <si>
    <t>Kingstowne Striders Running Club Spring Picnic</t>
  </si>
  <si>
    <t>https://www.strava.com/activities/5306924034</t>
  </si>
  <si>
    <t>https://www.strava.com/activities/5314702610</t>
  </si>
  <si>
    <t>https://www.strava.com/activities/5320455451</t>
  </si>
  <si>
    <t>Astro Lab 5 Mile Route</t>
  </si>
  <si>
    <t>https://www.strava.com/activities/5326138574</t>
  </si>
  <si>
    <t>https://www.strava.com/activities/5331417475</t>
  </si>
  <si>
    <t>https://www.strava.com/activities/5352864794</t>
  </si>
  <si>
    <t>https://www.strava.com/activities/5347950372</t>
  </si>
  <si>
    <t>Ran It With Janet Training Run #4</t>
  </si>
  <si>
    <t>https://www.strava.com/activities/5340028736</t>
  </si>
  <si>
    <t>L'Enfant Plaza to Georgetown</t>
  </si>
  <si>
    <t>https://www.strava.com/activities/5334049482</t>
  </si>
  <si>
    <t>Bike to Work Day DC</t>
  </si>
  <si>
    <t>https://www.strava.com/activities/5358493048</t>
  </si>
  <si>
    <t>https://www.strava.com/activities/5369971163</t>
  </si>
  <si>
    <t>https://www.strava.com/activities/5363934801</t>
  </si>
  <si>
    <t>University of Maryland Perimeter</t>
  </si>
  <si>
    <t>https://www.strava.com/activities/5373170057</t>
  </si>
  <si>
    <t>https://www.strava.com/activities/5397450046</t>
  </si>
  <si>
    <t>https://www.strava.com/activities/5391815862</t>
  </si>
  <si>
    <t>https://www.strava.com/activities/5386210273</t>
  </si>
  <si>
    <t>https://www.strava.com/activities/5376815650</t>
  </si>
  <si>
    <t>8:42.7</t>
  </si>
  <si>
    <t>https://www.strava.com/activities/5403586814</t>
  </si>
  <si>
    <t>Lost Boy Cider 5 Mile Route</t>
  </si>
  <si>
    <t>Pacers DC Track</t>
  </si>
  <si>
    <t>Ran It With Janet 50K Part 1/10</t>
  </si>
  <si>
    <t>https://www.strava.com/activities/5409469517</t>
  </si>
  <si>
    <t>Banneker Track</t>
  </si>
  <si>
    <t>https://www.strava.com/activities/5410139706</t>
  </si>
  <si>
    <t>https://www.strava.com/activities/5416725753</t>
  </si>
  <si>
    <t>https://www.strava.com/activities/5425142779</t>
  </si>
  <si>
    <t>https://www.strava.com/activities/5431909244</t>
  </si>
  <si>
    <t>https://www.strava.com/activities/5443712729</t>
  </si>
  <si>
    <t>https://www.strava.com/activities/5449115434</t>
  </si>
  <si>
    <t>https://www.strava.com/activities/5437645146</t>
  </si>
  <si>
    <t>Lost Runners for Cider</t>
  </si>
  <si>
    <t>Lost Boy Cider 3 Mile Route</t>
  </si>
  <si>
    <t>https://www.strava.com/activities/5463791924</t>
  </si>
  <si>
    <t>https://www.strava.com/activities/5453028266</t>
  </si>
  <si>
    <t>Laurel Hills 10K</t>
  </si>
  <si>
    <t>Laurel Hills</t>
  </si>
  <si>
    <t>https://www.strava.com/activities/5459803850</t>
  </si>
  <si>
    <t>https://www.strava.com/activities/5471055962</t>
  </si>
  <si>
    <t>https://www.strava.com/activities/5476729832</t>
  </si>
  <si>
    <t>https://www.strava.com/activities/5482616579</t>
  </si>
  <si>
    <t>https://www.strava.com/activities/5487728861</t>
  </si>
  <si>
    <t>https://www.strava.com/activities/5488651693</t>
  </si>
  <si>
    <t>https://www.strava.com/activities/5501932325</t>
  </si>
  <si>
    <t>https://www.strava.com/activities/5503117708</t>
  </si>
  <si>
    <t>https://www.strava.com/activities/5508219446</t>
  </si>
  <si>
    <t>https://www.strava.com/activities/5514497023</t>
  </si>
  <si>
    <t>https://www.strava.com/activities/5513645414</t>
  </si>
  <si>
    <t>https://www.strava.com/activities/5527557099</t>
  </si>
  <si>
    <t>https://www.strava.com/activities/5540991791</t>
  </si>
  <si>
    <t>https://www.strava.com/activities/5545228289</t>
  </si>
  <si>
    <t>https://www.strava.com/activities/5550433318</t>
  </si>
  <si>
    <t>https://www.strava.com/activities/5529466922</t>
  </si>
  <si>
    <t>https://www.strava.com/activities/5564086024</t>
  </si>
  <si>
    <t>https://www.strava.com/activities/5560717646</t>
  </si>
  <si>
    <t>https://www.strava.com/activities/5555590411</t>
  </si>
  <si>
    <t>https://www.strava.com/activities/5571380633</t>
  </si>
  <si>
    <t>https://www.strava.com/activities/5580877435</t>
  </si>
  <si>
    <t>9:03.9</t>
  </si>
  <si>
    <t>https://www.strava.com/activities/5587446489</t>
  </si>
  <si>
    <t>https://www.strava.com/activities/5592164042</t>
  </si>
  <si>
    <t>DC Capital Striders: Dupont Circle Saturday</t>
  </si>
  <si>
    <t>Dupont Circle to C &amp; O Canal</t>
  </si>
  <si>
    <t>https://www.strava.com/activities/5570820626</t>
  </si>
  <si>
    <t>https://www.strava.com/activities/5597174548</t>
  </si>
  <si>
    <t>https://www.strava.com/activities/5601913802</t>
  </si>
  <si>
    <t>https://www.strava.com/activities/5607962081</t>
  </si>
  <si>
    <t>https://www.strava.com/activities/5611632752</t>
  </si>
  <si>
    <t>https://www.strava.com/activities/5618170829</t>
  </si>
  <si>
    <t>https://www.strava.com/activities/5624006055</t>
  </si>
  <si>
    <t>https://www.strava.com/activities/5628917942</t>
  </si>
  <si>
    <t>https://www.strava.com/activities/5633938289</t>
  </si>
  <si>
    <t>https://www.strava.com/activities/5638446290</t>
  </si>
  <si>
    <t>https://www.strava.com/activities/5641486912</t>
  </si>
  <si>
    <t>https://www.strava.com/activities/5647372671</t>
  </si>
  <si>
    <t>https://www.strava.com/activities/5655040874</t>
  </si>
  <si>
    <t>https://www.strava.com/activities/5660528961</t>
  </si>
  <si>
    <t>https://www.strava.com/activities/5703272673</t>
  </si>
  <si>
    <t>https://www.strava.com/activities/5698090423</t>
  </si>
  <si>
    <t>https://www.strava.com/activities/5692562577</t>
  </si>
  <si>
    <t>https://www.strava.com/activities/5684859422</t>
  </si>
  <si>
    <t>https://www.strava.com/activities/5666091547</t>
  </si>
  <si>
    <t>Lorton Route 1</t>
  </si>
  <si>
    <t>https://www.strava.com/activities/5679601082</t>
  </si>
  <si>
    <t>Lake Mercer</t>
  </si>
  <si>
    <t>https://www.strava.com/activities/5679506537</t>
  </si>
  <si>
    <t>https://www.strava.com/activities/5671432415</t>
  </si>
  <si>
    <t>https://www.strava.com/activities/5721600994</t>
  </si>
  <si>
    <t>https://www.strava.com/activities/5715454057</t>
  </si>
  <si>
    <t>Pacers</t>
  </si>
  <si>
    <t>Foggy Bottom to Georgetown</t>
  </si>
  <si>
    <t>https://www.strava.com/activities/5710395975</t>
  </si>
  <si>
    <t>https://www.strava.com/activities/5708861834</t>
  </si>
  <si>
    <t>8:43.3</t>
  </si>
  <si>
    <t>https://www.strava.com/activities/5728996420</t>
  </si>
  <si>
    <t>https://www.strava.com/activities/5729807492</t>
  </si>
  <si>
    <t>https://www.strava.com/activities/5740332657</t>
  </si>
  <si>
    <t>https://www.strava.com/activities/5758691157</t>
  </si>
  <si>
    <t>https://www.strava.com/activities/5749307233</t>
  </si>
  <si>
    <t>https://www.strava.com/activities/5745680858</t>
  </si>
  <si>
    <t>College Park parkrun</t>
  </si>
  <si>
    <t>Paint Branch Trail</t>
  </si>
  <si>
    <t>https://www.strava.com/activities/5753196870</t>
  </si>
  <si>
    <t>https://www.strava.com/activities/5821445535</t>
  </si>
  <si>
    <t>https://www.strava.com/activities/5815553135</t>
  </si>
  <si>
    <t>https://www.strava.com/activities/5810439128</t>
  </si>
  <si>
    <t>https://www.strava.com/activities/5766472836</t>
  </si>
  <si>
    <t>https://www.strava.com/activities/5772928821</t>
  </si>
  <si>
    <t>https://www.strava.com/activities/5777992996</t>
  </si>
  <si>
    <t>https://www.strava.com/activities/5783332202</t>
  </si>
  <si>
    <t>https://www.strava.com/activities/5788293520</t>
  </si>
  <si>
    <t>https://www.strava.com/activities/5791874024</t>
  </si>
  <si>
    <t>https://www.strava.com/activities/5796729036</t>
  </si>
  <si>
    <t>https://www.strava.com/activities/5804644640</t>
  </si>
  <si>
    <t>https://www.strava.com/activities/5825784210</t>
  </si>
  <si>
    <t>Team RWB Alexandria Old Town Run</t>
  </si>
  <si>
    <t>https://www.strava.com/activities/5848346013</t>
  </si>
  <si>
    <t>https://www.strava.com/activities/5842123798</t>
  </si>
  <si>
    <t>https://www.strava.com/activities/5834690726</t>
  </si>
  <si>
    <t>https://www.strava.com/activities/5829113301</t>
  </si>
  <si>
    <t>https://www.strava.com/activities/5853736317</t>
  </si>
  <si>
    <t>Queens, NY</t>
  </si>
  <si>
    <t>Central Park</t>
  </si>
  <si>
    <t>Ft. Belvoir Track</t>
  </si>
  <si>
    <t>https://www.strava.com/activities/5857426859</t>
  </si>
  <si>
    <t>https://www.strava.com/activities/5864012121</t>
  </si>
  <si>
    <t>https://www.strava.com/activities/5867205252</t>
  </si>
  <si>
    <t>https://www.strava.com/activities/5879396452</t>
  </si>
  <si>
    <t>https://www.strava.com/activities/5879647750</t>
  </si>
  <si>
    <t>https://www.strava.com/activities/5884420099</t>
  </si>
  <si>
    <t>https://www.strava.com/activities/5890701858</t>
  </si>
  <si>
    <t>8:52.5</t>
  </si>
  <si>
    <t>Mark Twain Middle School Track</t>
  </si>
  <si>
    <t>https://www.strava.com/activities/5923814482</t>
  </si>
  <si>
    <t>Frederick Douglass Memorial Bridge 5K</t>
  </si>
  <si>
    <t>Frederick Douglass Memorial Bridge</t>
  </si>
  <si>
    <t>https://www.strava.com/activities/5915288908</t>
  </si>
  <si>
    <t>https://www.strava.com/activities/5913147676</t>
  </si>
  <si>
    <t>Virginia Beach</t>
  </si>
  <si>
    <t>https://www.strava.com/activities/5903365635</t>
  </si>
  <si>
    <t>Rock 'n' Roll 5K Virginia Beach</t>
  </si>
  <si>
    <t>Buckroe to Hampton</t>
  </si>
  <si>
    <t>https://www.strava.com/activities/5901141779</t>
  </si>
  <si>
    <t>https://www.strava.com/activities/5895397928</t>
  </si>
  <si>
    <t>https://www.strava.com/activities/5929359515</t>
  </si>
  <si>
    <t>https://www.strava.com/activities/5934603832</t>
  </si>
  <si>
    <t>https://www.strava.com/activities/5935331999</t>
  </si>
  <si>
    <t>9/11 Moving Tribute</t>
  </si>
  <si>
    <t>https://www.strava.com/activities/5943478393</t>
  </si>
  <si>
    <t>https://www.strava.com/activities/5951705284</t>
  </si>
  <si>
    <t>https://www.strava.com/activities/5956187322</t>
  </si>
  <si>
    <t>L'Enfant Plaza to Washington Monument</t>
  </si>
  <si>
    <t>https://www.strava.com/activities/5960884009</t>
  </si>
  <si>
    <t>Last Murphy's Run Club Run with Kohl and Paul and Hayley</t>
  </si>
  <si>
    <t>https://www.strava.com/activities/5988740569</t>
  </si>
  <si>
    <t>https://www.strava.com/activities/5967717894</t>
  </si>
  <si>
    <t>https://www.strava.com/activities/5972146045</t>
  </si>
  <si>
    <t>https://www.strava.com/activities/5976343448</t>
  </si>
  <si>
    <t>https://www.strava.com/activities/5979784538</t>
  </si>
  <si>
    <t>https://www.strava.com/activities/5993255759</t>
  </si>
  <si>
    <t>https://www.strava.com/activities/5996487627</t>
  </si>
  <si>
    <t>https://www.strava.com/activities/6004478866</t>
  </si>
  <si>
    <t>https://www.strava.com/activities/6007735197</t>
  </si>
  <si>
    <t>https://www.strava.com/activities/6012948665</t>
  </si>
  <si>
    <t>https://www.strava.com/activities/6016432301</t>
  </si>
  <si>
    <t>https://www.strava.com/activities/6048664851</t>
  </si>
  <si>
    <t>https://www.strava.com/activities/6041089124</t>
  </si>
  <si>
    <t>https://www.strava.com/activities/6045110148</t>
  </si>
  <si>
    <t>DC Brau Run - Olive Lounge</t>
  </si>
  <si>
    <t>Takoma Park</t>
  </si>
  <si>
    <t>https://www.strava.com/activities/6023438928</t>
  </si>
  <si>
    <t>https://www.strava.com/activities/6029896602</t>
  </si>
  <si>
    <t>8:29.1</t>
  </si>
  <si>
    <t>https://www.strava.com/activities/6052104270</t>
  </si>
  <si>
    <t>Rhode Island Ave Trolley Trail</t>
  </si>
  <si>
    <t>https://www.strava.com/activities/6060275609</t>
  </si>
  <si>
    <t>https://www.strava.com/activities/6063699274</t>
  </si>
  <si>
    <t>https://www.strava.com/activities/6133617402</t>
  </si>
  <si>
    <t>https://www.strava.com/activities/6129561486</t>
  </si>
  <si>
    <t>https://www.strava.com/activities/6122852127</t>
  </si>
  <si>
    <t>https://www.strava.com/activities/6122698914</t>
  </si>
  <si>
    <t>https://www.strava.com/activities/6114361950</t>
  </si>
  <si>
    <t>https://www.strava.com/activities/6109518369</t>
  </si>
  <si>
    <t>https://www.strava.com/activities/6104900976</t>
  </si>
  <si>
    <t>Duke St</t>
  </si>
  <si>
    <t>https://www.strava.com/activities/6099908075</t>
  </si>
  <si>
    <t>La Jolla Cove</t>
  </si>
  <si>
    <t>Innovation Office Park</t>
  </si>
  <si>
    <t>https://www.strava.com/activities/6095536286</t>
  </si>
  <si>
    <t>L'Enfant Plaza to Capitol Hill</t>
  </si>
  <si>
    <t>Hollywood, College Park, MD</t>
  </si>
  <si>
    <t>https://www.strava.com/activities/6080816977</t>
  </si>
  <si>
    <t>https://www.strava.com/activities/6084865524</t>
  </si>
  <si>
    <t>https://www.strava.com/activities/6078432816</t>
  </si>
  <si>
    <t>https://www.strava.com/activities/6074761868</t>
  </si>
  <si>
    <t>https://www.strava.com/activities/6068045223</t>
  </si>
  <si>
    <t>Lake Artemesia</t>
  </si>
  <si>
    <t>https://www.strava.com/activities/6137965735</t>
  </si>
  <si>
    <t>https://www.strava.com/activities/6147234699</t>
  </si>
  <si>
    <t>https://www.strava.com/activities/6147434470</t>
  </si>
  <si>
    <t>https://www.strava.com/activities/6154267656</t>
  </si>
  <si>
    <t>https://www.strava.com/activities/6151563178</t>
  </si>
  <si>
    <t>https://www.strava.com/activities/6162695454</t>
  </si>
  <si>
    <t>https://www.strava.com/activities/6166837578</t>
  </si>
  <si>
    <t>Shepherd Hills</t>
  </si>
  <si>
    <t>https://www.strava.com/activities/6173687208</t>
  </si>
  <si>
    <t>https://www.strava.com/activities/6176314750</t>
  </si>
  <si>
    <t>https://www.strava.com/activities/6179720218</t>
  </si>
  <si>
    <t>Woodrow Wilson Memorial Bridge</t>
  </si>
  <si>
    <t>https://www.strava.com/activities/6204322651</t>
  </si>
  <si>
    <t>https://www.strava.com/activities/6199145661</t>
  </si>
  <si>
    <t>Daniels Park</t>
  </si>
  <si>
    <t>https://www.strava.com/activities/6184931549</t>
  </si>
  <si>
    <t>https://www.strava.com/activities/6195112403</t>
  </si>
  <si>
    <t>Occoquan Regional Park</t>
  </si>
  <si>
    <t>https://www.strava.com/activities/6188878938</t>
  </si>
  <si>
    <t>8:38.0</t>
  </si>
  <si>
    <t>https://www.strava.com/activities/6208486973</t>
  </si>
  <si>
    <t>https://www.strava.com/activities/6211698767</t>
  </si>
  <si>
    <t>https://www.strava.com/activities/6215675536</t>
  </si>
  <si>
    <t>https://www.strava.com/activities/6219264538</t>
  </si>
  <si>
    <t>https://www.strava.com/activities/6227103337</t>
  </si>
  <si>
    <t>https://www.strava.com/activities/6231748738</t>
  </si>
  <si>
    <t>https://www.strava.com/activities/6234748466</t>
  </si>
  <si>
    <t>https://www.strava.com/activities/6258079726</t>
  </si>
  <si>
    <t>https://www.strava.com/activities/6263634451</t>
  </si>
  <si>
    <t>https://www.strava.com/activities/6253803478</t>
  </si>
  <si>
    <t>https://www.strava.com/activities/6248419087</t>
  </si>
  <si>
    <t>https://www.strava.com/activities/6245770145</t>
  </si>
  <si>
    <t>https://www.strava.com/activities/6240952776</t>
  </si>
  <si>
    <t>Lorton Station</t>
  </si>
  <si>
    <t>https://www.strava.com/activities/6268237278</t>
  </si>
  <si>
    <t>https://www.strava.com/activities/6275734071</t>
  </si>
  <si>
    <t>https://www.strava.com/activities/6272876239</t>
  </si>
  <si>
    <t>https://www.strava.com/activities/6279665855</t>
  </si>
  <si>
    <t>https://www.strava.com/activities/6290564255</t>
  </si>
  <si>
    <t>James Madison University</t>
  </si>
  <si>
    <t>https://www.strava.com/activities/6286008268</t>
  </si>
  <si>
    <t>https://www.strava.com/activities/6294619843</t>
  </si>
  <si>
    <t>Prince George's Running Club Long Run</t>
  </si>
  <si>
    <t>https://www.strava.com/activities/6317692528</t>
  </si>
  <si>
    <t>https://www.strava.com/activities/6313258229</t>
  </si>
  <si>
    <t>https://www.strava.com/activities/6311372691</t>
  </si>
  <si>
    <t>Alexandria Turkey Trot</t>
  </si>
  <si>
    <t>Del Ray</t>
  </si>
  <si>
    <t>https://www.strava.com/activities/6306821673</t>
  </si>
  <si>
    <t>https://www.strava.com/activities/6297850612</t>
  </si>
  <si>
    <t>https://www.strava.com/activities/6303543644</t>
  </si>
  <si>
    <t>Ran 2 miles alone, 2 out of 3 miles with Clare</t>
  </si>
  <si>
    <t>https://www.strava.com/activities/6323821972</t>
  </si>
  <si>
    <t>https://www.strava.com/activities/6368171125</t>
  </si>
  <si>
    <t>https://www.strava.com/activities/6364259395</t>
  </si>
  <si>
    <t>https://www.strava.com/activities/6360882304</t>
  </si>
  <si>
    <t>https://www.strava.com/activities/6356229886</t>
  </si>
  <si>
    <t>https://www.strava.com/activities/6351618017</t>
  </si>
  <si>
    <t>https://www.strava.com/activities/6347022566</t>
  </si>
  <si>
    <t>https://www.strava.com/activities/6332091963</t>
  </si>
  <si>
    <t>https://www.strava.com/activities/6332164467</t>
  </si>
  <si>
    <t>https://www.strava.com/activities/6335484347</t>
  </si>
  <si>
    <t>https://www.strava.com/activities/6339985516</t>
  </si>
  <si>
    <t>https://www.strava.com/activities/6340558452</t>
  </si>
  <si>
    <t>Edison High School Track</t>
  </si>
  <si>
    <t>Wakefield High School Track</t>
  </si>
  <si>
    <t>Prince George's Running Club</t>
  </si>
  <si>
    <t>Greenbelt Park</t>
  </si>
  <si>
    <t>https://www.strava.com/activities/6370320331</t>
  </si>
  <si>
    <t>https://www.strava.com/activities/6375202417</t>
  </si>
  <si>
    <t>https://www.strava.com/activities/6380863472</t>
  </si>
  <si>
    <t>https://www.strava.com/activities/6385337528</t>
  </si>
  <si>
    <t>https://www.strava.com/activities/6389084747</t>
  </si>
  <si>
    <t>https://www.strava.com/activities/6392920215</t>
  </si>
  <si>
    <t>8:33.6</t>
  </si>
  <si>
    <t>https://www.strava.com/activities/6396128065</t>
  </si>
  <si>
    <t>https://www.strava.com/activities/6400890165</t>
  </si>
  <si>
    <t>https://www.strava.com/activities/6403358197</t>
  </si>
  <si>
    <t>https://www.strava.com/activities/6408794283</t>
  </si>
  <si>
    <t>https://www.strava.com/activities/6412620550</t>
  </si>
  <si>
    <t>https://www.strava.com/activities/6416887968</t>
  </si>
  <si>
    <t>https://www.strava.com/activities/6035211080</t>
  </si>
  <si>
    <t>https://www.strava.com/activities/6420145157</t>
  </si>
  <si>
    <t>https://www.strava.com/activities/6420927218</t>
  </si>
  <si>
    <t>Occurrences of Extra Miles:</t>
  </si>
  <si>
    <t>https://www.strava.com/activities/6427316265</t>
  </si>
  <si>
    <t>https://www.strava.com/activities/6438854950</t>
  </si>
  <si>
    <t>https://www.strava.com/activities/6444658374</t>
  </si>
  <si>
    <t>https://www.strava.com/activities/6431978757</t>
  </si>
  <si>
    <t>https://www.strava.com/activities/6435755544</t>
  </si>
  <si>
    <t>https://www.strava.com/activities/6447941504</t>
  </si>
  <si>
    <t>Elevation (in ft) Per Mile</t>
  </si>
  <si>
    <t>12/31/2020 Self Marathon</t>
  </si>
  <si>
    <t>10 Mile Total Time</t>
  </si>
  <si>
    <t>Miles 6-10:</t>
  </si>
  <si>
    <t>13 Mile Total Time</t>
  </si>
  <si>
    <t>15 Mile Total Time</t>
  </si>
  <si>
    <t>5 Mile Total Time</t>
  </si>
  <si>
    <t>Miles 10-15:</t>
  </si>
  <si>
    <t>20 Mile Total Time</t>
  </si>
  <si>
    <t>Miles 15-20:</t>
  </si>
  <si>
    <t>Note for Erika Garzon:</t>
  </si>
  <si>
    <t>25 Mile Total Time</t>
  </si>
  <si>
    <t>Miles 20-25:</t>
  </si>
  <si>
    <t>Last Mile:</t>
  </si>
  <si>
    <t>Total Marathon Time:</t>
  </si>
  <si>
    <t>18 Mile Total Time:</t>
  </si>
  <si>
    <t>Slowest Overall Mile:</t>
  </si>
  <si>
    <t>Slowest Mile #:</t>
  </si>
  <si>
    <t>Fastest Overall Mile:</t>
  </si>
  <si>
    <t>Fastest Mile #:</t>
  </si>
  <si>
    <t>Priority Toyota Springfield</t>
  </si>
  <si>
    <t>Loisdale Rd</t>
  </si>
  <si>
    <t>https://www.strava.com/activities/6452353181</t>
  </si>
  <si>
    <t>8:43.0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</si>
</sst>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" fillId="0" borderId="0" xfId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0" borderId="0" xfId="0" applyNumberFormat="1" applyFon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164" formatCode="m/d/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Mile</a:t>
            </a:r>
            <a:r>
              <a:rPr lang="en-US" baseline="0"/>
              <a:t> </a:t>
            </a:r>
            <a:r>
              <a:rPr lang="en-US"/>
              <a:t>Pace</a:t>
            </a:r>
            <a:r>
              <a:rPr lang="en-US" baseline="0"/>
              <a:t> Per Run Throughout the Streak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3963500339E-2"/>
          <c:y val="4.8224299065420563E-2"/>
          <c:w val="0.96845262429523582"/>
          <c:h val="0.9104792742028742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'Kris''s Streak'!$A$2:$A$804</c:f>
              <c:numCache>
                <c:formatCode>m/d/yy;@</c:formatCode>
                <c:ptCount val="803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  <c:pt idx="40">
                  <c:v>44084</c:v>
                </c:pt>
                <c:pt idx="41">
                  <c:v>44085</c:v>
                </c:pt>
                <c:pt idx="42">
                  <c:v>44086</c:v>
                </c:pt>
                <c:pt idx="43">
                  <c:v>44087</c:v>
                </c:pt>
                <c:pt idx="44">
                  <c:v>44088</c:v>
                </c:pt>
                <c:pt idx="45">
                  <c:v>44089</c:v>
                </c:pt>
                <c:pt idx="46">
                  <c:v>44090</c:v>
                </c:pt>
                <c:pt idx="47">
                  <c:v>44091</c:v>
                </c:pt>
                <c:pt idx="48">
                  <c:v>44092</c:v>
                </c:pt>
                <c:pt idx="49">
                  <c:v>44093</c:v>
                </c:pt>
                <c:pt idx="50">
                  <c:v>44094</c:v>
                </c:pt>
                <c:pt idx="51">
                  <c:v>44095</c:v>
                </c:pt>
                <c:pt idx="52">
                  <c:v>44096</c:v>
                </c:pt>
                <c:pt idx="53">
                  <c:v>44097</c:v>
                </c:pt>
                <c:pt idx="54">
                  <c:v>44098</c:v>
                </c:pt>
                <c:pt idx="55">
                  <c:v>44099</c:v>
                </c:pt>
                <c:pt idx="56">
                  <c:v>44100</c:v>
                </c:pt>
                <c:pt idx="57">
                  <c:v>44101</c:v>
                </c:pt>
                <c:pt idx="58">
                  <c:v>44102</c:v>
                </c:pt>
                <c:pt idx="59">
                  <c:v>44103</c:v>
                </c:pt>
                <c:pt idx="60">
                  <c:v>44104</c:v>
                </c:pt>
                <c:pt idx="61">
                  <c:v>44105</c:v>
                </c:pt>
                <c:pt idx="62">
                  <c:v>44106</c:v>
                </c:pt>
                <c:pt idx="63">
                  <c:v>44107</c:v>
                </c:pt>
                <c:pt idx="64">
                  <c:v>44108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44114</c:v>
                </c:pt>
                <c:pt idx="71">
                  <c:v>44115</c:v>
                </c:pt>
                <c:pt idx="72">
                  <c:v>44116</c:v>
                </c:pt>
                <c:pt idx="73">
                  <c:v>44117</c:v>
                </c:pt>
                <c:pt idx="74">
                  <c:v>44118</c:v>
                </c:pt>
                <c:pt idx="75">
                  <c:v>44119</c:v>
                </c:pt>
                <c:pt idx="76">
                  <c:v>44120</c:v>
                </c:pt>
                <c:pt idx="77">
                  <c:v>44121</c:v>
                </c:pt>
                <c:pt idx="78">
                  <c:v>44122</c:v>
                </c:pt>
                <c:pt idx="79">
                  <c:v>44123</c:v>
                </c:pt>
                <c:pt idx="80">
                  <c:v>44124</c:v>
                </c:pt>
                <c:pt idx="81">
                  <c:v>44125</c:v>
                </c:pt>
                <c:pt idx="82">
                  <c:v>44126</c:v>
                </c:pt>
                <c:pt idx="83">
                  <c:v>44127</c:v>
                </c:pt>
                <c:pt idx="84">
                  <c:v>44128</c:v>
                </c:pt>
                <c:pt idx="85">
                  <c:v>44129</c:v>
                </c:pt>
                <c:pt idx="86">
                  <c:v>44130</c:v>
                </c:pt>
                <c:pt idx="87">
                  <c:v>44131</c:v>
                </c:pt>
                <c:pt idx="88">
                  <c:v>44132</c:v>
                </c:pt>
                <c:pt idx="89">
                  <c:v>44133</c:v>
                </c:pt>
                <c:pt idx="90">
                  <c:v>44134</c:v>
                </c:pt>
                <c:pt idx="91">
                  <c:v>44135</c:v>
                </c:pt>
                <c:pt idx="92">
                  <c:v>44136</c:v>
                </c:pt>
                <c:pt idx="93">
                  <c:v>44137</c:v>
                </c:pt>
                <c:pt idx="94">
                  <c:v>44138</c:v>
                </c:pt>
                <c:pt idx="95">
                  <c:v>44139</c:v>
                </c:pt>
                <c:pt idx="96">
                  <c:v>44140</c:v>
                </c:pt>
                <c:pt idx="97">
                  <c:v>44141</c:v>
                </c:pt>
                <c:pt idx="98">
                  <c:v>44142</c:v>
                </c:pt>
                <c:pt idx="99">
                  <c:v>44143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44149</c:v>
                </c:pt>
                <c:pt idx="106">
                  <c:v>44150</c:v>
                </c:pt>
                <c:pt idx="107">
                  <c:v>44151</c:v>
                </c:pt>
                <c:pt idx="108">
                  <c:v>44152</c:v>
                </c:pt>
                <c:pt idx="109">
                  <c:v>44153</c:v>
                </c:pt>
                <c:pt idx="110">
                  <c:v>44154</c:v>
                </c:pt>
                <c:pt idx="111">
                  <c:v>44155</c:v>
                </c:pt>
                <c:pt idx="112">
                  <c:v>44156</c:v>
                </c:pt>
                <c:pt idx="113">
                  <c:v>44157</c:v>
                </c:pt>
                <c:pt idx="114">
                  <c:v>44158</c:v>
                </c:pt>
                <c:pt idx="115">
                  <c:v>44159</c:v>
                </c:pt>
                <c:pt idx="116">
                  <c:v>44160</c:v>
                </c:pt>
                <c:pt idx="117">
                  <c:v>44161</c:v>
                </c:pt>
                <c:pt idx="118">
                  <c:v>44162</c:v>
                </c:pt>
                <c:pt idx="119">
                  <c:v>44163</c:v>
                </c:pt>
                <c:pt idx="120">
                  <c:v>44164</c:v>
                </c:pt>
                <c:pt idx="121">
                  <c:v>44165</c:v>
                </c:pt>
                <c:pt idx="122">
                  <c:v>44166</c:v>
                </c:pt>
                <c:pt idx="123">
                  <c:v>44167</c:v>
                </c:pt>
                <c:pt idx="124">
                  <c:v>44168</c:v>
                </c:pt>
                <c:pt idx="125">
                  <c:v>44169</c:v>
                </c:pt>
                <c:pt idx="126">
                  <c:v>44170</c:v>
                </c:pt>
                <c:pt idx="127">
                  <c:v>44171</c:v>
                </c:pt>
                <c:pt idx="128">
                  <c:v>44172</c:v>
                </c:pt>
                <c:pt idx="129">
                  <c:v>44173</c:v>
                </c:pt>
                <c:pt idx="130">
                  <c:v>44174</c:v>
                </c:pt>
                <c:pt idx="131">
                  <c:v>44175</c:v>
                </c:pt>
                <c:pt idx="132">
                  <c:v>44176</c:v>
                </c:pt>
                <c:pt idx="133">
                  <c:v>44177</c:v>
                </c:pt>
                <c:pt idx="134">
                  <c:v>44178</c:v>
                </c:pt>
                <c:pt idx="135">
                  <c:v>44179</c:v>
                </c:pt>
                <c:pt idx="136">
                  <c:v>44180</c:v>
                </c:pt>
                <c:pt idx="137">
                  <c:v>44181</c:v>
                </c:pt>
                <c:pt idx="138">
                  <c:v>44182</c:v>
                </c:pt>
                <c:pt idx="139">
                  <c:v>44183</c:v>
                </c:pt>
                <c:pt idx="140">
                  <c:v>44184</c:v>
                </c:pt>
                <c:pt idx="141">
                  <c:v>44185</c:v>
                </c:pt>
                <c:pt idx="142">
                  <c:v>44186</c:v>
                </c:pt>
                <c:pt idx="143">
                  <c:v>44187</c:v>
                </c:pt>
                <c:pt idx="144">
                  <c:v>44188</c:v>
                </c:pt>
                <c:pt idx="145">
                  <c:v>44189</c:v>
                </c:pt>
                <c:pt idx="146">
                  <c:v>44190</c:v>
                </c:pt>
                <c:pt idx="147">
                  <c:v>44191</c:v>
                </c:pt>
                <c:pt idx="148">
                  <c:v>44192</c:v>
                </c:pt>
                <c:pt idx="149">
                  <c:v>44193</c:v>
                </c:pt>
                <c:pt idx="150">
                  <c:v>44194</c:v>
                </c:pt>
                <c:pt idx="151">
                  <c:v>44195</c:v>
                </c:pt>
                <c:pt idx="152">
                  <c:v>44196</c:v>
                </c:pt>
                <c:pt idx="153">
                  <c:v>44197</c:v>
                </c:pt>
                <c:pt idx="154">
                  <c:v>44198</c:v>
                </c:pt>
                <c:pt idx="155">
                  <c:v>44199</c:v>
                </c:pt>
                <c:pt idx="156">
                  <c:v>44200</c:v>
                </c:pt>
                <c:pt idx="157">
                  <c:v>44201</c:v>
                </c:pt>
                <c:pt idx="158">
                  <c:v>44202</c:v>
                </c:pt>
                <c:pt idx="159">
                  <c:v>44203</c:v>
                </c:pt>
                <c:pt idx="160">
                  <c:v>44204</c:v>
                </c:pt>
                <c:pt idx="161">
                  <c:v>44205</c:v>
                </c:pt>
                <c:pt idx="162">
                  <c:v>44206</c:v>
                </c:pt>
                <c:pt idx="163">
                  <c:v>44207</c:v>
                </c:pt>
                <c:pt idx="164">
                  <c:v>44208</c:v>
                </c:pt>
                <c:pt idx="165">
                  <c:v>44209</c:v>
                </c:pt>
                <c:pt idx="166">
                  <c:v>44210</c:v>
                </c:pt>
                <c:pt idx="167">
                  <c:v>44211</c:v>
                </c:pt>
                <c:pt idx="168">
                  <c:v>44212</c:v>
                </c:pt>
                <c:pt idx="169">
                  <c:v>44213</c:v>
                </c:pt>
                <c:pt idx="170">
                  <c:v>44214</c:v>
                </c:pt>
                <c:pt idx="171">
                  <c:v>44215</c:v>
                </c:pt>
                <c:pt idx="172">
                  <c:v>44216</c:v>
                </c:pt>
                <c:pt idx="173">
                  <c:v>44217</c:v>
                </c:pt>
                <c:pt idx="174">
                  <c:v>44218</c:v>
                </c:pt>
                <c:pt idx="175">
                  <c:v>44219</c:v>
                </c:pt>
                <c:pt idx="176">
                  <c:v>44220</c:v>
                </c:pt>
                <c:pt idx="177">
                  <c:v>44221</c:v>
                </c:pt>
                <c:pt idx="178">
                  <c:v>44222</c:v>
                </c:pt>
                <c:pt idx="179">
                  <c:v>44223</c:v>
                </c:pt>
                <c:pt idx="180">
                  <c:v>44224</c:v>
                </c:pt>
                <c:pt idx="181">
                  <c:v>44225</c:v>
                </c:pt>
                <c:pt idx="182">
                  <c:v>44226</c:v>
                </c:pt>
                <c:pt idx="183">
                  <c:v>44227</c:v>
                </c:pt>
                <c:pt idx="184">
                  <c:v>44228</c:v>
                </c:pt>
                <c:pt idx="185">
                  <c:v>44229</c:v>
                </c:pt>
                <c:pt idx="186">
                  <c:v>44230</c:v>
                </c:pt>
                <c:pt idx="187">
                  <c:v>44231</c:v>
                </c:pt>
                <c:pt idx="188">
                  <c:v>44232</c:v>
                </c:pt>
                <c:pt idx="189">
                  <c:v>44233</c:v>
                </c:pt>
                <c:pt idx="190">
                  <c:v>44234</c:v>
                </c:pt>
                <c:pt idx="191">
                  <c:v>44235</c:v>
                </c:pt>
                <c:pt idx="192">
                  <c:v>44236</c:v>
                </c:pt>
                <c:pt idx="193">
                  <c:v>44237</c:v>
                </c:pt>
                <c:pt idx="194">
                  <c:v>44238</c:v>
                </c:pt>
                <c:pt idx="195">
                  <c:v>44239</c:v>
                </c:pt>
                <c:pt idx="196">
                  <c:v>44240</c:v>
                </c:pt>
                <c:pt idx="197">
                  <c:v>44241</c:v>
                </c:pt>
                <c:pt idx="198">
                  <c:v>44242</c:v>
                </c:pt>
                <c:pt idx="199">
                  <c:v>44243</c:v>
                </c:pt>
                <c:pt idx="200">
                  <c:v>44244</c:v>
                </c:pt>
                <c:pt idx="201">
                  <c:v>44245</c:v>
                </c:pt>
                <c:pt idx="202">
                  <c:v>44246</c:v>
                </c:pt>
                <c:pt idx="203">
                  <c:v>44247</c:v>
                </c:pt>
                <c:pt idx="204">
                  <c:v>44248</c:v>
                </c:pt>
                <c:pt idx="205">
                  <c:v>44249</c:v>
                </c:pt>
                <c:pt idx="206">
                  <c:v>44250</c:v>
                </c:pt>
                <c:pt idx="207">
                  <c:v>44251</c:v>
                </c:pt>
                <c:pt idx="208">
                  <c:v>44252</c:v>
                </c:pt>
                <c:pt idx="209">
                  <c:v>44253</c:v>
                </c:pt>
                <c:pt idx="210">
                  <c:v>44254</c:v>
                </c:pt>
                <c:pt idx="211">
                  <c:v>44255</c:v>
                </c:pt>
                <c:pt idx="212">
                  <c:v>44256</c:v>
                </c:pt>
                <c:pt idx="213">
                  <c:v>44257</c:v>
                </c:pt>
                <c:pt idx="214">
                  <c:v>44258</c:v>
                </c:pt>
                <c:pt idx="215">
                  <c:v>44259</c:v>
                </c:pt>
                <c:pt idx="216">
                  <c:v>44260</c:v>
                </c:pt>
                <c:pt idx="217">
                  <c:v>44261</c:v>
                </c:pt>
                <c:pt idx="218">
                  <c:v>44262</c:v>
                </c:pt>
                <c:pt idx="219">
                  <c:v>44263</c:v>
                </c:pt>
                <c:pt idx="220">
                  <c:v>44264</c:v>
                </c:pt>
                <c:pt idx="221">
                  <c:v>44265</c:v>
                </c:pt>
                <c:pt idx="222">
                  <c:v>44266</c:v>
                </c:pt>
                <c:pt idx="223">
                  <c:v>44267</c:v>
                </c:pt>
                <c:pt idx="224">
                  <c:v>44268</c:v>
                </c:pt>
                <c:pt idx="225">
                  <c:v>44269</c:v>
                </c:pt>
                <c:pt idx="226">
                  <c:v>44270</c:v>
                </c:pt>
                <c:pt idx="227">
                  <c:v>44271</c:v>
                </c:pt>
                <c:pt idx="228">
                  <c:v>44272</c:v>
                </c:pt>
                <c:pt idx="229">
                  <c:v>44273</c:v>
                </c:pt>
                <c:pt idx="230">
                  <c:v>44274</c:v>
                </c:pt>
                <c:pt idx="231">
                  <c:v>44275</c:v>
                </c:pt>
                <c:pt idx="232">
                  <c:v>44276</c:v>
                </c:pt>
                <c:pt idx="233">
                  <c:v>44277</c:v>
                </c:pt>
                <c:pt idx="234">
                  <c:v>44278</c:v>
                </c:pt>
                <c:pt idx="235">
                  <c:v>44279</c:v>
                </c:pt>
                <c:pt idx="236">
                  <c:v>44280</c:v>
                </c:pt>
                <c:pt idx="237">
                  <c:v>44281</c:v>
                </c:pt>
                <c:pt idx="238">
                  <c:v>44282</c:v>
                </c:pt>
                <c:pt idx="239">
                  <c:v>44283</c:v>
                </c:pt>
                <c:pt idx="240">
                  <c:v>44284</c:v>
                </c:pt>
                <c:pt idx="241">
                  <c:v>44285</c:v>
                </c:pt>
                <c:pt idx="242">
                  <c:v>44286</c:v>
                </c:pt>
                <c:pt idx="243">
                  <c:v>44287</c:v>
                </c:pt>
                <c:pt idx="244">
                  <c:v>44288</c:v>
                </c:pt>
                <c:pt idx="245">
                  <c:v>44289</c:v>
                </c:pt>
                <c:pt idx="246">
                  <c:v>44290</c:v>
                </c:pt>
                <c:pt idx="247">
                  <c:v>44291</c:v>
                </c:pt>
                <c:pt idx="248">
                  <c:v>44292</c:v>
                </c:pt>
                <c:pt idx="249">
                  <c:v>44293</c:v>
                </c:pt>
                <c:pt idx="250">
                  <c:v>44294</c:v>
                </c:pt>
                <c:pt idx="251">
                  <c:v>44295</c:v>
                </c:pt>
                <c:pt idx="252">
                  <c:v>44296</c:v>
                </c:pt>
                <c:pt idx="253">
                  <c:v>44297</c:v>
                </c:pt>
                <c:pt idx="254">
                  <c:v>44298</c:v>
                </c:pt>
                <c:pt idx="255">
                  <c:v>44299</c:v>
                </c:pt>
                <c:pt idx="256">
                  <c:v>44300</c:v>
                </c:pt>
                <c:pt idx="257">
                  <c:v>44301</c:v>
                </c:pt>
                <c:pt idx="258">
                  <c:v>44302</c:v>
                </c:pt>
                <c:pt idx="259">
                  <c:v>44303</c:v>
                </c:pt>
                <c:pt idx="260">
                  <c:v>44304</c:v>
                </c:pt>
                <c:pt idx="261">
                  <c:v>44305</c:v>
                </c:pt>
                <c:pt idx="262">
                  <c:v>44306</c:v>
                </c:pt>
                <c:pt idx="263">
                  <c:v>44307</c:v>
                </c:pt>
                <c:pt idx="264">
                  <c:v>44308</c:v>
                </c:pt>
                <c:pt idx="265">
                  <c:v>44309</c:v>
                </c:pt>
                <c:pt idx="266">
                  <c:v>44310</c:v>
                </c:pt>
                <c:pt idx="267">
                  <c:v>44311</c:v>
                </c:pt>
                <c:pt idx="268">
                  <c:v>44312</c:v>
                </c:pt>
                <c:pt idx="269">
                  <c:v>44313</c:v>
                </c:pt>
                <c:pt idx="270">
                  <c:v>44314</c:v>
                </c:pt>
                <c:pt idx="271">
                  <c:v>44315</c:v>
                </c:pt>
                <c:pt idx="272">
                  <c:v>44316</c:v>
                </c:pt>
                <c:pt idx="273">
                  <c:v>44317</c:v>
                </c:pt>
                <c:pt idx="274">
                  <c:v>44318</c:v>
                </c:pt>
                <c:pt idx="275">
                  <c:v>44319</c:v>
                </c:pt>
                <c:pt idx="276">
                  <c:v>44320</c:v>
                </c:pt>
                <c:pt idx="277">
                  <c:v>44321</c:v>
                </c:pt>
                <c:pt idx="278">
                  <c:v>44322</c:v>
                </c:pt>
                <c:pt idx="279">
                  <c:v>44323</c:v>
                </c:pt>
                <c:pt idx="280">
                  <c:v>44324</c:v>
                </c:pt>
                <c:pt idx="281">
                  <c:v>44325</c:v>
                </c:pt>
                <c:pt idx="282">
                  <c:v>44326</c:v>
                </c:pt>
                <c:pt idx="283">
                  <c:v>44327</c:v>
                </c:pt>
                <c:pt idx="284">
                  <c:v>44328</c:v>
                </c:pt>
                <c:pt idx="285">
                  <c:v>44329</c:v>
                </c:pt>
                <c:pt idx="286">
                  <c:v>44330</c:v>
                </c:pt>
                <c:pt idx="287">
                  <c:v>44331</c:v>
                </c:pt>
                <c:pt idx="288">
                  <c:v>44332</c:v>
                </c:pt>
                <c:pt idx="289">
                  <c:v>44333</c:v>
                </c:pt>
                <c:pt idx="290">
                  <c:v>44334</c:v>
                </c:pt>
                <c:pt idx="291">
                  <c:v>44335</c:v>
                </c:pt>
                <c:pt idx="292">
                  <c:v>44336</c:v>
                </c:pt>
                <c:pt idx="293">
                  <c:v>44337</c:v>
                </c:pt>
                <c:pt idx="294">
                  <c:v>44338</c:v>
                </c:pt>
                <c:pt idx="295">
                  <c:v>44339</c:v>
                </c:pt>
                <c:pt idx="296">
                  <c:v>44340</c:v>
                </c:pt>
                <c:pt idx="297">
                  <c:v>44341</c:v>
                </c:pt>
                <c:pt idx="298">
                  <c:v>44342</c:v>
                </c:pt>
                <c:pt idx="299">
                  <c:v>44343</c:v>
                </c:pt>
                <c:pt idx="300">
                  <c:v>44344</c:v>
                </c:pt>
                <c:pt idx="301">
                  <c:v>44345</c:v>
                </c:pt>
                <c:pt idx="302">
                  <c:v>44346</c:v>
                </c:pt>
                <c:pt idx="303">
                  <c:v>44347</c:v>
                </c:pt>
                <c:pt idx="304">
                  <c:v>44348</c:v>
                </c:pt>
                <c:pt idx="305">
                  <c:v>44349</c:v>
                </c:pt>
                <c:pt idx="306">
                  <c:v>44350</c:v>
                </c:pt>
                <c:pt idx="307">
                  <c:v>44351</c:v>
                </c:pt>
                <c:pt idx="308">
                  <c:v>44352</c:v>
                </c:pt>
                <c:pt idx="309">
                  <c:v>44353</c:v>
                </c:pt>
                <c:pt idx="310">
                  <c:v>44354</c:v>
                </c:pt>
                <c:pt idx="311">
                  <c:v>44355</c:v>
                </c:pt>
                <c:pt idx="312">
                  <c:v>44356</c:v>
                </c:pt>
                <c:pt idx="313">
                  <c:v>44357</c:v>
                </c:pt>
                <c:pt idx="314">
                  <c:v>44358</c:v>
                </c:pt>
                <c:pt idx="315">
                  <c:v>44359</c:v>
                </c:pt>
                <c:pt idx="316">
                  <c:v>44360</c:v>
                </c:pt>
                <c:pt idx="317">
                  <c:v>44361</c:v>
                </c:pt>
                <c:pt idx="318">
                  <c:v>44362</c:v>
                </c:pt>
                <c:pt idx="319">
                  <c:v>44363</c:v>
                </c:pt>
                <c:pt idx="320">
                  <c:v>44364</c:v>
                </c:pt>
                <c:pt idx="321">
                  <c:v>44365</c:v>
                </c:pt>
                <c:pt idx="322">
                  <c:v>44366</c:v>
                </c:pt>
                <c:pt idx="323">
                  <c:v>44367</c:v>
                </c:pt>
                <c:pt idx="324">
                  <c:v>44368</c:v>
                </c:pt>
                <c:pt idx="325">
                  <c:v>44369</c:v>
                </c:pt>
                <c:pt idx="326">
                  <c:v>44370</c:v>
                </c:pt>
                <c:pt idx="327">
                  <c:v>44371</c:v>
                </c:pt>
                <c:pt idx="328">
                  <c:v>44372</c:v>
                </c:pt>
                <c:pt idx="329">
                  <c:v>44373</c:v>
                </c:pt>
                <c:pt idx="330">
                  <c:v>44374</c:v>
                </c:pt>
                <c:pt idx="331">
                  <c:v>44375</c:v>
                </c:pt>
                <c:pt idx="332">
                  <c:v>44376</c:v>
                </c:pt>
                <c:pt idx="333">
                  <c:v>44377</c:v>
                </c:pt>
                <c:pt idx="334">
                  <c:v>44378</c:v>
                </c:pt>
                <c:pt idx="335">
                  <c:v>44379</c:v>
                </c:pt>
                <c:pt idx="336">
                  <c:v>44380</c:v>
                </c:pt>
                <c:pt idx="337">
                  <c:v>44381</c:v>
                </c:pt>
                <c:pt idx="338">
                  <c:v>44382</c:v>
                </c:pt>
                <c:pt idx="339">
                  <c:v>44383</c:v>
                </c:pt>
                <c:pt idx="340">
                  <c:v>44384</c:v>
                </c:pt>
                <c:pt idx="341">
                  <c:v>44385</c:v>
                </c:pt>
                <c:pt idx="342">
                  <c:v>44386</c:v>
                </c:pt>
                <c:pt idx="343">
                  <c:v>44387</c:v>
                </c:pt>
                <c:pt idx="344">
                  <c:v>44388</c:v>
                </c:pt>
                <c:pt idx="345">
                  <c:v>44389</c:v>
                </c:pt>
                <c:pt idx="346">
                  <c:v>44390</c:v>
                </c:pt>
                <c:pt idx="347">
                  <c:v>44391</c:v>
                </c:pt>
                <c:pt idx="348">
                  <c:v>44392</c:v>
                </c:pt>
                <c:pt idx="349">
                  <c:v>44393</c:v>
                </c:pt>
                <c:pt idx="350">
                  <c:v>44394</c:v>
                </c:pt>
                <c:pt idx="351">
                  <c:v>44395</c:v>
                </c:pt>
                <c:pt idx="352">
                  <c:v>44396</c:v>
                </c:pt>
                <c:pt idx="353">
                  <c:v>44397</c:v>
                </c:pt>
                <c:pt idx="354">
                  <c:v>44398</c:v>
                </c:pt>
                <c:pt idx="355">
                  <c:v>44399</c:v>
                </c:pt>
                <c:pt idx="356">
                  <c:v>44400</c:v>
                </c:pt>
                <c:pt idx="357">
                  <c:v>44401</c:v>
                </c:pt>
                <c:pt idx="358">
                  <c:v>44402</c:v>
                </c:pt>
                <c:pt idx="359">
                  <c:v>44403</c:v>
                </c:pt>
                <c:pt idx="360">
                  <c:v>44404</c:v>
                </c:pt>
                <c:pt idx="361">
                  <c:v>44405</c:v>
                </c:pt>
                <c:pt idx="362">
                  <c:v>44406</c:v>
                </c:pt>
                <c:pt idx="363">
                  <c:v>44407</c:v>
                </c:pt>
                <c:pt idx="364">
                  <c:v>44408</c:v>
                </c:pt>
                <c:pt idx="365">
                  <c:v>44409</c:v>
                </c:pt>
                <c:pt idx="366">
                  <c:v>44410</c:v>
                </c:pt>
                <c:pt idx="367">
                  <c:v>44411</c:v>
                </c:pt>
                <c:pt idx="368">
                  <c:v>44412</c:v>
                </c:pt>
                <c:pt idx="369">
                  <c:v>44413</c:v>
                </c:pt>
                <c:pt idx="370">
                  <c:v>44414</c:v>
                </c:pt>
                <c:pt idx="371">
                  <c:v>44415</c:v>
                </c:pt>
                <c:pt idx="372">
                  <c:v>44416</c:v>
                </c:pt>
                <c:pt idx="373">
                  <c:v>44417</c:v>
                </c:pt>
                <c:pt idx="374">
                  <c:v>44418</c:v>
                </c:pt>
                <c:pt idx="375">
                  <c:v>44419</c:v>
                </c:pt>
                <c:pt idx="376">
                  <c:v>44420</c:v>
                </c:pt>
                <c:pt idx="377">
                  <c:v>44421</c:v>
                </c:pt>
                <c:pt idx="378">
                  <c:v>44422</c:v>
                </c:pt>
                <c:pt idx="379">
                  <c:v>44423</c:v>
                </c:pt>
                <c:pt idx="380">
                  <c:v>44424</c:v>
                </c:pt>
                <c:pt idx="381">
                  <c:v>44425</c:v>
                </c:pt>
                <c:pt idx="382">
                  <c:v>44426</c:v>
                </c:pt>
                <c:pt idx="383">
                  <c:v>44427</c:v>
                </c:pt>
                <c:pt idx="384">
                  <c:v>44428</c:v>
                </c:pt>
                <c:pt idx="385">
                  <c:v>44429</c:v>
                </c:pt>
                <c:pt idx="386">
                  <c:v>44430</c:v>
                </c:pt>
                <c:pt idx="387">
                  <c:v>44431</c:v>
                </c:pt>
                <c:pt idx="388">
                  <c:v>44432</c:v>
                </c:pt>
                <c:pt idx="389">
                  <c:v>44433</c:v>
                </c:pt>
                <c:pt idx="390">
                  <c:v>44434</c:v>
                </c:pt>
                <c:pt idx="391">
                  <c:v>44435</c:v>
                </c:pt>
                <c:pt idx="392">
                  <c:v>44436</c:v>
                </c:pt>
                <c:pt idx="393">
                  <c:v>44437</c:v>
                </c:pt>
                <c:pt idx="394">
                  <c:v>44438</c:v>
                </c:pt>
                <c:pt idx="395">
                  <c:v>44439</c:v>
                </c:pt>
                <c:pt idx="396">
                  <c:v>44440</c:v>
                </c:pt>
                <c:pt idx="397">
                  <c:v>44441</c:v>
                </c:pt>
                <c:pt idx="398">
                  <c:v>44442</c:v>
                </c:pt>
                <c:pt idx="399">
                  <c:v>44443</c:v>
                </c:pt>
                <c:pt idx="400">
                  <c:v>44444</c:v>
                </c:pt>
                <c:pt idx="401">
                  <c:v>44445</c:v>
                </c:pt>
                <c:pt idx="402">
                  <c:v>44446</c:v>
                </c:pt>
                <c:pt idx="403">
                  <c:v>44447</c:v>
                </c:pt>
                <c:pt idx="404">
                  <c:v>44448</c:v>
                </c:pt>
                <c:pt idx="405">
                  <c:v>44449</c:v>
                </c:pt>
                <c:pt idx="406">
                  <c:v>44450</c:v>
                </c:pt>
                <c:pt idx="407">
                  <c:v>44451</c:v>
                </c:pt>
                <c:pt idx="408">
                  <c:v>44452</c:v>
                </c:pt>
                <c:pt idx="409">
                  <c:v>44453</c:v>
                </c:pt>
                <c:pt idx="410">
                  <c:v>44454</c:v>
                </c:pt>
                <c:pt idx="411">
                  <c:v>44455</c:v>
                </c:pt>
                <c:pt idx="412">
                  <c:v>44456</c:v>
                </c:pt>
                <c:pt idx="413">
                  <c:v>44457</c:v>
                </c:pt>
                <c:pt idx="414">
                  <c:v>44458</c:v>
                </c:pt>
                <c:pt idx="415">
                  <c:v>44459</c:v>
                </c:pt>
                <c:pt idx="416">
                  <c:v>44460</c:v>
                </c:pt>
                <c:pt idx="417">
                  <c:v>44461</c:v>
                </c:pt>
                <c:pt idx="418">
                  <c:v>44462</c:v>
                </c:pt>
                <c:pt idx="419">
                  <c:v>44463</c:v>
                </c:pt>
                <c:pt idx="420">
                  <c:v>44464</c:v>
                </c:pt>
                <c:pt idx="421">
                  <c:v>44465</c:v>
                </c:pt>
                <c:pt idx="422">
                  <c:v>44466</c:v>
                </c:pt>
                <c:pt idx="423">
                  <c:v>44467</c:v>
                </c:pt>
                <c:pt idx="424">
                  <c:v>44468</c:v>
                </c:pt>
                <c:pt idx="425">
                  <c:v>44469</c:v>
                </c:pt>
                <c:pt idx="426">
                  <c:v>44470</c:v>
                </c:pt>
                <c:pt idx="427">
                  <c:v>44471</c:v>
                </c:pt>
                <c:pt idx="428">
                  <c:v>44472</c:v>
                </c:pt>
                <c:pt idx="429">
                  <c:v>44473</c:v>
                </c:pt>
                <c:pt idx="430">
                  <c:v>44474</c:v>
                </c:pt>
                <c:pt idx="431">
                  <c:v>44475</c:v>
                </c:pt>
                <c:pt idx="432">
                  <c:v>44476</c:v>
                </c:pt>
                <c:pt idx="433">
                  <c:v>44477</c:v>
                </c:pt>
                <c:pt idx="434">
                  <c:v>44478</c:v>
                </c:pt>
                <c:pt idx="435">
                  <c:v>44479</c:v>
                </c:pt>
                <c:pt idx="436">
                  <c:v>44480</c:v>
                </c:pt>
                <c:pt idx="437">
                  <c:v>44481</c:v>
                </c:pt>
                <c:pt idx="438">
                  <c:v>44482</c:v>
                </c:pt>
                <c:pt idx="439">
                  <c:v>44483</c:v>
                </c:pt>
                <c:pt idx="440">
                  <c:v>44484</c:v>
                </c:pt>
                <c:pt idx="441">
                  <c:v>44485</c:v>
                </c:pt>
                <c:pt idx="442">
                  <c:v>44486</c:v>
                </c:pt>
                <c:pt idx="443">
                  <c:v>44487</c:v>
                </c:pt>
                <c:pt idx="444">
                  <c:v>44488</c:v>
                </c:pt>
                <c:pt idx="445">
                  <c:v>44489</c:v>
                </c:pt>
                <c:pt idx="446">
                  <c:v>44490</c:v>
                </c:pt>
                <c:pt idx="447">
                  <c:v>44491</c:v>
                </c:pt>
                <c:pt idx="448">
                  <c:v>44492</c:v>
                </c:pt>
                <c:pt idx="449">
                  <c:v>44493</c:v>
                </c:pt>
                <c:pt idx="450">
                  <c:v>44494</c:v>
                </c:pt>
                <c:pt idx="451">
                  <c:v>44495</c:v>
                </c:pt>
                <c:pt idx="452">
                  <c:v>44496</c:v>
                </c:pt>
                <c:pt idx="453">
                  <c:v>44497</c:v>
                </c:pt>
                <c:pt idx="454">
                  <c:v>44498</c:v>
                </c:pt>
                <c:pt idx="455">
                  <c:v>44499</c:v>
                </c:pt>
                <c:pt idx="456">
                  <c:v>44500</c:v>
                </c:pt>
                <c:pt idx="457">
                  <c:v>44501</c:v>
                </c:pt>
                <c:pt idx="458">
                  <c:v>44502</c:v>
                </c:pt>
                <c:pt idx="459">
                  <c:v>44503</c:v>
                </c:pt>
                <c:pt idx="460">
                  <c:v>44504</c:v>
                </c:pt>
                <c:pt idx="461">
                  <c:v>44505</c:v>
                </c:pt>
                <c:pt idx="462">
                  <c:v>44506</c:v>
                </c:pt>
                <c:pt idx="463">
                  <c:v>44507</c:v>
                </c:pt>
                <c:pt idx="464">
                  <c:v>44508</c:v>
                </c:pt>
                <c:pt idx="465">
                  <c:v>44509</c:v>
                </c:pt>
                <c:pt idx="466">
                  <c:v>44510</c:v>
                </c:pt>
                <c:pt idx="467">
                  <c:v>44511</c:v>
                </c:pt>
                <c:pt idx="468">
                  <c:v>44512</c:v>
                </c:pt>
                <c:pt idx="469">
                  <c:v>44513</c:v>
                </c:pt>
                <c:pt idx="470">
                  <c:v>44514</c:v>
                </c:pt>
                <c:pt idx="471">
                  <c:v>44515</c:v>
                </c:pt>
                <c:pt idx="472">
                  <c:v>44516</c:v>
                </c:pt>
                <c:pt idx="473">
                  <c:v>44517</c:v>
                </c:pt>
                <c:pt idx="474">
                  <c:v>44518</c:v>
                </c:pt>
                <c:pt idx="475">
                  <c:v>44519</c:v>
                </c:pt>
                <c:pt idx="476">
                  <c:v>44520</c:v>
                </c:pt>
                <c:pt idx="477">
                  <c:v>44521</c:v>
                </c:pt>
                <c:pt idx="478">
                  <c:v>44522</c:v>
                </c:pt>
                <c:pt idx="479">
                  <c:v>44523</c:v>
                </c:pt>
                <c:pt idx="480">
                  <c:v>44524</c:v>
                </c:pt>
                <c:pt idx="481">
                  <c:v>44525</c:v>
                </c:pt>
                <c:pt idx="482">
                  <c:v>44526</c:v>
                </c:pt>
                <c:pt idx="483">
                  <c:v>44527</c:v>
                </c:pt>
                <c:pt idx="484">
                  <c:v>44528</c:v>
                </c:pt>
                <c:pt idx="485">
                  <c:v>44529</c:v>
                </c:pt>
                <c:pt idx="486">
                  <c:v>44530</c:v>
                </c:pt>
                <c:pt idx="487">
                  <c:v>44531</c:v>
                </c:pt>
                <c:pt idx="488">
                  <c:v>44532</c:v>
                </c:pt>
                <c:pt idx="489">
                  <c:v>44533</c:v>
                </c:pt>
                <c:pt idx="490">
                  <c:v>44534</c:v>
                </c:pt>
                <c:pt idx="491">
                  <c:v>44535</c:v>
                </c:pt>
                <c:pt idx="492">
                  <c:v>44536</c:v>
                </c:pt>
                <c:pt idx="493">
                  <c:v>44537</c:v>
                </c:pt>
                <c:pt idx="494">
                  <c:v>44538</c:v>
                </c:pt>
                <c:pt idx="495">
                  <c:v>44539</c:v>
                </c:pt>
                <c:pt idx="496">
                  <c:v>44540</c:v>
                </c:pt>
                <c:pt idx="497">
                  <c:v>44541</c:v>
                </c:pt>
                <c:pt idx="498">
                  <c:v>44542</c:v>
                </c:pt>
                <c:pt idx="499">
                  <c:v>44543</c:v>
                </c:pt>
                <c:pt idx="500">
                  <c:v>44544</c:v>
                </c:pt>
                <c:pt idx="501">
                  <c:v>44545</c:v>
                </c:pt>
                <c:pt idx="502">
                  <c:v>44546</c:v>
                </c:pt>
                <c:pt idx="503">
                  <c:v>44547</c:v>
                </c:pt>
                <c:pt idx="504">
                  <c:v>44548</c:v>
                </c:pt>
                <c:pt idx="505">
                  <c:v>44549</c:v>
                </c:pt>
                <c:pt idx="506">
                  <c:v>44550</c:v>
                </c:pt>
                <c:pt idx="507">
                  <c:v>44551</c:v>
                </c:pt>
                <c:pt idx="508">
                  <c:v>44552</c:v>
                </c:pt>
                <c:pt idx="509">
                  <c:v>44553</c:v>
                </c:pt>
                <c:pt idx="510">
                  <c:v>44554</c:v>
                </c:pt>
                <c:pt idx="511">
                  <c:v>44555</c:v>
                </c:pt>
                <c:pt idx="512">
                  <c:v>44556</c:v>
                </c:pt>
                <c:pt idx="513">
                  <c:v>44557</c:v>
                </c:pt>
                <c:pt idx="514">
                  <c:v>44558</c:v>
                </c:pt>
                <c:pt idx="515">
                  <c:v>44559</c:v>
                </c:pt>
                <c:pt idx="516">
                  <c:v>44560</c:v>
                </c:pt>
                <c:pt idx="517">
                  <c:v>44561</c:v>
                </c:pt>
              </c:numCache>
            </c:numRef>
          </c:xVal>
          <c:yVal>
            <c:numRef>
              <c:f>'Kris''s Streak'!$E$2:$E$804</c:f>
              <c:numCache>
                <c:formatCode>General</c:formatCode>
                <c:ptCount val="803"/>
                <c:pt idx="0">
                  <c:v>495</c:v>
                </c:pt>
                <c:pt idx="1">
                  <c:v>563</c:v>
                </c:pt>
                <c:pt idx="2">
                  <c:v>444</c:v>
                </c:pt>
                <c:pt idx="3">
                  <c:v>431</c:v>
                </c:pt>
                <c:pt idx="4">
                  <c:v>424</c:v>
                </c:pt>
                <c:pt idx="5">
                  <c:v>440</c:v>
                </c:pt>
                <c:pt idx="6">
                  <c:v>524</c:v>
                </c:pt>
                <c:pt idx="7">
                  <c:v>536</c:v>
                </c:pt>
                <c:pt idx="8">
                  <c:v>605</c:v>
                </c:pt>
                <c:pt idx="9">
                  <c:v>480</c:v>
                </c:pt>
                <c:pt idx="10">
                  <c:v>466</c:v>
                </c:pt>
                <c:pt idx="11">
                  <c:v>444</c:v>
                </c:pt>
                <c:pt idx="12">
                  <c:v>421</c:v>
                </c:pt>
                <c:pt idx="13">
                  <c:v>489</c:v>
                </c:pt>
                <c:pt idx="14">
                  <c:v>535</c:v>
                </c:pt>
                <c:pt idx="15">
                  <c:v>501</c:v>
                </c:pt>
                <c:pt idx="16">
                  <c:v>464</c:v>
                </c:pt>
                <c:pt idx="17">
                  <c:v>444</c:v>
                </c:pt>
                <c:pt idx="18">
                  <c:v>438</c:v>
                </c:pt>
                <c:pt idx="19">
                  <c:v>408</c:v>
                </c:pt>
                <c:pt idx="20">
                  <c:v>509</c:v>
                </c:pt>
                <c:pt idx="21">
                  <c:v>514</c:v>
                </c:pt>
                <c:pt idx="22">
                  <c:v>432</c:v>
                </c:pt>
                <c:pt idx="23">
                  <c:v>504</c:v>
                </c:pt>
                <c:pt idx="24">
                  <c:v>500</c:v>
                </c:pt>
                <c:pt idx="25">
                  <c:v>437</c:v>
                </c:pt>
                <c:pt idx="26">
                  <c:v>439</c:v>
                </c:pt>
                <c:pt idx="27">
                  <c:v>494</c:v>
                </c:pt>
                <c:pt idx="28">
                  <c:v>507</c:v>
                </c:pt>
                <c:pt idx="29">
                  <c:v>532</c:v>
                </c:pt>
                <c:pt idx="30">
                  <c:v>441</c:v>
                </c:pt>
                <c:pt idx="31">
                  <c:v>490</c:v>
                </c:pt>
                <c:pt idx="32">
                  <c:v>444</c:v>
                </c:pt>
                <c:pt idx="33">
                  <c:v>433</c:v>
                </c:pt>
                <c:pt idx="34">
                  <c:v>491</c:v>
                </c:pt>
                <c:pt idx="35">
                  <c:v>540</c:v>
                </c:pt>
                <c:pt idx="36">
                  <c:v>554</c:v>
                </c:pt>
                <c:pt idx="37">
                  <c:v>487</c:v>
                </c:pt>
                <c:pt idx="38">
                  <c:v>512</c:v>
                </c:pt>
                <c:pt idx="39">
                  <c:v>426</c:v>
                </c:pt>
                <c:pt idx="40">
                  <c:v>413</c:v>
                </c:pt>
                <c:pt idx="41">
                  <c:v>545</c:v>
                </c:pt>
                <c:pt idx="42">
                  <c:v>557</c:v>
                </c:pt>
                <c:pt idx="43">
                  <c:v>461</c:v>
                </c:pt>
                <c:pt idx="44">
                  <c:v>492</c:v>
                </c:pt>
                <c:pt idx="45">
                  <c:v>502</c:v>
                </c:pt>
                <c:pt idx="46">
                  <c:v>437</c:v>
                </c:pt>
                <c:pt idx="47">
                  <c:v>413</c:v>
                </c:pt>
                <c:pt idx="48">
                  <c:v>499</c:v>
                </c:pt>
                <c:pt idx="49">
                  <c:v>546</c:v>
                </c:pt>
                <c:pt idx="50">
                  <c:v>545</c:v>
                </c:pt>
                <c:pt idx="51">
                  <c:v>472</c:v>
                </c:pt>
                <c:pt idx="52">
                  <c:v>411</c:v>
                </c:pt>
                <c:pt idx="53">
                  <c:v>423</c:v>
                </c:pt>
                <c:pt idx="54">
                  <c:v>403</c:v>
                </c:pt>
                <c:pt idx="55">
                  <c:v>522</c:v>
                </c:pt>
                <c:pt idx="56">
                  <c:v>497</c:v>
                </c:pt>
                <c:pt idx="57">
                  <c:v>520</c:v>
                </c:pt>
                <c:pt idx="58">
                  <c:v>457</c:v>
                </c:pt>
                <c:pt idx="59">
                  <c:v>424</c:v>
                </c:pt>
                <c:pt idx="60">
                  <c:v>429</c:v>
                </c:pt>
                <c:pt idx="61">
                  <c:v>423</c:v>
                </c:pt>
                <c:pt idx="62">
                  <c:v>497</c:v>
                </c:pt>
                <c:pt idx="63">
                  <c:v>530</c:v>
                </c:pt>
                <c:pt idx="64">
                  <c:v>525</c:v>
                </c:pt>
                <c:pt idx="65">
                  <c:v>558</c:v>
                </c:pt>
                <c:pt idx="66">
                  <c:v>397</c:v>
                </c:pt>
                <c:pt idx="67">
                  <c:v>451</c:v>
                </c:pt>
                <c:pt idx="68">
                  <c:v>459</c:v>
                </c:pt>
                <c:pt idx="69">
                  <c:v>571</c:v>
                </c:pt>
                <c:pt idx="70">
                  <c:v>533</c:v>
                </c:pt>
                <c:pt idx="71">
                  <c:v>503</c:v>
                </c:pt>
                <c:pt idx="72">
                  <c:v>515</c:v>
                </c:pt>
                <c:pt idx="73">
                  <c:v>415</c:v>
                </c:pt>
                <c:pt idx="74">
                  <c:v>435</c:v>
                </c:pt>
                <c:pt idx="75">
                  <c:v>435</c:v>
                </c:pt>
                <c:pt idx="76">
                  <c:v>438</c:v>
                </c:pt>
                <c:pt idx="77">
                  <c:v>501</c:v>
                </c:pt>
                <c:pt idx="78">
                  <c:v>520</c:v>
                </c:pt>
                <c:pt idx="79">
                  <c:v>473</c:v>
                </c:pt>
                <c:pt idx="80">
                  <c:v>423</c:v>
                </c:pt>
                <c:pt idx="81">
                  <c:v>440</c:v>
                </c:pt>
                <c:pt idx="82">
                  <c:v>413</c:v>
                </c:pt>
                <c:pt idx="83">
                  <c:v>492</c:v>
                </c:pt>
                <c:pt idx="84">
                  <c:v>503</c:v>
                </c:pt>
                <c:pt idx="85">
                  <c:v>494</c:v>
                </c:pt>
                <c:pt idx="86">
                  <c:v>456</c:v>
                </c:pt>
                <c:pt idx="87">
                  <c:v>438</c:v>
                </c:pt>
                <c:pt idx="88">
                  <c:v>524</c:v>
                </c:pt>
                <c:pt idx="89">
                  <c:v>461</c:v>
                </c:pt>
                <c:pt idx="90">
                  <c:v>520</c:v>
                </c:pt>
                <c:pt idx="91">
                  <c:v>528</c:v>
                </c:pt>
                <c:pt idx="92">
                  <c:v>465</c:v>
                </c:pt>
                <c:pt idx="93">
                  <c:v>509</c:v>
                </c:pt>
                <c:pt idx="94">
                  <c:v>406</c:v>
                </c:pt>
                <c:pt idx="95">
                  <c:v>439</c:v>
                </c:pt>
                <c:pt idx="96">
                  <c:v>449</c:v>
                </c:pt>
                <c:pt idx="97">
                  <c:v>514</c:v>
                </c:pt>
                <c:pt idx="98">
                  <c:v>470</c:v>
                </c:pt>
                <c:pt idx="99">
                  <c:v>533</c:v>
                </c:pt>
                <c:pt idx="100">
                  <c:v>521</c:v>
                </c:pt>
                <c:pt idx="101">
                  <c:v>637</c:v>
                </c:pt>
                <c:pt idx="102">
                  <c:v>646</c:v>
                </c:pt>
                <c:pt idx="103">
                  <c:v>650</c:v>
                </c:pt>
                <c:pt idx="104">
                  <c:v>508</c:v>
                </c:pt>
                <c:pt idx="105">
                  <c:v>463</c:v>
                </c:pt>
                <c:pt idx="106">
                  <c:v>477</c:v>
                </c:pt>
                <c:pt idx="107">
                  <c:v>491</c:v>
                </c:pt>
                <c:pt idx="108">
                  <c:v>422</c:v>
                </c:pt>
                <c:pt idx="109">
                  <c:v>456</c:v>
                </c:pt>
                <c:pt idx="110">
                  <c:v>457</c:v>
                </c:pt>
                <c:pt idx="111">
                  <c:v>521</c:v>
                </c:pt>
                <c:pt idx="112">
                  <c:v>472</c:v>
                </c:pt>
                <c:pt idx="113">
                  <c:v>522</c:v>
                </c:pt>
                <c:pt idx="114">
                  <c:v>492</c:v>
                </c:pt>
                <c:pt idx="115">
                  <c:v>423</c:v>
                </c:pt>
                <c:pt idx="116">
                  <c:v>460</c:v>
                </c:pt>
                <c:pt idx="117">
                  <c:v>466</c:v>
                </c:pt>
                <c:pt idx="118">
                  <c:v>528</c:v>
                </c:pt>
                <c:pt idx="119">
                  <c:v>487</c:v>
                </c:pt>
                <c:pt idx="120">
                  <c:v>572</c:v>
                </c:pt>
                <c:pt idx="121">
                  <c:v>469</c:v>
                </c:pt>
                <c:pt idx="122">
                  <c:v>413</c:v>
                </c:pt>
                <c:pt idx="123">
                  <c:v>452</c:v>
                </c:pt>
                <c:pt idx="124">
                  <c:v>438</c:v>
                </c:pt>
                <c:pt idx="125">
                  <c:v>501</c:v>
                </c:pt>
                <c:pt idx="126">
                  <c:v>538</c:v>
                </c:pt>
                <c:pt idx="127">
                  <c:v>546</c:v>
                </c:pt>
                <c:pt idx="128">
                  <c:v>652</c:v>
                </c:pt>
                <c:pt idx="129">
                  <c:v>423</c:v>
                </c:pt>
                <c:pt idx="130">
                  <c:v>444</c:v>
                </c:pt>
                <c:pt idx="131">
                  <c:v>458</c:v>
                </c:pt>
                <c:pt idx="132">
                  <c:v>544</c:v>
                </c:pt>
                <c:pt idx="133">
                  <c:v>536</c:v>
                </c:pt>
                <c:pt idx="134">
                  <c:v>545</c:v>
                </c:pt>
                <c:pt idx="135">
                  <c:v>508</c:v>
                </c:pt>
                <c:pt idx="136">
                  <c:v>455</c:v>
                </c:pt>
                <c:pt idx="137">
                  <c:v>486</c:v>
                </c:pt>
                <c:pt idx="138">
                  <c:v>445</c:v>
                </c:pt>
                <c:pt idx="139">
                  <c:v>539</c:v>
                </c:pt>
                <c:pt idx="140">
                  <c:v>514</c:v>
                </c:pt>
                <c:pt idx="141">
                  <c:v>546</c:v>
                </c:pt>
                <c:pt idx="142">
                  <c:v>483</c:v>
                </c:pt>
                <c:pt idx="143">
                  <c:v>439</c:v>
                </c:pt>
                <c:pt idx="144">
                  <c:v>456</c:v>
                </c:pt>
                <c:pt idx="145">
                  <c:v>501</c:v>
                </c:pt>
                <c:pt idx="146">
                  <c:v>532</c:v>
                </c:pt>
                <c:pt idx="147">
                  <c:v>575</c:v>
                </c:pt>
                <c:pt idx="148">
                  <c:v>454</c:v>
                </c:pt>
                <c:pt idx="149">
                  <c:v>555</c:v>
                </c:pt>
                <c:pt idx="150">
                  <c:v>424</c:v>
                </c:pt>
                <c:pt idx="151">
                  <c:v>562</c:v>
                </c:pt>
                <c:pt idx="152">
                  <c:v>547</c:v>
                </c:pt>
                <c:pt idx="153">
                  <c:v>553</c:v>
                </c:pt>
                <c:pt idx="154">
                  <c:v>478</c:v>
                </c:pt>
                <c:pt idx="155">
                  <c:v>558</c:v>
                </c:pt>
                <c:pt idx="156">
                  <c:v>486</c:v>
                </c:pt>
                <c:pt idx="157">
                  <c:v>456</c:v>
                </c:pt>
                <c:pt idx="158">
                  <c:v>521</c:v>
                </c:pt>
                <c:pt idx="159">
                  <c:v>465</c:v>
                </c:pt>
                <c:pt idx="160">
                  <c:v>506</c:v>
                </c:pt>
                <c:pt idx="161">
                  <c:v>457</c:v>
                </c:pt>
                <c:pt idx="162">
                  <c:v>529</c:v>
                </c:pt>
                <c:pt idx="163">
                  <c:v>484</c:v>
                </c:pt>
                <c:pt idx="164">
                  <c:v>433</c:v>
                </c:pt>
                <c:pt idx="165">
                  <c:v>438</c:v>
                </c:pt>
                <c:pt idx="166">
                  <c:v>480</c:v>
                </c:pt>
                <c:pt idx="167">
                  <c:v>518</c:v>
                </c:pt>
                <c:pt idx="168">
                  <c:v>534</c:v>
                </c:pt>
                <c:pt idx="169">
                  <c:v>521</c:v>
                </c:pt>
                <c:pt idx="170">
                  <c:v>525</c:v>
                </c:pt>
                <c:pt idx="171">
                  <c:v>409</c:v>
                </c:pt>
                <c:pt idx="172">
                  <c:v>451</c:v>
                </c:pt>
                <c:pt idx="173">
                  <c:v>470</c:v>
                </c:pt>
                <c:pt idx="174">
                  <c:v>487</c:v>
                </c:pt>
                <c:pt idx="175">
                  <c:v>492</c:v>
                </c:pt>
                <c:pt idx="176">
                  <c:v>534</c:v>
                </c:pt>
                <c:pt idx="177">
                  <c:v>477</c:v>
                </c:pt>
                <c:pt idx="178">
                  <c:v>419</c:v>
                </c:pt>
                <c:pt idx="179">
                  <c:v>451</c:v>
                </c:pt>
                <c:pt idx="180">
                  <c:v>490</c:v>
                </c:pt>
                <c:pt idx="181">
                  <c:v>507</c:v>
                </c:pt>
                <c:pt idx="182">
                  <c:v>501</c:v>
                </c:pt>
                <c:pt idx="183">
                  <c:v>513</c:v>
                </c:pt>
                <c:pt idx="184">
                  <c:v>499</c:v>
                </c:pt>
                <c:pt idx="185">
                  <c:v>473</c:v>
                </c:pt>
                <c:pt idx="186">
                  <c:v>470</c:v>
                </c:pt>
                <c:pt idx="187">
                  <c:v>478</c:v>
                </c:pt>
                <c:pt idx="188">
                  <c:v>469</c:v>
                </c:pt>
                <c:pt idx="189">
                  <c:v>484</c:v>
                </c:pt>
                <c:pt idx="190">
                  <c:v>543</c:v>
                </c:pt>
                <c:pt idx="191">
                  <c:v>512</c:v>
                </c:pt>
                <c:pt idx="192">
                  <c:v>467</c:v>
                </c:pt>
                <c:pt idx="193">
                  <c:v>496</c:v>
                </c:pt>
                <c:pt idx="194">
                  <c:v>470</c:v>
                </c:pt>
                <c:pt idx="195">
                  <c:v>510</c:v>
                </c:pt>
                <c:pt idx="196">
                  <c:v>513</c:v>
                </c:pt>
                <c:pt idx="197">
                  <c:v>565</c:v>
                </c:pt>
                <c:pt idx="198">
                  <c:v>489</c:v>
                </c:pt>
                <c:pt idx="199">
                  <c:v>439</c:v>
                </c:pt>
                <c:pt idx="200">
                  <c:v>512</c:v>
                </c:pt>
                <c:pt idx="201">
                  <c:v>533</c:v>
                </c:pt>
                <c:pt idx="202">
                  <c:v>502</c:v>
                </c:pt>
                <c:pt idx="203">
                  <c:v>485</c:v>
                </c:pt>
                <c:pt idx="204">
                  <c:v>557</c:v>
                </c:pt>
                <c:pt idx="205">
                  <c:v>459</c:v>
                </c:pt>
                <c:pt idx="206">
                  <c:v>418</c:v>
                </c:pt>
                <c:pt idx="207">
                  <c:v>495</c:v>
                </c:pt>
                <c:pt idx="208">
                  <c:v>436</c:v>
                </c:pt>
                <c:pt idx="209">
                  <c:v>518</c:v>
                </c:pt>
                <c:pt idx="210">
                  <c:v>504</c:v>
                </c:pt>
                <c:pt idx="211">
                  <c:v>487</c:v>
                </c:pt>
                <c:pt idx="212">
                  <c:v>493</c:v>
                </c:pt>
                <c:pt idx="213">
                  <c:v>434</c:v>
                </c:pt>
                <c:pt idx="214">
                  <c:v>513</c:v>
                </c:pt>
                <c:pt idx="215">
                  <c:v>526</c:v>
                </c:pt>
                <c:pt idx="216">
                  <c:v>522</c:v>
                </c:pt>
                <c:pt idx="217">
                  <c:v>499</c:v>
                </c:pt>
                <c:pt idx="218">
                  <c:v>536</c:v>
                </c:pt>
                <c:pt idx="219">
                  <c:v>525</c:v>
                </c:pt>
                <c:pt idx="220">
                  <c:v>441</c:v>
                </c:pt>
                <c:pt idx="221">
                  <c:v>536</c:v>
                </c:pt>
                <c:pt idx="222">
                  <c:v>475</c:v>
                </c:pt>
                <c:pt idx="223">
                  <c:v>544</c:v>
                </c:pt>
                <c:pt idx="224">
                  <c:v>510</c:v>
                </c:pt>
                <c:pt idx="225">
                  <c:v>476</c:v>
                </c:pt>
                <c:pt idx="226">
                  <c:v>560</c:v>
                </c:pt>
                <c:pt idx="227">
                  <c:v>490</c:v>
                </c:pt>
                <c:pt idx="228">
                  <c:v>521</c:v>
                </c:pt>
                <c:pt idx="229">
                  <c:v>525</c:v>
                </c:pt>
                <c:pt idx="230">
                  <c:v>562</c:v>
                </c:pt>
                <c:pt idx="231">
                  <c:v>614</c:v>
                </c:pt>
                <c:pt idx="232">
                  <c:v>585</c:v>
                </c:pt>
                <c:pt idx="233">
                  <c:v>497</c:v>
                </c:pt>
                <c:pt idx="234">
                  <c:v>449</c:v>
                </c:pt>
                <c:pt idx="235">
                  <c:v>537</c:v>
                </c:pt>
                <c:pt idx="236">
                  <c:v>468</c:v>
                </c:pt>
                <c:pt idx="237">
                  <c:v>583</c:v>
                </c:pt>
                <c:pt idx="238">
                  <c:v>495</c:v>
                </c:pt>
                <c:pt idx="239">
                  <c:v>561</c:v>
                </c:pt>
                <c:pt idx="240">
                  <c:v>616</c:v>
                </c:pt>
                <c:pt idx="241">
                  <c:v>467</c:v>
                </c:pt>
                <c:pt idx="242">
                  <c:v>550</c:v>
                </c:pt>
                <c:pt idx="243">
                  <c:v>475</c:v>
                </c:pt>
                <c:pt idx="244">
                  <c:v>537</c:v>
                </c:pt>
                <c:pt idx="245">
                  <c:v>490</c:v>
                </c:pt>
                <c:pt idx="246">
                  <c:v>541</c:v>
                </c:pt>
                <c:pt idx="247">
                  <c:v>592</c:v>
                </c:pt>
                <c:pt idx="248">
                  <c:v>543</c:v>
                </c:pt>
                <c:pt idx="249">
                  <c:v>496</c:v>
                </c:pt>
                <c:pt idx="250">
                  <c:v>491</c:v>
                </c:pt>
                <c:pt idx="251">
                  <c:v>521</c:v>
                </c:pt>
                <c:pt idx="252">
                  <c:v>578</c:v>
                </c:pt>
                <c:pt idx="253">
                  <c:v>494</c:v>
                </c:pt>
                <c:pt idx="254">
                  <c:v>586</c:v>
                </c:pt>
                <c:pt idx="255">
                  <c:v>527</c:v>
                </c:pt>
                <c:pt idx="256">
                  <c:v>468</c:v>
                </c:pt>
                <c:pt idx="257">
                  <c:v>550</c:v>
                </c:pt>
                <c:pt idx="258">
                  <c:v>559</c:v>
                </c:pt>
                <c:pt idx="259">
                  <c:v>492</c:v>
                </c:pt>
                <c:pt idx="260">
                  <c:v>568</c:v>
                </c:pt>
                <c:pt idx="261">
                  <c:v>559</c:v>
                </c:pt>
                <c:pt idx="262">
                  <c:v>477</c:v>
                </c:pt>
                <c:pt idx="263">
                  <c:v>472</c:v>
                </c:pt>
                <c:pt idx="264">
                  <c:v>491</c:v>
                </c:pt>
                <c:pt idx="265">
                  <c:v>538</c:v>
                </c:pt>
                <c:pt idx="266">
                  <c:v>578</c:v>
                </c:pt>
                <c:pt idx="267">
                  <c:v>404</c:v>
                </c:pt>
                <c:pt idx="268">
                  <c:v>568</c:v>
                </c:pt>
                <c:pt idx="269">
                  <c:v>522</c:v>
                </c:pt>
                <c:pt idx="270">
                  <c:v>533</c:v>
                </c:pt>
                <c:pt idx="271">
                  <c:v>569</c:v>
                </c:pt>
                <c:pt idx="272">
                  <c:v>575</c:v>
                </c:pt>
                <c:pt idx="273">
                  <c:v>528</c:v>
                </c:pt>
                <c:pt idx="274">
                  <c:v>540</c:v>
                </c:pt>
                <c:pt idx="275">
                  <c:v>529</c:v>
                </c:pt>
                <c:pt idx="276">
                  <c:v>482</c:v>
                </c:pt>
                <c:pt idx="277">
                  <c:v>441</c:v>
                </c:pt>
                <c:pt idx="278">
                  <c:v>437</c:v>
                </c:pt>
                <c:pt idx="279">
                  <c:v>513</c:v>
                </c:pt>
                <c:pt idx="280">
                  <c:v>547</c:v>
                </c:pt>
                <c:pt idx="281">
                  <c:v>566</c:v>
                </c:pt>
                <c:pt idx="282">
                  <c:v>444</c:v>
                </c:pt>
                <c:pt idx="283">
                  <c:v>529</c:v>
                </c:pt>
                <c:pt idx="284">
                  <c:v>446</c:v>
                </c:pt>
                <c:pt idx="285">
                  <c:v>551</c:v>
                </c:pt>
                <c:pt idx="286">
                  <c:v>548</c:v>
                </c:pt>
                <c:pt idx="287">
                  <c:v>524</c:v>
                </c:pt>
                <c:pt idx="288">
                  <c:v>579</c:v>
                </c:pt>
                <c:pt idx="289">
                  <c:v>521</c:v>
                </c:pt>
                <c:pt idx="290">
                  <c:v>466</c:v>
                </c:pt>
                <c:pt idx="291">
                  <c:v>434</c:v>
                </c:pt>
                <c:pt idx="292">
                  <c:v>477</c:v>
                </c:pt>
                <c:pt idx="293">
                  <c:v>513</c:v>
                </c:pt>
                <c:pt idx="294">
                  <c:v>579</c:v>
                </c:pt>
                <c:pt idx="295">
                  <c:v>591</c:v>
                </c:pt>
                <c:pt idx="296">
                  <c:v>587</c:v>
                </c:pt>
                <c:pt idx="297">
                  <c:v>493</c:v>
                </c:pt>
                <c:pt idx="298">
                  <c:v>444</c:v>
                </c:pt>
                <c:pt idx="299">
                  <c:v>459</c:v>
                </c:pt>
                <c:pt idx="300">
                  <c:v>564</c:v>
                </c:pt>
                <c:pt idx="301">
                  <c:v>476</c:v>
                </c:pt>
                <c:pt idx="302">
                  <c:v>521</c:v>
                </c:pt>
                <c:pt idx="303">
                  <c:v>535</c:v>
                </c:pt>
                <c:pt idx="304">
                  <c:v>457</c:v>
                </c:pt>
                <c:pt idx="305">
                  <c:v>435</c:v>
                </c:pt>
                <c:pt idx="306">
                  <c:v>386</c:v>
                </c:pt>
                <c:pt idx="307">
                  <c:v>591</c:v>
                </c:pt>
                <c:pt idx="308">
                  <c:v>567</c:v>
                </c:pt>
                <c:pt idx="309">
                  <c:v>584</c:v>
                </c:pt>
                <c:pt idx="310">
                  <c:v>542</c:v>
                </c:pt>
                <c:pt idx="311">
                  <c:v>574</c:v>
                </c:pt>
                <c:pt idx="312">
                  <c:v>472</c:v>
                </c:pt>
                <c:pt idx="313">
                  <c:v>528</c:v>
                </c:pt>
                <c:pt idx="314">
                  <c:v>563</c:v>
                </c:pt>
                <c:pt idx="315">
                  <c:v>640</c:v>
                </c:pt>
                <c:pt idx="316">
                  <c:v>507</c:v>
                </c:pt>
                <c:pt idx="317">
                  <c:v>553</c:v>
                </c:pt>
                <c:pt idx="318">
                  <c:v>511</c:v>
                </c:pt>
                <c:pt idx="319">
                  <c:v>434</c:v>
                </c:pt>
                <c:pt idx="320">
                  <c:v>458</c:v>
                </c:pt>
                <c:pt idx="321">
                  <c:v>507</c:v>
                </c:pt>
                <c:pt idx="322">
                  <c:v>521</c:v>
                </c:pt>
                <c:pt idx="323">
                  <c:v>551</c:v>
                </c:pt>
                <c:pt idx="324">
                  <c:v>533</c:v>
                </c:pt>
                <c:pt idx="325">
                  <c:v>413</c:v>
                </c:pt>
                <c:pt idx="326">
                  <c:v>537</c:v>
                </c:pt>
                <c:pt idx="327">
                  <c:v>574</c:v>
                </c:pt>
                <c:pt idx="328">
                  <c:v>595</c:v>
                </c:pt>
                <c:pt idx="329">
                  <c:v>609</c:v>
                </c:pt>
                <c:pt idx="330">
                  <c:v>613</c:v>
                </c:pt>
                <c:pt idx="331">
                  <c:v>567</c:v>
                </c:pt>
                <c:pt idx="332">
                  <c:v>583</c:v>
                </c:pt>
                <c:pt idx="333">
                  <c:v>468</c:v>
                </c:pt>
                <c:pt idx="334">
                  <c:v>579</c:v>
                </c:pt>
                <c:pt idx="335">
                  <c:v>527</c:v>
                </c:pt>
                <c:pt idx="336">
                  <c:v>599</c:v>
                </c:pt>
                <c:pt idx="337">
                  <c:v>564</c:v>
                </c:pt>
                <c:pt idx="338">
                  <c:v>554</c:v>
                </c:pt>
                <c:pt idx="339">
                  <c:v>445</c:v>
                </c:pt>
                <c:pt idx="340">
                  <c:v>446</c:v>
                </c:pt>
                <c:pt idx="341">
                  <c:v>427</c:v>
                </c:pt>
                <c:pt idx="342">
                  <c:v>533</c:v>
                </c:pt>
                <c:pt idx="343">
                  <c:v>490</c:v>
                </c:pt>
                <c:pt idx="344">
                  <c:v>579</c:v>
                </c:pt>
                <c:pt idx="345">
                  <c:v>607</c:v>
                </c:pt>
                <c:pt idx="346">
                  <c:v>592</c:v>
                </c:pt>
                <c:pt idx="347">
                  <c:v>441</c:v>
                </c:pt>
                <c:pt idx="348">
                  <c:v>489</c:v>
                </c:pt>
                <c:pt idx="349">
                  <c:v>553</c:v>
                </c:pt>
                <c:pt idx="350">
                  <c:v>538</c:v>
                </c:pt>
                <c:pt idx="351">
                  <c:v>503</c:v>
                </c:pt>
                <c:pt idx="352">
                  <c:v>583</c:v>
                </c:pt>
                <c:pt idx="353">
                  <c:v>407</c:v>
                </c:pt>
                <c:pt idx="354">
                  <c:v>448</c:v>
                </c:pt>
                <c:pt idx="355">
                  <c:v>557</c:v>
                </c:pt>
                <c:pt idx="356">
                  <c:v>632</c:v>
                </c:pt>
                <c:pt idx="357">
                  <c:v>575</c:v>
                </c:pt>
                <c:pt idx="358">
                  <c:v>467</c:v>
                </c:pt>
                <c:pt idx="359">
                  <c:v>543</c:v>
                </c:pt>
                <c:pt idx="360">
                  <c:v>575</c:v>
                </c:pt>
                <c:pt idx="361">
                  <c:v>447</c:v>
                </c:pt>
                <c:pt idx="362">
                  <c:v>554</c:v>
                </c:pt>
                <c:pt idx="363">
                  <c:v>521</c:v>
                </c:pt>
                <c:pt idx="364">
                  <c:v>480</c:v>
                </c:pt>
                <c:pt idx="365">
                  <c:v>532</c:v>
                </c:pt>
                <c:pt idx="366">
                  <c:v>530</c:v>
                </c:pt>
                <c:pt idx="367">
                  <c:v>571</c:v>
                </c:pt>
                <c:pt idx="368">
                  <c:v>416</c:v>
                </c:pt>
                <c:pt idx="369">
                  <c:v>591</c:v>
                </c:pt>
                <c:pt idx="370">
                  <c:v>546</c:v>
                </c:pt>
                <c:pt idx="371">
                  <c:v>428</c:v>
                </c:pt>
                <c:pt idx="372">
                  <c:v>487</c:v>
                </c:pt>
                <c:pt idx="373">
                  <c:v>598</c:v>
                </c:pt>
                <c:pt idx="374">
                  <c:v>579</c:v>
                </c:pt>
                <c:pt idx="375">
                  <c:v>449</c:v>
                </c:pt>
                <c:pt idx="376">
                  <c:v>547</c:v>
                </c:pt>
                <c:pt idx="377">
                  <c:v>496</c:v>
                </c:pt>
                <c:pt idx="378">
                  <c:v>637</c:v>
                </c:pt>
                <c:pt idx="379">
                  <c:v>469</c:v>
                </c:pt>
                <c:pt idx="380">
                  <c:v>578</c:v>
                </c:pt>
                <c:pt idx="381">
                  <c:v>541</c:v>
                </c:pt>
                <c:pt idx="382">
                  <c:v>437</c:v>
                </c:pt>
                <c:pt idx="383">
                  <c:v>568</c:v>
                </c:pt>
                <c:pt idx="384">
                  <c:v>561</c:v>
                </c:pt>
                <c:pt idx="385">
                  <c:v>613</c:v>
                </c:pt>
                <c:pt idx="386">
                  <c:v>578</c:v>
                </c:pt>
                <c:pt idx="387">
                  <c:v>479</c:v>
                </c:pt>
                <c:pt idx="388">
                  <c:v>505</c:v>
                </c:pt>
                <c:pt idx="389">
                  <c:v>433</c:v>
                </c:pt>
                <c:pt idx="390">
                  <c:v>530</c:v>
                </c:pt>
                <c:pt idx="391">
                  <c:v>635</c:v>
                </c:pt>
                <c:pt idx="392">
                  <c:v>608</c:v>
                </c:pt>
                <c:pt idx="393">
                  <c:v>597</c:v>
                </c:pt>
                <c:pt idx="394">
                  <c:v>451</c:v>
                </c:pt>
                <c:pt idx="395">
                  <c:v>561</c:v>
                </c:pt>
                <c:pt idx="396">
                  <c:v>466</c:v>
                </c:pt>
                <c:pt idx="397">
                  <c:v>585</c:v>
                </c:pt>
                <c:pt idx="398">
                  <c:v>606</c:v>
                </c:pt>
                <c:pt idx="399">
                  <c:v>392</c:v>
                </c:pt>
                <c:pt idx="400">
                  <c:v>554</c:v>
                </c:pt>
                <c:pt idx="401">
                  <c:v>402</c:v>
                </c:pt>
                <c:pt idx="402">
                  <c:v>543</c:v>
                </c:pt>
                <c:pt idx="403">
                  <c:v>435</c:v>
                </c:pt>
                <c:pt idx="404">
                  <c:v>516</c:v>
                </c:pt>
                <c:pt idx="405">
                  <c:v>563</c:v>
                </c:pt>
                <c:pt idx="406">
                  <c:v>509</c:v>
                </c:pt>
                <c:pt idx="407">
                  <c:v>589</c:v>
                </c:pt>
                <c:pt idx="408">
                  <c:v>436</c:v>
                </c:pt>
                <c:pt idx="409">
                  <c:v>536</c:v>
                </c:pt>
                <c:pt idx="410">
                  <c:v>438</c:v>
                </c:pt>
                <c:pt idx="411">
                  <c:v>537</c:v>
                </c:pt>
                <c:pt idx="412">
                  <c:v>528</c:v>
                </c:pt>
                <c:pt idx="413">
                  <c:v>493</c:v>
                </c:pt>
                <c:pt idx="414">
                  <c:v>576</c:v>
                </c:pt>
                <c:pt idx="415">
                  <c:v>579</c:v>
                </c:pt>
                <c:pt idx="416">
                  <c:v>536</c:v>
                </c:pt>
                <c:pt idx="417">
                  <c:v>555</c:v>
                </c:pt>
                <c:pt idx="418">
                  <c:v>514</c:v>
                </c:pt>
                <c:pt idx="419">
                  <c:v>530</c:v>
                </c:pt>
                <c:pt idx="420">
                  <c:v>489</c:v>
                </c:pt>
                <c:pt idx="421">
                  <c:v>470</c:v>
                </c:pt>
                <c:pt idx="422">
                  <c:v>452</c:v>
                </c:pt>
                <c:pt idx="423">
                  <c:v>494</c:v>
                </c:pt>
                <c:pt idx="424">
                  <c:v>430</c:v>
                </c:pt>
                <c:pt idx="425">
                  <c:v>550</c:v>
                </c:pt>
                <c:pt idx="426">
                  <c:v>531</c:v>
                </c:pt>
                <c:pt idx="427">
                  <c:v>451</c:v>
                </c:pt>
                <c:pt idx="428">
                  <c:v>485</c:v>
                </c:pt>
                <c:pt idx="429">
                  <c:v>529</c:v>
                </c:pt>
                <c:pt idx="430">
                  <c:v>558</c:v>
                </c:pt>
                <c:pt idx="431">
                  <c:v>454</c:v>
                </c:pt>
                <c:pt idx="432">
                  <c:v>531</c:v>
                </c:pt>
                <c:pt idx="433">
                  <c:v>516</c:v>
                </c:pt>
                <c:pt idx="434">
                  <c:v>568</c:v>
                </c:pt>
                <c:pt idx="435">
                  <c:v>576</c:v>
                </c:pt>
                <c:pt idx="436">
                  <c:v>621</c:v>
                </c:pt>
                <c:pt idx="437">
                  <c:v>582</c:v>
                </c:pt>
                <c:pt idx="438">
                  <c:v>501</c:v>
                </c:pt>
                <c:pt idx="439">
                  <c:v>449</c:v>
                </c:pt>
                <c:pt idx="440">
                  <c:v>534</c:v>
                </c:pt>
                <c:pt idx="441">
                  <c:v>552</c:v>
                </c:pt>
                <c:pt idx="442">
                  <c:v>555</c:v>
                </c:pt>
                <c:pt idx="443">
                  <c:v>470</c:v>
                </c:pt>
                <c:pt idx="444">
                  <c:v>579</c:v>
                </c:pt>
                <c:pt idx="445">
                  <c:v>409</c:v>
                </c:pt>
                <c:pt idx="446">
                  <c:v>495</c:v>
                </c:pt>
                <c:pt idx="447">
                  <c:v>510</c:v>
                </c:pt>
                <c:pt idx="448">
                  <c:v>455</c:v>
                </c:pt>
                <c:pt idx="449">
                  <c:v>562</c:v>
                </c:pt>
                <c:pt idx="450">
                  <c:v>532</c:v>
                </c:pt>
                <c:pt idx="451">
                  <c:v>556</c:v>
                </c:pt>
                <c:pt idx="452">
                  <c:v>440</c:v>
                </c:pt>
                <c:pt idx="453">
                  <c:v>483</c:v>
                </c:pt>
                <c:pt idx="454">
                  <c:v>576</c:v>
                </c:pt>
                <c:pt idx="455">
                  <c:v>596</c:v>
                </c:pt>
                <c:pt idx="456">
                  <c:v>525</c:v>
                </c:pt>
                <c:pt idx="457">
                  <c:v>434</c:v>
                </c:pt>
                <c:pt idx="458">
                  <c:v>514</c:v>
                </c:pt>
                <c:pt idx="459">
                  <c:v>475</c:v>
                </c:pt>
                <c:pt idx="460">
                  <c:v>528</c:v>
                </c:pt>
                <c:pt idx="461">
                  <c:v>524</c:v>
                </c:pt>
                <c:pt idx="462">
                  <c:v>496</c:v>
                </c:pt>
                <c:pt idx="463">
                  <c:v>535</c:v>
                </c:pt>
                <c:pt idx="464">
                  <c:v>539</c:v>
                </c:pt>
                <c:pt idx="465">
                  <c:v>548</c:v>
                </c:pt>
                <c:pt idx="466">
                  <c:v>463</c:v>
                </c:pt>
                <c:pt idx="467">
                  <c:v>561</c:v>
                </c:pt>
                <c:pt idx="468">
                  <c:v>535</c:v>
                </c:pt>
                <c:pt idx="469">
                  <c:v>554</c:v>
                </c:pt>
                <c:pt idx="470">
                  <c:v>490</c:v>
                </c:pt>
                <c:pt idx="471">
                  <c:v>464</c:v>
                </c:pt>
                <c:pt idx="472">
                  <c:v>535</c:v>
                </c:pt>
                <c:pt idx="473">
                  <c:v>450</c:v>
                </c:pt>
                <c:pt idx="474">
                  <c:v>513</c:v>
                </c:pt>
                <c:pt idx="475">
                  <c:v>499</c:v>
                </c:pt>
                <c:pt idx="476">
                  <c:v>516</c:v>
                </c:pt>
                <c:pt idx="477">
                  <c:v>594</c:v>
                </c:pt>
                <c:pt idx="478">
                  <c:v>492</c:v>
                </c:pt>
                <c:pt idx="479">
                  <c:v>524</c:v>
                </c:pt>
                <c:pt idx="480">
                  <c:v>448</c:v>
                </c:pt>
                <c:pt idx="481">
                  <c:v>645</c:v>
                </c:pt>
                <c:pt idx="482">
                  <c:v>512</c:v>
                </c:pt>
                <c:pt idx="483">
                  <c:v>435</c:v>
                </c:pt>
                <c:pt idx="484">
                  <c:v>552</c:v>
                </c:pt>
                <c:pt idx="485">
                  <c:v>574</c:v>
                </c:pt>
                <c:pt idx="486">
                  <c:v>549</c:v>
                </c:pt>
                <c:pt idx="487">
                  <c:v>440</c:v>
                </c:pt>
                <c:pt idx="488">
                  <c:v>551</c:v>
                </c:pt>
                <c:pt idx="489">
                  <c:v>592</c:v>
                </c:pt>
                <c:pt idx="490">
                  <c:v>570</c:v>
                </c:pt>
                <c:pt idx="491">
                  <c:v>519</c:v>
                </c:pt>
                <c:pt idx="492">
                  <c:v>475</c:v>
                </c:pt>
                <c:pt idx="493">
                  <c:v>522</c:v>
                </c:pt>
                <c:pt idx="494">
                  <c:v>434</c:v>
                </c:pt>
                <c:pt idx="495">
                  <c:v>563</c:v>
                </c:pt>
                <c:pt idx="496">
                  <c:v>553</c:v>
                </c:pt>
                <c:pt idx="497">
                  <c:v>591</c:v>
                </c:pt>
                <c:pt idx="498">
                  <c:v>524</c:v>
                </c:pt>
                <c:pt idx="499">
                  <c:v>497</c:v>
                </c:pt>
                <c:pt idx="500">
                  <c:v>569</c:v>
                </c:pt>
                <c:pt idx="501">
                  <c:v>472</c:v>
                </c:pt>
                <c:pt idx="502">
                  <c:v>501</c:v>
                </c:pt>
                <c:pt idx="503">
                  <c:v>551</c:v>
                </c:pt>
                <c:pt idx="504">
                  <c:v>587</c:v>
                </c:pt>
                <c:pt idx="505">
                  <c:v>533</c:v>
                </c:pt>
                <c:pt idx="506">
                  <c:v>497</c:v>
                </c:pt>
                <c:pt idx="507">
                  <c:v>525</c:v>
                </c:pt>
                <c:pt idx="508">
                  <c:v>470</c:v>
                </c:pt>
                <c:pt idx="509">
                  <c:v>501</c:v>
                </c:pt>
                <c:pt idx="510">
                  <c:v>519</c:v>
                </c:pt>
                <c:pt idx="511">
                  <c:v>577</c:v>
                </c:pt>
                <c:pt idx="512">
                  <c:v>573</c:v>
                </c:pt>
                <c:pt idx="513">
                  <c:v>533</c:v>
                </c:pt>
                <c:pt idx="514">
                  <c:v>525</c:v>
                </c:pt>
                <c:pt idx="515">
                  <c:v>456</c:v>
                </c:pt>
                <c:pt idx="516">
                  <c:v>508</c:v>
                </c:pt>
                <c:pt idx="517">
                  <c:v>548</c:v>
                </c:pt>
                <c:pt idx="519">
                  <c:v>0</c:v>
                </c:pt>
                <c:pt idx="520" formatCode="m/d/yyyy">
                  <c:v>44543</c:v>
                </c:pt>
                <c:pt idx="521" formatCode="m/d/yyyy">
                  <c:v>44465</c:v>
                </c:pt>
                <c:pt idx="522" formatCode="m/d/yyyy">
                  <c:v>44445</c:v>
                </c:pt>
                <c:pt idx="523" formatCode="m/d/yyyy">
                  <c:v>44443</c:v>
                </c:pt>
                <c:pt idx="524" formatCode="m/d/yyyy">
                  <c:v>44441</c:v>
                </c:pt>
                <c:pt idx="525" formatCode="m/d/yyyy">
                  <c:v>44434</c:v>
                </c:pt>
                <c:pt idx="526" formatCode="m/d/yyyy">
                  <c:v>44431</c:v>
                </c:pt>
                <c:pt idx="527" formatCode="m/d/yyyy">
                  <c:v>44427</c:v>
                </c:pt>
                <c:pt idx="528" formatCode="m/d/yyyy">
                  <c:v>44387</c:v>
                </c:pt>
                <c:pt idx="529" formatCode="m/d/yyyy">
                  <c:v>44383</c:v>
                </c:pt>
                <c:pt idx="530" formatCode="m/d/yyyy">
                  <c:v>44364</c:v>
                </c:pt>
                <c:pt idx="531" formatCode="m/d/yyyy">
                  <c:v>44352</c:v>
                </c:pt>
                <c:pt idx="532" formatCode="m/d/yyyy">
                  <c:v>44317</c:v>
                </c:pt>
                <c:pt idx="533" formatCode="m/d/yyyy">
                  <c:v>44261</c:v>
                </c:pt>
                <c:pt idx="534" formatCode="m/d/yyyy">
                  <c:v>44259</c:v>
                </c:pt>
                <c:pt idx="535" formatCode="m/d/yyyy">
                  <c:v>44251</c:v>
                </c:pt>
                <c:pt idx="536" formatCode="m/d/yyyy">
                  <c:v>44248</c:v>
                </c:pt>
                <c:pt idx="537" formatCode="m/d/yyyy">
                  <c:v>44226</c:v>
                </c:pt>
                <c:pt idx="538" formatCode="m/d/yyyy">
                  <c:v>44198</c:v>
                </c:pt>
                <c:pt idx="539" formatCode="m/d/yyyy">
                  <c:v>44459</c:v>
                </c:pt>
                <c:pt idx="540" formatCode="m/d/yyyy">
                  <c:v>44452</c:v>
                </c:pt>
                <c:pt idx="541" formatCode="m/d/yyyy">
                  <c:v>44431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28-4C68-A3C8-05DBFDDC2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78464"/>
        <c:axId val="468972888"/>
      </c:scatterChart>
      <c:valAx>
        <c:axId val="468978464"/>
        <c:scaling>
          <c:orientation val="minMax"/>
          <c:max val="44562"/>
          <c:min val="440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72888"/>
        <c:crosses val="autoZero"/>
        <c:crossBetween val="midCat"/>
        <c:majorUnit val="14"/>
        <c:minorUnit val="7"/>
      </c:valAx>
      <c:valAx>
        <c:axId val="468972888"/>
        <c:scaling>
          <c:orientation val="minMax"/>
          <c:max val="660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78464"/>
        <c:crosses val="autoZero"/>
        <c:crossBetween val="midCat"/>
        <c:majorUnit val="60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Paces</a:t>
            </a:r>
            <a:r>
              <a:rPr lang="en-US" baseline="0"/>
              <a:t> at Run Clubs</a:t>
            </a:r>
            <a:endParaRPr lang="en-US"/>
          </a:p>
        </c:rich>
      </c:tx>
      <c:layout>
        <c:manualLayout>
          <c:xMode val="edge"/>
          <c:yMode val="edge"/>
          <c:x val="0.29789927784597819"/>
          <c:y val="7.338826238067341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438693519584261E-2"/>
          <c:y val="4.4149282426060539E-2"/>
          <c:w val="0.97592069621557731"/>
          <c:h val="0.89874349284267396"/>
        </c:manualLayout>
      </c:layout>
      <c:lineChart>
        <c:grouping val="standard"/>
        <c:varyColors val="0"/>
        <c:ser>
          <c:idx val="1"/>
          <c:order val="0"/>
          <c:tx>
            <c:v>Port City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'Port City'!$F$2:$F$104</c:f>
              <c:numCache>
                <c:formatCode>General</c:formatCode>
                <c:ptCount val="103"/>
                <c:pt idx="0">
                  <c:v>444</c:v>
                </c:pt>
                <c:pt idx="1">
                  <c:v>480</c:v>
                </c:pt>
                <c:pt idx="2">
                  <c:v>464</c:v>
                </c:pt>
                <c:pt idx="3">
                  <c:v>441</c:v>
                </c:pt>
                <c:pt idx="4">
                  <c:v>487</c:v>
                </c:pt>
                <c:pt idx="5">
                  <c:v>492</c:v>
                </c:pt>
                <c:pt idx="6">
                  <c:v>472</c:v>
                </c:pt>
                <c:pt idx="7">
                  <c:v>457</c:v>
                </c:pt>
                <c:pt idx="8">
                  <c:v>473</c:v>
                </c:pt>
                <c:pt idx="9">
                  <c:v>456</c:v>
                </c:pt>
                <c:pt idx="10">
                  <c:v>509</c:v>
                </c:pt>
                <c:pt idx="11">
                  <c:v>521</c:v>
                </c:pt>
                <c:pt idx="12">
                  <c:v>491</c:v>
                </c:pt>
                <c:pt idx="13">
                  <c:v>492</c:v>
                </c:pt>
                <c:pt idx="14">
                  <c:v>469</c:v>
                </c:pt>
                <c:pt idx="15">
                  <c:v>652</c:v>
                </c:pt>
                <c:pt idx="16">
                  <c:v>508</c:v>
                </c:pt>
                <c:pt idx="17">
                  <c:v>483</c:v>
                </c:pt>
                <c:pt idx="18">
                  <c:v>486</c:v>
                </c:pt>
                <c:pt idx="19">
                  <c:v>484</c:v>
                </c:pt>
                <c:pt idx="20">
                  <c:v>525</c:v>
                </c:pt>
                <c:pt idx="21">
                  <c:v>477</c:v>
                </c:pt>
                <c:pt idx="22">
                  <c:v>512</c:v>
                </c:pt>
                <c:pt idx="23">
                  <c:v>489</c:v>
                </c:pt>
                <c:pt idx="24">
                  <c:v>459</c:v>
                </c:pt>
                <c:pt idx="25">
                  <c:v>493</c:v>
                </c:pt>
                <c:pt idx="26">
                  <c:v>525</c:v>
                </c:pt>
                <c:pt idx="27">
                  <c:v>560</c:v>
                </c:pt>
                <c:pt idx="28">
                  <c:v>497</c:v>
                </c:pt>
                <c:pt idx="29">
                  <c:v>616</c:v>
                </c:pt>
                <c:pt idx="30">
                  <c:v>592</c:v>
                </c:pt>
                <c:pt idx="31">
                  <c:v>586</c:v>
                </c:pt>
                <c:pt idx="32">
                  <c:v>559</c:v>
                </c:pt>
                <c:pt idx="33">
                  <c:v>568</c:v>
                </c:pt>
                <c:pt idx="34">
                  <c:v>529</c:v>
                </c:pt>
                <c:pt idx="35">
                  <c:v>521</c:v>
                </c:pt>
                <c:pt idx="36">
                  <c:v>587</c:v>
                </c:pt>
                <c:pt idx="37">
                  <c:v>535</c:v>
                </c:pt>
                <c:pt idx="38">
                  <c:v>542</c:v>
                </c:pt>
                <c:pt idx="39">
                  <c:v>553</c:v>
                </c:pt>
                <c:pt idx="40">
                  <c:v>533</c:v>
                </c:pt>
                <c:pt idx="41">
                  <c:v>567</c:v>
                </c:pt>
                <c:pt idx="42">
                  <c:v>607</c:v>
                </c:pt>
                <c:pt idx="43">
                  <c:v>583</c:v>
                </c:pt>
                <c:pt idx="44">
                  <c:v>543</c:v>
                </c:pt>
                <c:pt idx="45">
                  <c:v>598</c:v>
                </c:pt>
                <c:pt idx="46">
                  <c:v>479</c:v>
                </c:pt>
                <c:pt idx="47">
                  <c:v>451</c:v>
                </c:pt>
                <c:pt idx="48">
                  <c:v>436</c:v>
                </c:pt>
                <c:pt idx="49">
                  <c:v>579</c:v>
                </c:pt>
                <c:pt idx="50">
                  <c:v>452</c:v>
                </c:pt>
                <c:pt idx="51">
                  <c:v>470</c:v>
                </c:pt>
                <c:pt idx="52">
                  <c:v>532</c:v>
                </c:pt>
                <c:pt idx="53">
                  <c:v>434</c:v>
                </c:pt>
                <c:pt idx="54">
                  <c:v>539</c:v>
                </c:pt>
                <c:pt idx="55">
                  <c:v>464</c:v>
                </c:pt>
                <c:pt idx="56">
                  <c:v>594</c:v>
                </c:pt>
                <c:pt idx="57">
                  <c:v>492</c:v>
                </c:pt>
                <c:pt idx="58">
                  <c:v>574</c:v>
                </c:pt>
                <c:pt idx="59">
                  <c:v>497</c:v>
                </c:pt>
                <c:pt idx="60">
                  <c:v>497</c:v>
                </c:pt>
                <c:pt idx="6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8-4CC5-A3BF-C9FAED558852}"/>
            </c:ext>
          </c:extLst>
        </c:ser>
        <c:ser>
          <c:idx val="0"/>
          <c:order val="1"/>
          <c:tx>
            <c:v>Shirlington Run Club</c:v>
          </c:tx>
          <c:spPr>
            <a:ln w="28575" cap="rnd">
              <a:solidFill>
                <a:srgbClr val="993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993300"/>
                </a:solidFill>
              </a:ln>
              <a:effectLst/>
            </c:spPr>
          </c:marker>
          <c:val>
            <c:numRef>
              <c:f>'Dudley''s'!$F$2:$F$79</c:f>
              <c:numCache>
                <c:formatCode>General</c:formatCode>
                <c:ptCount val="78"/>
                <c:pt idx="0">
                  <c:v>431</c:v>
                </c:pt>
                <c:pt idx="1">
                  <c:v>411</c:v>
                </c:pt>
                <c:pt idx="2">
                  <c:v>424</c:v>
                </c:pt>
                <c:pt idx="3">
                  <c:v>415</c:v>
                </c:pt>
                <c:pt idx="4">
                  <c:v>423</c:v>
                </c:pt>
                <c:pt idx="5">
                  <c:v>438</c:v>
                </c:pt>
                <c:pt idx="6">
                  <c:v>406</c:v>
                </c:pt>
                <c:pt idx="7">
                  <c:v>422</c:v>
                </c:pt>
                <c:pt idx="8">
                  <c:v>423</c:v>
                </c:pt>
                <c:pt idx="9">
                  <c:v>413</c:v>
                </c:pt>
                <c:pt idx="10">
                  <c:v>423</c:v>
                </c:pt>
                <c:pt idx="11">
                  <c:v>455</c:v>
                </c:pt>
                <c:pt idx="12">
                  <c:v>439</c:v>
                </c:pt>
                <c:pt idx="13">
                  <c:v>424</c:v>
                </c:pt>
                <c:pt idx="14">
                  <c:v>456</c:v>
                </c:pt>
                <c:pt idx="15">
                  <c:v>433</c:v>
                </c:pt>
                <c:pt idx="16">
                  <c:v>409</c:v>
                </c:pt>
                <c:pt idx="17">
                  <c:v>419</c:v>
                </c:pt>
                <c:pt idx="18">
                  <c:v>473</c:v>
                </c:pt>
                <c:pt idx="19">
                  <c:v>467</c:v>
                </c:pt>
                <c:pt idx="20">
                  <c:v>439</c:v>
                </c:pt>
                <c:pt idx="21">
                  <c:v>418</c:v>
                </c:pt>
                <c:pt idx="22">
                  <c:v>434</c:v>
                </c:pt>
                <c:pt idx="23">
                  <c:v>441</c:v>
                </c:pt>
                <c:pt idx="24">
                  <c:v>490</c:v>
                </c:pt>
                <c:pt idx="25">
                  <c:v>449</c:v>
                </c:pt>
                <c:pt idx="26">
                  <c:v>467</c:v>
                </c:pt>
                <c:pt idx="27">
                  <c:v>413</c:v>
                </c:pt>
                <c:pt idx="28">
                  <c:v>583</c:v>
                </c:pt>
                <c:pt idx="29">
                  <c:v>445</c:v>
                </c:pt>
                <c:pt idx="30">
                  <c:v>592</c:v>
                </c:pt>
                <c:pt idx="31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8-4CC5-A3BF-C9FAED558852}"/>
            </c:ext>
          </c:extLst>
        </c:ser>
        <c:ser>
          <c:idx val="2"/>
          <c:order val="2"/>
          <c:tx>
            <c:v>Murphy's Run Club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'Murphy''s'!$F$2:$F$112</c:f>
              <c:numCache>
                <c:formatCode>General</c:formatCode>
                <c:ptCount val="111"/>
                <c:pt idx="0">
                  <c:v>424</c:v>
                </c:pt>
                <c:pt idx="1">
                  <c:v>444</c:v>
                </c:pt>
                <c:pt idx="2">
                  <c:v>438</c:v>
                </c:pt>
                <c:pt idx="3">
                  <c:v>437</c:v>
                </c:pt>
                <c:pt idx="4">
                  <c:v>444</c:v>
                </c:pt>
                <c:pt idx="5">
                  <c:v>426</c:v>
                </c:pt>
                <c:pt idx="6">
                  <c:v>437</c:v>
                </c:pt>
                <c:pt idx="7">
                  <c:v>423</c:v>
                </c:pt>
                <c:pt idx="8">
                  <c:v>429</c:v>
                </c:pt>
                <c:pt idx="9">
                  <c:v>451</c:v>
                </c:pt>
                <c:pt idx="10">
                  <c:v>435</c:v>
                </c:pt>
                <c:pt idx="11">
                  <c:v>440</c:v>
                </c:pt>
                <c:pt idx="12">
                  <c:v>439</c:v>
                </c:pt>
                <c:pt idx="13">
                  <c:v>456</c:v>
                </c:pt>
                <c:pt idx="14">
                  <c:v>460</c:v>
                </c:pt>
                <c:pt idx="15">
                  <c:v>452</c:v>
                </c:pt>
                <c:pt idx="16">
                  <c:v>444</c:v>
                </c:pt>
                <c:pt idx="17">
                  <c:v>486</c:v>
                </c:pt>
                <c:pt idx="18">
                  <c:v>456</c:v>
                </c:pt>
                <c:pt idx="19">
                  <c:v>562</c:v>
                </c:pt>
                <c:pt idx="20">
                  <c:v>438</c:v>
                </c:pt>
                <c:pt idx="21">
                  <c:v>451</c:v>
                </c:pt>
                <c:pt idx="22">
                  <c:v>451</c:v>
                </c:pt>
                <c:pt idx="23">
                  <c:v>470</c:v>
                </c:pt>
                <c:pt idx="24">
                  <c:v>496</c:v>
                </c:pt>
                <c:pt idx="25">
                  <c:v>495</c:v>
                </c:pt>
                <c:pt idx="26">
                  <c:v>513</c:v>
                </c:pt>
                <c:pt idx="27">
                  <c:v>536</c:v>
                </c:pt>
                <c:pt idx="28">
                  <c:v>537</c:v>
                </c:pt>
                <c:pt idx="29">
                  <c:v>550</c:v>
                </c:pt>
                <c:pt idx="30">
                  <c:v>496</c:v>
                </c:pt>
                <c:pt idx="31">
                  <c:v>468</c:v>
                </c:pt>
                <c:pt idx="32">
                  <c:v>472</c:v>
                </c:pt>
                <c:pt idx="33">
                  <c:v>533</c:v>
                </c:pt>
                <c:pt idx="34">
                  <c:v>441</c:v>
                </c:pt>
                <c:pt idx="35">
                  <c:v>446</c:v>
                </c:pt>
                <c:pt idx="36">
                  <c:v>434</c:v>
                </c:pt>
                <c:pt idx="37">
                  <c:v>444</c:v>
                </c:pt>
                <c:pt idx="38">
                  <c:v>435</c:v>
                </c:pt>
                <c:pt idx="39">
                  <c:v>472</c:v>
                </c:pt>
                <c:pt idx="40">
                  <c:v>434</c:v>
                </c:pt>
                <c:pt idx="41">
                  <c:v>609</c:v>
                </c:pt>
                <c:pt idx="42">
                  <c:v>468</c:v>
                </c:pt>
                <c:pt idx="43">
                  <c:v>446</c:v>
                </c:pt>
                <c:pt idx="44">
                  <c:v>441</c:v>
                </c:pt>
                <c:pt idx="45">
                  <c:v>448</c:v>
                </c:pt>
                <c:pt idx="46">
                  <c:v>447</c:v>
                </c:pt>
                <c:pt idx="47">
                  <c:v>416</c:v>
                </c:pt>
                <c:pt idx="48">
                  <c:v>449</c:v>
                </c:pt>
                <c:pt idx="49">
                  <c:v>437</c:v>
                </c:pt>
                <c:pt idx="50">
                  <c:v>613</c:v>
                </c:pt>
                <c:pt idx="51">
                  <c:v>433</c:v>
                </c:pt>
                <c:pt idx="52">
                  <c:v>466</c:v>
                </c:pt>
                <c:pt idx="53">
                  <c:v>435</c:v>
                </c:pt>
                <c:pt idx="54">
                  <c:v>438</c:v>
                </c:pt>
                <c:pt idx="55">
                  <c:v>555</c:v>
                </c:pt>
                <c:pt idx="56">
                  <c:v>430</c:v>
                </c:pt>
                <c:pt idx="57">
                  <c:v>454</c:v>
                </c:pt>
                <c:pt idx="58">
                  <c:v>501</c:v>
                </c:pt>
                <c:pt idx="59">
                  <c:v>409</c:v>
                </c:pt>
                <c:pt idx="60">
                  <c:v>440</c:v>
                </c:pt>
                <c:pt idx="61">
                  <c:v>475</c:v>
                </c:pt>
                <c:pt idx="62">
                  <c:v>463</c:v>
                </c:pt>
                <c:pt idx="63">
                  <c:v>450</c:v>
                </c:pt>
                <c:pt idx="64">
                  <c:v>448</c:v>
                </c:pt>
                <c:pt idx="65">
                  <c:v>440</c:v>
                </c:pt>
                <c:pt idx="66">
                  <c:v>434</c:v>
                </c:pt>
                <c:pt idx="67">
                  <c:v>472</c:v>
                </c:pt>
                <c:pt idx="68">
                  <c:v>470</c:v>
                </c:pt>
                <c:pt idx="69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D8-4CC5-A3BF-C9FAED558852}"/>
            </c:ext>
          </c:extLst>
        </c:ser>
        <c:ser>
          <c:idx val="3"/>
          <c:order val="3"/>
          <c:tx>
            <c:v>New District Brewing Co.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 District'!$E$2:$E$87</c:f>
              <c:numCache>
                <c:formatCode>General</c:formatCode>
                <c:ptCount val="86"/>
                <c:pt idx="0">
                  <c:v>440</c:v>
                </c:pt>
                <c:pt idx="1">
                  <c:v>421</c:v>
                </c:pt>
                <c:pt idx="2">
                  <c:v>408</c:v>
                </c:pt>
                <c:pt idx="3">
                  <c:v>439</c:v>
                </c:pt>
                <c:pt idx="4">
                  <c:v>433</c:v>
                </c:pt>
                <c:pt idx="5">
                  <c:v>413</c:v>
                </c:pt>
                <c:pt idx="6">
                  <c:v>413</c:v>
                </c:pt>
                <c:pt idx="7">
                  <c:v>403</c:v>
                </c:pt>
                <c:pt idx="8">
                  <c:v>423</c:v>
                </c:pt>
                <c:pt idx="9">
                  <c:v>459</c:v>
                </c:pt>
                <c:pt idx="10">
                  <c:v>435</c:v>
                </c:pt>
                <c:pt idx="11">
                  <c:v>413</c:v>
                </c:pt>
                <c:pt idx="12">
                  <c:v>461</c:v>
                </c:pt>
                <c:pt idx="13">
                  <c:v>449</c:v>
                </c:pt>
                <c:pt idx="14">
                  <c:v>438</c:v>
                </c:pt>
                <c:pt idx="15">
                  <c:v>458</c:v>
                </c:pt>
                <c:pt idx="16">
                  <c:v>445</c:v>
                </c:pt>
                <c:pt idx="17">
                  <c:v>480</c:v>
                </c:pt>
                <c:pt idx="18">
                  <c:v>470</c:v>
                </c:pt>
                <c:pt idx="19">
                  <c:v>490</c:v>
                </c:pt>
                <c:pt idx="20">
                  <c:v>478</c:v>
                </c:pt>
                <c:pt idx="21">
                  <c:v>470</c:v>
                </c:pt>
                <c:pt idx="22">
                  <c:v>436</c:v>
                </c:pt>
                <c:pt idx="23">
                  <c:v>475</c:v>
                </c:pt>
                <c:pt idx="24">
                  <c:v>525</c:v>
                </c:pt>
                <c:pt idx="25">
                  <c:v>468</c:v>
                </c:pt>
                <c:pt idx="26">
                  <c:v>475</c:v>
                </c:pt>
                <c:pt idx="27">
                  <c:v>491</c:v>
                </c:pt>
                <c:pt idx="28">
                  <c:v>550</c:v>
                </c:pt>
                <c:pt idx="29">
                  <c:v>491</c:v>
                </c:pt>
                <c:pt idx="30">
                  <c:v>437</c:v>
                </c:pt>
                <c:pt idx="31">
                  <c:v>551</c:v>
                </c:pt>
                <c:pt idx="32">
                  <c:v>477</c:v>
                </c:pt>
                <c:pt idx="33">
                  <c:v>459</c:v>
                </c:pt>
                <c:pt idx="34">
                  <c:v>528</c:v>
                </c:pt>
                <c:pt idx="35">
                  <c:v>458</c:v>
                </c:pt>
                <c:pt idx="36">
                  <c:v>574</c:v>
                </c:pt>
                <c:pt idx="37">
                  <c:v>579</c:v>
                </c:pt>
                <c:pt idx="38">
                  <c:v>427</c:v>
                </c:pt>
                <c:pt idx="39">
                  <c:v>489</c:v>
                </c:pt>
                <c:pt idx="40">
                  <c:v>557</c:v>
                </c:pt>
                <c:pt idx="41">
                  <c:v>554</c:v>
                </c:pt>
                <c:pt idx="42">
                  <c:v>591</c:v>
                </c:pt>
                <c:pt idx="43">
                  <c:v>516</c:v>
                </c:pt>
                <c:pt idx="44">
                  <c:v>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D8-4CC5-A3BF-C9FAED558852}"/>
            </c:ext>
          </c:extLst>
        </c:ser>
        <c:ser>
          <c:idx val="4"/>
          <c:order val="4"/>
          <c:tx>
            <c:v>Georgetown Running Company</c:v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'Georgetown Running Company'!$E$2:$E$85</c:f>
              <c:numCache>
                <c:formatCode>General</c:formatCode>
                <c:ptCount val="84"/>
                <c:pt idx="0">
                  <c:v>495</c:v>
                </c:pt>
                <c:pt idx="1">
                  <c:v>536</c:v>
                </c:pt>
                <c:pt idx="2">
                  <c:v>535</c:v>
                </c:pt>
                <c:pt idx="3">
                  <c:v>432</c:v>
                </c:pt>
                <c:pt idx="4">
                  <c:v>540</c:v>
                </c:pt>
                <c:pt idx="5">
                  <c:v>557</c:v>
                </c:pt>
                <c:pt idx="6">
                  <c:v>546</c:v>
                </c:pt>
                <c:pt idx="7">
                  <c:v>530</c:v>
                </c:pt>
                <c:pt idx="8">
                  <c:v>501</c:v>
                </c:pt>
                <c:pt idx="9">
                  <c:v>470</c:v>
                </c:pt>
                <c:pt idx="10">
                  <c:v>463</c:v>
                </c:pt>
                <c:pt idx="11">
                  <c:v>472</c:v>
                </c:pt>
                <c:pt idx="12">
                  <c:v>536</c:v>
                </c:pt>
                <c:pt idx="13">
                  <c:v>514</c:v>
                </c:pt>
                <c:pt idx="14">
                  <c:v>478</c:v>
                </c:pt>
                <c:pt idx="15">
                  <c:v>457</c:v>
                </c:pt>
                <c:pt idx="16">
                  <c:v>534</c:v>
                </c:pt>
                <c:pt idx="17">
                  <c:v>492</c:v>
                </c:pt>
                <c:pt idx="18">
                  <c:v>501</c:v>
                </c:pt>
                <c:pt idx="19">
                  <c:v>484</c:v>
                </c:pt>
                <c:pt idx="20">
                  <c:v>499</c:v>
                </c:pt>
                <c:pt idx="21">
                  <c:v>510</c:v>
                </c:pt>
                <c:pt idx="22">
                  <c:v>495</c:v>
                </c:pt>
                <c:pt idx="23">
                  <c:v>494</c:v>
                </c:pt>
                <c:pt idx="24">
                  <c:v>492</c:v>
                </c:pt>
                <c:pt idx="25">
                  <c:v>528</c:v>
                </c:pt>
                <c:pt idx="26">
                  <c:v>524</c:v>
                </c:pt>
                <c:pt idx="27">
                  <c:v>476</c:v>
                </c:pt>
                <c:pt idx="28">
                  <c:v>521</c:v>
                </c:pt>
                <c:pt idx="29">
                  <c:v>490</c:v>
                </c:pt>
                <c:pt idx="30">
                  <c:v>503</c:v>
                </c:pt>
                <c:pt idx="31">
                  <c:v>467</c:v>
                </c:pt>
                <c:pt idx="32">
                  <c:v>532</c:v>
                </c:pt>
                <c:pt idx="33">
                  <c:v>487</c:v>
                </c:pt>
                <c:pt idx="34">
                  <c:v>469</c:v>
                </c:pt>
                <c:pt idx="35">
                  <c:v>489</c:v>
                </c:pt>
                <c:pt idx="36">
                  <c:v>451</c:v>
                </c:pt>
                <c:pt idx="37">
                  <c:v>455</c:v>
                </c:pt>
                <c:pt idx="38">
                  <c:v>496</c:v>
                </c:pt>
                <c:pt idx="39">
                  <c:v>435</c:v>
                </c:pt>
                <c:pt idx="40">
                  <c:v>524</c:v>
                </c:pt>
                <c:pt idx="41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D8-4CC5-A3BF-C9FAED558852}"/>
            </c:ext>
          </c:extLst>
        </c:ser>
        <c:ser>
          <c:idx val="5"/>
          <c:order val="5"/>
          <c:tx>
            <c:v>Astro Lab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'Astro Lab'!$F$2:$F$40</c:f>
              <c:numCache>
                <c:formatCode>General</c:formatCode>
                <c:ptCount val="39"/>
                <c:pt idx="0">
                  <c:v>543</c:v>
                </c:pt>
                <c:pt idx="1">
                  <c:v>527</c:v>
                </c:pt>
                <c:pt idx="2">
                  <c:v>477</c:v>
                </c:pt>
                <c:pt idx="3">
                  <c:v>522</c:v>
                </c:pt>
                <c:pt idx="4">
                  <c:v>482</c:v>
                </c:pt>
                <c:pt idx="5">
                  <c:v>529</c:v>
                </c:pt>
                <c:pt idx="6">
                  <c:v>466</c:v>
                </c:pt>
                <c:pt idx="7">
                  <c:v>493</c:v>
                </c:pt>
                <c:pt idx="8">
                  <c:v>457</c:v>
                </c:pt>
                <c:pt idx="9">
                  <c:v>574</c:v>
                </c:pt>
                <c:pt idx="10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CD-40A5-9E47-229198F3F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939840"/>
        <c:axId val="722198560"/>
      </c:lineChart>
      <c:catAx>
        <c:axId val="2789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#</a:t>
                </a:r>
              </a:p>
            </c:rich>
          </c:tx>
          <c:layout>
            <c:manualLayout>
              <c:xMode val="edge"/>
              <c:yMode val="edge"/>
              <c:x val="0.32087231244333947"/>
              <c:y val="0.96385731888948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98560"/>
        <c:crosses val="autoZero"/>
        <c:auto val="1"/>
        <c:lblAlgn val="ctr"/>
        <c:lblOffset val="100"/>
        <c:noMultiLvlLbl val="0"/>
      </c:catAx>
      <c:valAx>
        <c:axId val="722198560"/>
        <c:scaling>
          <c:orientation val="minMax"/>
          <c:max val="660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Pace (in seconds)</a:t>
                </a:r>
              </a:p>
            </c:rich>
          </c:tx>
          <c:layout>
            <c:manualLayout>
              <c:xMode val="edge"/>
              <c:yMode val="edge"/>
              <c:x val="8.953688384793708E-4"/>
              <c:y val="0.3963842280346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39840"/>
        <c:crosses val="autoZero"/>
        <c:crossBetween val="between"/>
        <c:majorUnit val="30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401580749369317"/>
          <c:y val="0.84486429593584422"/>
          <c:w val="0.13984520841047679"/>
          <c:h val="9.0964279772214149E-2"/>
        </c:manualLayout>
      </c:layout>
      <c:overlay val="0"/>
      <c:spPr>
        <a:solidFill>
          <a:schemeClr val="bg1"/>
        </a:solidFill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Pace per Mile by Month</a:t>
            </a:r>
          </a:p>
        </c:rich>
      </c:tx>
      <c:layout>
        <c:manualLayout>
          <c:xMode val="edge"/>
          <c:yMode val="edge"/>
          <c:x val="0.375362699667437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3215554554939E-2"/>
          <c:y val="3.4363843798604569E-2"/>
          <c:w val="0.94924353125983552"/>
          <c:h val="0.9157309702378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0BB1391-CB46-4EF3-8259-13F6715023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2A6-428F-9B2C-930FA3C75F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0DB381-B41C-41BA-A1FD-0CED89B661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2A6-428F-9B2C-930FA3C75F9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B272C74-A33F-403C-A863-F4D24ECC48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2A6-428F-9B2C-930FA3C75F9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5E5524-E6EF-4FEF-A292-380169A1C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A6-428F-9B2C-930FA3C75F9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DA2B74-3DC1-4C43-9AEC-E10468E482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A6-428F-9B2C-930FA3C75F9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F833A-16D9-4923-9E8B-6FFA771FBD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A6-428F-9B2C-930FA3C75F9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1868509-813C-4485-9A05-465BE351D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A6-428F-9B2C-930FA3C75F9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36823E5-744E-40B6-A767-07C10EEBE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2A6-428F-9B2C-930FA3C75F9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2830D08-6BC4-46FC-833E-0F2C5C30A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2A6-428F-9B2C-930FA3C75F9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6F1E6E6-04FC-4381-A036-D9F96430C7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2A6-428F-9B2C-930FA3C75F9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FEA868B-ED8F-411F-8D08-78745881E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2A6-428F-9B2C-930FA3C75F9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1096721-2A66-41FA-9F8E-D4BACDA05B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2A6-428F-9B2C-930FA3C75F9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05ABEBC-EA81-4BB6-AE2E-9AAAE2E8A8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2A6-428F-9B2C-930FA3C75F9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1450541-5724-4BB2-8E73-FB34AAE52D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2A6-428F-9B2C-930FA3C75F9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F9F7F60-C083-4C2D-A72B-E19F935C33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2A6-428F-9B2C-930FA3C75F9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DDF18A6-90D9-4095-A077-526142722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2A6-428F-9B2C-930FA3C75F9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30FDC65-5817-4A12-B2A6-F98FCEDA87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2A6-428F-9B2C-930FA3C75F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'Runs by Month'!$A$2:$A$18</c:f>
              <c:strCache>
                <c:ptCount val="17"/>
                <c:pt idx="0">
                  <c:v>August 2020</c:v>
                </c:pt>
                <c:pt idx="1">
                  <c:v>September 2020</c:v>
                </c:pt>
                <c:pt idx="2">
                  <c:v>October 2020</c:v>
                </c:pt>
                <c:pt idx="3">
                  <c:v>November 2020</c:v>
                </c:pt>
                <c:pt idx="4">
                  <c:v>December 2020</c:v>
                </c:pt>
                <c:pt idx="5">
                  <c:v>January 2021</c:v>
                </c:pt>
                <c:pt idx="6">
                  <c:v>February 2021</c:v>
                </c:pt>
                <c:pt idx="7">
                  <c:v>March 2021</c:v>
                </c:pt>
                <c:pt idx="8">
                  <c:v>April 2021</c:v>
                </c:pt>
                <c:pt idx="9">
                  <c:v>May 2021</c:v>
                </c:pt>
                <c:pt idx="10">
                  <c:v>June 2021</c:v>
                </c:pt>
                <c:pt idx="11">
                  <c:v>July 2021</c:v>
                </c:pt>
                <c:pt idx="12">
                  <c:v>August 2021</c:v>
                </c:pt>
                <c:pt idx="13">
                  <c:v>September 2021</c:v>
                </c:pt>
                <c:pt idx="14">
                  <c:v>October 2021</c:v>
                </c:pt>
                <c:pt idx="15">
                  <c:v>November 2021</c:v>
                </c:pt>
                <c:pt idx="16">
                  <c:v>December 2021</c:v>
                </c:pt>
              </c:strCache>
            </c:strRef>
          </c:cat>
          <c:val>
            <c:numRef>
              <c:f>'Runs by Month'!$D$2:$D$18</c:f>
              <c:numCache>
                <c:formatCode>General</c:formatCode>
                <c:ptCount val="17"/>
                <c:pt idx="0">
                  <c:v>498.01751646411833</c:v>
                </c:pt>
                <c:pt idx="1">
                  <c:v>490.66657181475426</c:v>
                </c:pt>
                <c:pt idx="2">
                  <c:v>491.8041906174671</c:v>
                </c:pt>
                <c:pt idx="3">
                  <c:v>494.87716430869796</c:v>
                </c:pt>
                <c:pt idx="4">
                  <c:v>518.37995100040825</c:v>
                </c:pt>
                <c:pt idx="5">
                  <c:v>504.91570180784078</c:v>
                </c:pt>
                <c:pt idx="6">
                  <c:v>498.17060776475358</c:v>
                </c:pt>
                <c:pt idx="7">
                  <c:v>514.52392083528127</c:v>
                </c:pt>
                <c:pt idx="8">
                  <c:v>532.04267768026148</c:v>
                </c:pt>
                <c:pt idx="9">
                  <c:v>522.69727403156389</c:v>
                </c:pt>
                <c:pt idx="10">
                  <c:v>543.91744233103998</c:v>
                </c:pt>
                <c:pt idx="11">
                  <c:v>523.33333333333326</c:v>
                </c:pt>
                <c:pt idx="12">
                  <c:v>532.47761194029852</c:v>
                </c:pt>
                <c:pt idx="13">
                  <c:v>509.11146706868936</c:v>
                </c:pt>
                <c:pt idx="14">
                  <c:v>518.03921568627447</c:v>
                </c:pt>
                <c:pt idx="15">
                  <c:v>513.62582486177996</c:v>
                </c:pt>
                <c:pt idx="16">
                  <c:v>523.02532123960702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'Runs by Month'!$C$2:$C$18</c15:f>
                <c15:dlblRangeCache>
                  <c:ptCount val="17"/>
                  <c:pt idx="0">
                    <c:v>8:18.0</c:v>
                  </c:pt>
                  <c:pt idx="1">
                    <c:v>8:10.7</c:v>
                  </c:pt>
                  <c:pt idx="2">
                    <c:v>8:11.8</c:v>
                  </c:pt>
                  <c:pt idx="3">
                    <c:v>8:14.9</c:v>
                  </c:pt>
                  <c:pt idx="4">
                    <c:v>8:38.4</c:v>
                  </c:pt>
                  <c:pt idx="5">
                    <c:v>8:24.9</c:v>
                  </c:pt>
                  <c:pt idx="6">
                    <c:v>8:18.2</c:v>
                  </c:pt>
                  <c:pt idx="7">
                    <c:v>8:34.5</c:v>
                  </c:pt>
                  <c:pt idx="8">
                    <c:v>8:52.0</c:v>
                  </c:pt>
                  <c:pt idx="9">
                    <c:v>8:42.7</c:v>
                  </c:pt>
                  <c:pt idx="10">
                    <c:v>9:03.9</c:v>
                  </c:pt>
                  <c:pt idx="11">
                    <c:v>8:43.3</c:v>
                  </c:pt>
                  <c:pt idx="12">
                    <c:v>8:52.5</c:v>
                  </c:pt>
                  <c:pt idx="13">
                    <c:v>8:29.1</c:v>
                  </c:pt>
                  <c:pt idx="14">
                    <c:v>8:38.0</c:v>
                  </c:pt>
                  <c:pt idx="15">
                    <c:v>8:33.6</c:v>
                  </c:pt>
                  <c:pt idx="16">
                    <c:v>8:43.0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2A6-428F-9B2C-930FA3C7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260824"/>
        <c:axId val="737261152"/>
      </c:barChart>
      <c:catAx>
        <c:axId val="73726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1152"/>
        <c:crosses val="autoZero"/>
        <c:auto val="1"/>
        <c:lblAlgn val="ctr"/>
        <c:lblOffset val="100"/>
        <c:noMultiLvlLbl val="0"/>
      </c:catAx>
      <c:valAx>
        <c:axId val="737261152"/>
        <c:scaling>
          <c:orientation val="minMax"/>
          <c:max val="5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60824"/>
        <c:crosses val="autoZero"/>
        <c:crossBetween val="between"/>
        <c:majorUnit val="60"/>
        <c:minorUnit val="10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Mileage Per Month</a:t>
            </a:r>
          </a:p>
        </c:rich>
      </c:tx>
      <c:layout>
        <c:manualLayout>
          <c:xMode val="edge"/>
          <c:yMode val="edge"/>
          <c:x val="0.37728507017576429"/>
          <c:y val="6.897465842247426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97756223040586E-2"/>
          <c:y val="7.5936945319769494E-2"/>
          <c:w val="0.94827714469751356"/>
          <c:h val="0.732502665071533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E9D913-5AC8-48FE-A5AF-AE8376D0E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98-4E0A-AFB4-DCE3F43339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484C37E-D867-4FD9-B325-6A23364CB6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A98-4E0A-AFB4-DCE3F43339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DE0A6E-D3F2-4106-B875-B700B1206F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A98-4E0A-AFB4-DCE3F43339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3D6965-1BBF-4378-AF11-20C78638C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A98-4E0A-AFB4-DCE3F43339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E6D852A-A44D-4F08-838A-B054BD490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A98-4E0A-AFB4-DCE3F43339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F6BD75-8357-412E-A2BF-52F2C94ED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A98-4E0A-AFB4-DCE3F43339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2C9D303-4702-432D-AABA-A0C908B1A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A98-4E0A-AFB4-DCE3F43339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DB6C25-1E9B-4C5A-A55F-5629E8C2C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A98-4E0A-AFB4-DCE3F43339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1760B89-2B2A-4704-93B9-62A3296891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A98-4E0A-AFB4-DCE3F43339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6E7FFA2-E734-43F1-95CE-4C5829792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A98-4E0A-AFB4-DCE3F433399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D2947C1-A7E6-4D7D-8015-E3D40B0891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A98-4E0A-AFB4-DCE3F43339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59E79C0-DE87-48F8-BA3C-D5C55FFAF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A98-4E0A-AFB4-DCE3F43339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1EB3547-6231-4138-A6B7-A42914DFEA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A98-4E0A-AFB4-DCE3F433399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D428C57-B0B4-40C2-AC04-AD4BC014C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A98-4E0A-AFB4-DCE3F433399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F93113D-B866-496C-8468-5AF505262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A98-4E0A-AFB4-DCE3F433399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935E30B-C7EF-4D08-9B4A-439BD6E10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A98-4E0A-AFB4-DCE3F433399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247FB22-3ED9-41CA-8B7B-8B3CFA564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A98-4E0A-AFB4-DCE3F4333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'Runs by Month'!$A$2:$A$18</c:f>
              <c:strCache>
                <c:ptCount val="17"/>
                <c:pt idx="0">
                  <c:v>August 2020</c:v>
                </c:pt>
                <c:pt idx="1">
                  <c:v>September 2020</c:v>
                </c:pt>
                <c:pt idx="2">
                  <c:v>October 2020</c:v>
                </c:pt>
                <c:pt idx="3">
                  <c:v>November 2020</c:v>
                </c:pt>
                <c:pt idx="4">
                  <c:v>December 2020</c:v>
                </c:pt>
                <c:pt idx="5">
                  <c:v>January 2021</c:v>
                </c:pt>
                <c:pt idx="6">
                  <c:v>February 2021</c:v>
                </c:pt>
                <c:pt idx="7">
                  <c:v>March 2021</c:v>
                </c:pt>
                <c:pt idx="8">
                  <c:v>April 2021</c:v>
                </c:pt>
                <c:pt idx="9">
                  <c:v>May 2021</c:v>
                </c:pt>
                <c:pt idx="10">
                  <c:v>June 2021</c:v>
                </c:pt>
                <c:pt idx="11">
                  <c:v>July 2021</c:v>
                </c:pt>
                <c:pt idx="12">
                  <c:v>August 2021</c:v>
                </c:pt>
                <c:pt idx="13">
                  <c:v>September 2021</c:v>
                </c:pt>
                <c:pt idx="14">
                  <c:v>October 2021</c:v>
                </c:pt>
                <c:pt idx="15">
                  <c:v>November 2021</c:v>
                </c:pt>
                <c:pt idx="16">
                  <c:v>December 2021</c:v>
                </c:pt>
              </c:strCache>
            </c:strRef>
          </c:cat>
          <c:val>
            <c:numRef>
              <c:f>'Runs by Month'!$B$2:$B$18</c:f>
              <c:numCache>
                <c:formatCode>General</c:formatCode>
                <c:ptCount val="17"/>
                <c:pt idx="0">
                  <c:v>147.29000000000002</c:v>
                </c:pt>
                <c:pt idx="1">
                  <c:v>140.57</c:v>
                </c:pt>
                <c:pt idx="2">
                  <c:v>161.79</c:v>
                </c:pt>
                <c:pt idx="3">
                  <c:v>195.79000000000005</c:v>
                </c:pt>
                <c:pt idx="4">
                  <c:v>195.92000000000002</c:v>
                </c:pt>
                <c:pt idx="5">
                  <c:v>196.92</c:v>
                </c:pt>
                <c:pt idx="6">
                  <c:v>147.59000000000003</c:v>
                </c:pt>
                <c:pt idx="7">
                  <c:v>128.34</c:v>
                </c:pt>
                <c:pt idx="8">
                  <c:v>116.22000000000001</c:v>
                </c:pt>
                <c:pt idx="9">
                  <c:v>139.39999999999998</c:v>
                </c:pt>
                <c:pt idx="10">
                  <c:v>152.98000000000002</c:v>
                </c:pt>
                <c:pt idx="11">
                  <c:v>108.9</c:v>
                </c:pt>
                <c:pt idx="12">
                  <c:v>134</c:v>
                </c:pt>
                <c:pt idx="13">
                  <c:v>106.13</c:v>
                </c:pt>
                <c:pt idx="14">
                  <c:v>104.55</c:v>
                </c:pt>
                <c:pt idx="15">
                  <c:v>112.14</c:v>
                </c:pt>
                <c:pt idx="16">
                  <c:v>105.83999999999999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'Runs by Month'!$B$2:$B$18</c15:f>
                <c15:dlblRangeCache>
                  <c:ptCount val="17"/>
                  <c:pt idx="0">
                    <c:v>147.29</c:v>
                  </c:pt>
                  <c:pt idx="1">
                    <c:v>140.57</c:v>
                  </c:pt>
                  <c:pt idx="2">
                    <c:v>161.79</c:v>
                  </c:pt>
                  <c:pt idx="3">
                    <c:v>195.79</c:v>
                  </c:pt>
                  <c:pt idx="4">
                    <c:v>195.92</c:v>
                  </c:pt>
                  <c:pt idx="5">
                    <c:v>196.92</c:v>
                  </c:pt>
                  <c:pt idx="6">
                    <c:v>147.59</c:v>
                  </c:pt>
                  <c:pt idx="7">
                    <c:v>128.34</c:v>
                  </c:pt>
                  <c:pt idx="8">
                    <c:v>116.22</c:v>
                  </c:pt>
                  <c:pt idx="9">
                    <c:v>139.4</c:v>
                  </c:pt>
                  <c:pt idx="10">
                    <c:v>152.98</c:v>
                  </c:pt>
                  <c:pt idx="11">
                    <c:v>108.9</c:v>
                  </c:pt>
                  <c:pt idx="12">
                    <c:v>134</c:v>
                  </c:pt>
                  <c:pt idx="13">
                    <c:v>106.13</c:v>
                  </c:pt>
                  <c:pt idx="14">
                    <c:v>104.55</c:v>
                  </c:pt>
                  <c:pt idx="15">
                    <c:v>112.14</c:v>
                  </c:pt>
                  <c:pt idx="16">
                    <c:v>105.84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A98-4E0A-AFB4-DCE3F4333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741400"/>
        <c:axId val="750742384"/>
      </c:barChart>
      <c:catAx>
        <c:axId val="75074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42384"/>
        <c:crosses val="autoZero"/>
        <c:auto val="1"/>
        <c:lblAlgn val="ctr"/>
        <c:lblOffset val="100"/>
        <c:noMultiLvlLbl val="0"/>
      </c:catAx>
      <c:valAx>
        <c:axId val="750742384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741400"/>
        <c:crosses val="autoZero"/>
        <c:crossBetween val="between"/>
        <c:majorUnit val="50"/>
        <c:minorUnit val="10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17146</xdr:colOff>
      <xdr:row>0</xdr:row>
      <xdr:rowOff>17145</xdr:rowOff>
    </xdr:from>
    <xdr:to>
      <xdr:col>28</xdr:col>
      <xdr:colOff>600075</xdr:colOff>
      <xdr:row>44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2652D-8E63-49FD-B405-C6AE054E8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17140</xdr:colOff>
      <xdr:row>0</xdr:row>
      <xdr:rowOff>17146</xdr:rowOff>
    </xdr:from>
    <xdr:to>
      <xdr:col>45</xdr:col>
      <xdr:colOff>0</xdr:colOff>
      <xdr:row>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679B6E-C85B-4295-BAF1-C5792A748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0</xdr:row>
      <xdr:rowOff>96201</xdr:rowOff>
    </xdr:from>
    <xdr:to>
      <xdr:col>25</xdr:col>
      <xdr:colOff>9525</xdr:colOff>
      <xdr:row>42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80F48-E0EF-4D80-BFCB-E01CAEE9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</xdr:colOff>
      <xdr:row>18</xdr:row>
      <xdr:rowOff>24765</xdr:rowOff>
    </xdr:from>
    <xdr:to>
      <xdr:col>6</xdr:col>
      <xdr:colOff>762000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63941-45D6-4F2D-8297-73816D636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86B61EF-4D30-4B3D-89B9-D967CE685AF2}" autoFormatId="16" applyNumberFormats="0" applyBorderFormats="0" applyFontFormats="0" applyPatternFormats="0" applyAlignmentFormats="0" applyWidthHeightFormats="0">
  <queryTableRefresh nextId="18" unboundColumnsLeft="1">
    <queryTableFields count="15">
      <queryTableField id="15" dataBound="0" tableColumnId="15"/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7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B939BA-0D30-49AF-852B-75A401AC84F6}" autoFormatId="16" applyNumberFormats="0" applyBorderFormats="0" applyFontFormats="0" applyPatternFormats="0" applyAlignmentFormats="0" applyWidthHeightFormats="0">
  <queryTableRefresh nextId="18" unboundColumnsLeft="1">
    <queryTableFields count="15">
      <queryTableField id="15" dataBound="0" tableColumnId="15"/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7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732C42A-489B-46F0-AE74-92AA3EA9087F}" autoFormatId="16" applyNumberFormats="0" applyBorderFormats="0" applyFontFormats="0" applyPatternFormats="0" applyAlignmentFormats="0" applyWidthHeightFormats="0">
  <queryTableRefresh nextId="18" unboundColumnsLeft="1">
    <queryTableFields count="15">
      <queryTableField id="15" dataBound="0" tableColumnId="15"/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7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A27C19-32C1-418C-BE15-5244B9F15900}" autoFormatId="16" applyNumberFormats="0" applyBorderFormats="0" applyFontFormats="0" applyPatternFormats="0" applyAlignmentFormats="0" applyWidthHeightFormats="0">
  <queryTableRefresh nextId="17">
    <queryTableFields count="14"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6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A96594-7E3E-4E9B-9B27-9A8A16D6DB37}" autoFormatId="16" applyNumberFormats="0" applyBorderFormats="0" applyFontFormats="0" applyPatternFormats="0" applyAlignmentFormats="0" applyWidthHeightFormats="0">
  <queryTableRefresh nextId="17">
    <queryTableFields count="14"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6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2CD6E75-5919-43C9-843E-38753995B6DC}" autoFormatId="16" applyNumberFormats="0" applyBorderFormats="0" applyFontFormats="0" applyPatternFormats="0" applyAlignmentFormats="0" applyWidthHeightFormats="0">
  <queryTableRefresh nextId="17">
    <queryTableFields count="14"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6" name="Elevation (in ft) Per Mile" tableColumnId="9"/>
    </queryTableFields>
    <queryTableDeletedFields count="1">
      <deletedField name="Fastest Mile Split Time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FF58DB-2004-421A-938E-65248C53EFED}" autoFormatId="16" applyNumberFormats="0" applyBorderFormats="0" applyFontFormats="0" applyPatternFormats="0" applyAlignmentFormats="0" applyWidthHeightFormats="0">
  <queryTableRefresh nextId="18" unboundColumnsLeft="1">
    <queryTableFields count="15">
      <queryTableField id="15" dataBound="0" tableColumnId="15"/>
      <queryTableField id="1" name="Date" tableColumnId="1"/>
      <queryTableField id="2" name="Run Name" tableColumnId="2"/>
      <queryTableField id="3" name="Run Distance" tableColumnId="3"/>
      <queryTableField id="4" name="Time in Seconds" tableColumnId="4"/>
      <queryTableField id="5" name="Pace (in seconds)" tableColumnId="5"/>
      <queryTableField id="6" name="Mile 1 Split" tableColumnId="6"/>
      <queryTableField id="7" name="Mile 2 Split" tableColumnId="7"/>
      <queryTableField id="8" name="Mile 3 Split" tableColumnId="8"/>
      <queryTableField id="10" name="Elevation (in feet)" tableColumnId="10"/>
      <queryTableField id="11" name="Route" tableColumnId="11"/>
      <queryTableField id="12" name="Link:" tableColumnId="12"/>
      <queryTableField id="13" name="Streak #:" tableColumnId="13"/>
      <queryTableField id="14" name="Notes:" tableColumnId="14"/>
      <queryTableField id="17" name="Elevation (in ft) Per Mile" tableColumnId="9"/>
    </queryTableFields>
    <queryTableDeletedFields count="1">
      <deletedField name="Fastest Mile Split Time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27AFD-EBAA-4BFC-B0BB-9927ED1E4F3E}" name="AllRuns" displayName="AllRuns" ref="A1:N519" totalsRowShown="0">
  <autoFilter ref="A1:N519" xr:uid="{31A82A9D-CE61-463F-B7B1-C335E5066782}"/>
  <tableColumns count="14">
    <tableColumn id="1" xr3:uid="{8897111E-FA8D-49F7-B85F-94906CF65A20}" name="Date" dataDxfId="46"/>
    <tableColumn id="2" xr3:uid="{D3BE4DC8-007D-40D9-BD6E-1403A3B7D600}" name="Run Name"/>
    <tableColumn id="3" xr3:uid="{E3C97649-B798-4D95-9DE4-5157BC6E236E}" name="Run Distance" dataDxfId="45"/>
    <tableColumn id="4" xr3:uid="{3AF2EF61-2478-4825-8432-E0BB8271156E}" name="Time in Seconds"/>
    <tableColumn id="5" xr3:uid="{B042B8B4-55FF-476A-AEFA-C230597BD8C7}" name="Pace (in seconds)"/>
    <tableColumn id="6" xr3:uid="{76F37873-8A2B-450E-AA00-0FFA9BBD9A28}" name="Mile 1 Split"/>
    <tableColumn id="7" xr3:uid="{9D483AE1-5D35-4803-82E3-82D732D25B89}" name="Mile 2 Split"/>
    <tableColumn id="8" xr3:uid="{5C6F8166-7E57-4C7E-B513-F5DE057C2523}" name="Mile 3 Split"/>
    <tableColumn id="10" xr3:uid="{00743534-C737-45AD-894A-EC704AB11503}" name="Elevation (in feet)"/>
    <tableColumn id="11" xr3:uid="{850CAE89-FF5E-480F-9DD9-45768ADC89AE}" name="Route"/>
    <tableColumn id="12" xr3:uid="{72369909-0778-48F6-ACE3-93BED82F10EF}" name="Link:" dataCellStyle="Hyperlink"/>
    <tableColumn id="13" xr3:uid="{F72226E6-9A60-47A6-9B71-3207CEA14D41}" name="Streak #:">
      <calculatedColumnFormula>COUNTIF($C$2:C2, "&lt;&gt;")</calculatedColumnFormula>
    </tableColumn>
    <tableColumn id="14" xr3:uid="{0F35F40F-F6E3-4629-B28F-5DAFD5F8E6D8}" name="Notes:"/>
    <tableColumn id="15" xr3:uid="{00C636C3-2B4B-4F04-8DBA-77CE2E73567C}" name="Elevation (in ft) Per Mile" dataDxfId="44">
      <calculatedColumnFormula>I2/C2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2AC48-8C84-4D53-9C77-43A546993A7E}" name="PersonalRecords" displayName="PersonalRecords" ref="A1:C13" totalsRowShown="0">
  <autoFilter ref="A1:C13" xr:uid="{51560BC0-8016-4867-B4D6-D9EAD8A56F21}"/>
  <tableColumns count="3">
    <tableColumn id="1" xr3:uid="{86EFB80B-C17E-46BB-B9C9-D173FA97D73D}" name="Distance"/>
    <tableColumn id="2" xr3:uid="{94E14674-D15F-4115-9153-42959F1FB889}" name="Pace (in seconds)"/>
    <tableColumn id="3" xr3:uid="{177EF752-4DC4-46E7-B568-1451C583C663}" name="Pace" dataDxfId="43">
      <calculatedColumnFormula>CONCATENATE(ROUNDDOWN(B2/60,0),":",IF(ROUNDDOWN(B2-ROUNDDOWN(B2/60,0)*60,0)&gt;=10,ROUNDDOWN(B2-ROUNDDOWN(B2/60,0)*60,0),CONCATENATE("0",ROUNDDOWN(B2-ROUNDDOWN(B2/60,0)*60,0))))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BF143-26CA-47F9-AACF-4E78FD867F6A}" name="Port_City" displayName="Port_City" ref="A1:O63" tableType="queryTable" totalsRowShown="0">
  <autoFilter ref="A1:O63" xr:uid="{6B99D2E5-145B-49D0-B5B2-E2A41BF64D5C}"/>
  <tableColumns count="15">
    <tableColumn id="15" xr3:uid="{EAC4925F-EFBB-4CF6-9CD5-B6B17F2C435A}" uniqueName="15" name="Run #" queryTableFieldId="15" dataDxfId="42">
      <calculatedColumnFormula>ROW(A2)-1</calculatedColumnFormula>
    </tableColumn>
    <tableColumn id="1" xr3:uid="{8A0B8982-8DD1-4F32-8A29-3DCDC630853E}" uniqueName="1" name="Date" queryTableFieldId="1" dataDxfId="41"/>
    <tableColumn id="2" xr3:uid="{60B36949-4A92-4C5A-AAAB-83B2E11376BA}" uniqueName="2" name="Run Name" queryTableFieldId="2" dataDxfId="40"/>
    <tableColumn id="3" xr3:uid="{8E11E622-4EDE-4656-9081-437A81C8B33B}" uniqueName="3" name="Run Distance" queryTableFieldId="3"/>
    <tableColumn id="4" xr3:uid="{0DAEC1D5-978D-4116-8440-DB36425F715C}" uniqueName="4" name="Time in Seconds" queryTableFieldId="4"/>
    <tableColumn id="5" xr3:uid="{769330EC-ADAD-4D84-ACD4-A852585BEE9B}" uniqueName="5" name="Pace (in seconds)" queryTableFieldId="5"/>
    <tableColumn id="6" xr3:uid="{042478C5-E645-4F3E-9844-23527F78EEA0}" uniqueName="6" name="Mile 1 Split" queryTableFieldId="6"/>
    <tableColumn id="7" xr3:uid="{D313D71B-20F5-4672-8651-3A05B83E700B}" uniqueName="7" name="Mile 2 Split" queryTableFieldId="7"/>
    <tableColumn id="8" xr3:uid="{A558D3E2-C875-43D4-8D50-B3082F744FE3}" uniqueName="8" name="Mile 3 Split" queryTableFieldId="8"/>
    <tableColumn id="10" xr3:uid="{CBE3D0E1-CC13-4C1D-8C46-7A108AFCF35E}" uniqueName="10" name="Elevation (in feet)" queryTableFieldId="10"/>
    <tableColumn id="11" xr3:uid="{1803CA95-6310-4F63-A80E-C0CEC0FABD33}" uniqueName="11" name="Route" queryTableFieldId="11" dataDxfId="39"/>
    <tableColumn id="12" xr3:uid="{BC02A44D-69C4-426B-837A-46D327FECD71}" uniqueName="12" name="Link:" queryTableFieldId="12" dataDxfId="38"/>
    <tableColumn id="13" xr3:uid="{6DFD86A4-98C5-4EE3-B8E0-842559F51C09}" uniqueName="13" name="Streak #:" queryTableFieldId="13"/>
    <tableColumn id="14" xr3:uid="{CC47334B-6A93-4E0A-8E98-358AD24FE833}" uniqueName="14" name="Notes:" queryTableFieldId="14" dataDxfId="37"/>
    <tableColumn id="9" xr3:uid="{1023EDB1-F375-499A-B709-F38BE60A4D1F}" uniqueName="9" name="Elevation (in ft) Per Mile" queryTableFieldId="17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9AB9DB-6DCB-4F49-B9F1-0C237DB3EBD9}" name="Shirlington_Running_Club" displayName="Shirlington_Running_Club" ref="A1:O33" tableType="queryTable" totalsRowShown="0">
  <autoFilter ref="A1:O33" xr:uid="{105B6FEC-5F89-4444-954B-DF3289D7BC32}"/>
  <tableColumns count="15">
    <tableColumn id="15" xr3:uid="{CB99F669-9625-42D0-BD35-532FDB8650FD}" uniqueName="15" name="Run #" queryTableFieldId="15" dataDxfId="35">
      <calculatedColumnFormula>ROW(A2)-1</calculatedColumnFormula>
    </tableColumn>
    <tableColumn id="1" xr3:uid="{4E60A53D-3D5F-4F8C-A7F2-C093AFA32C3E}" uniqueName="1" name="Date" queryTableFieldId="1" dataDxfId="34"/>
    <tableColumn id="2" xr3:uid="{5A6FC564-75BE-4FE6-B731-2CB8B76859A3}" uniqueName="2" name="Run Name" queryTableFieldId="2" dataDxfId="33"/>
    <tableColumn id="3" xr3:uid="{D1401A85-79FB-4FB5-A88C-D469FCF547EA}" uniqueName="3" name="Run Distance" queryTableFieldId="3"/>
    <tableColumn id="4" xr3:uid="{2347699F-257C-4A15-9E18-88F3EBF17226}" uniqueName="4" name="Time in Seconds" queryTableFieldId="4"/>
    <tableColumn id="5" xr3:uid="{8EB26EF7-E843-4895-AD7E-5E2E931EB359}" uniqueName="5" name="Pace (in seconds)" queryTableFieldId="5"/>
    <tableColumn id="6" xr3:uid="{88522576-C4F4-4F59-A7C6-3C6649B47DE2}" uniqueName="6" name="Mile 1 Split" queryTableFieldId="6"/>
    <tableColumn id="7" xr3:uid="{93362760-4B18-4FF4-9517-75EDB93B0FF8}" uniqueName="7" name="Mile 2 Split" queryTableFieldId="7"/>
    <tableColumn id="8" xr3:uid="{45F2DFB4-90EB-4026-9712-4C308EADA769}" uniqueName="8" name="Mile 3 Split" queryTableFieldId="8"/>
    <tableColumn id="10" xr3:uid="{E4221417-14B7-40FB-AC5E-26260FCFB817}" uniqueName="10" name="Elevation (in feet)" queryTableFieldId="10"/>
    <tableColumn id="11" xr3:uid="{8CAD252B-6F7D-4554-94F0-901DE11A1A6B}" uniqueName="11" name="Route" queryTableFieldId="11" dataDxfId="32"/>
    <tableColumn id="12" xr3:uid="{D87DB07D-3044-42FF-A5DC-7B8A7F8E0B87}" uniqueName="12" name="Link:" queryTableFieldId="12" dataDxfId="31"/>
    <tableColumn id="13" xr3:uid="{66FE67C8-6FDB-4B13-B75E-7A366332F740}" uniqueName="13" name="Streak #:" queryTableFieldId="13"/>
    <tableColumn id="14" xr3:uid="{7AE47848-9296-4E60-8B05-D0A824770399}" uniqueName="14" name="Notes:" queryTableFieldId="14" dataDxfId="30"/>
    <tableColumn id="9" xr3:uid="{961D5C75-2560-4C4F-83CD-8C179AC8729F}" uniqueName="9" name="Elevation (in ft) Per Mile" queryTableFieldId="17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454113-2C8E-4184-A932-A755F7B2E67B}" name="Murphy_s_Run_Club" displayName="Murphy_s_Run_Club" ref="A1:O71" tableType="queryTable" totalsRowShown="0">
  <autoFilter ref="A1:O71" xr:uid="{48EE8EFD-AC94-4D26-A722-48B41EB794E8}"/>
  <tableColumns count="15">
    <tableColumn id="15" xr3:uid="{94B211CC-91A6-4DBA-91B7-26EC63BE4621}" uniqueName="15" name="Run #" queryTableFieldId="15" dataDxfId="28">
      <calculatedColumnFormula>ROW(A2)-1</calculatedColumnFormula>
    </tableColumn>
    <tableColumn id="1" xr3:uid="{C8D33789-92A8-4855-B955-FE2588F540BC}" uniqueName="1" name="Date" queryTableFieldId="1" dataDxfId="27"/>
    <tableColumn id="2" xr3:uid="{663CA6A4-EE20-4ED6-99B8-393A1C6360AB}" uniqueName="2" name="Run Name" queryTableFieldId="2" dataDxfId="26"/>
    <tableColumn id="3" xr3:uid="{57A3857E-EC0E-4D68-8525-44D1438FE0F7}" uniqueName="3" name="Run Distance" queryTableFieldId="3"/>
    <tableColumn id="4" xr3:uid="{4E0CFC78-3251-4D2F-8E6E-164AA7C32665}" uniqueName="4" name="Time in Seconds" queryTableFieldId="4"/>
    <tableColumn id="5" xr3:uid="{63989791-0B3C-454B-9051-E156F714C636}" uniqueName="5" name="Pace (in seconds)" queryTableFieldId="5"/>
    <tableColumn id="6" xr3:uid="{87AF7E74-B5F8-40DC-B77F-B0002D068AD5}" uniqueName="6" name="Mile 1 Split" queryTableFieldId="6"/>
    <tableColumn id="7" xr3:uid="{18D4896E-0E0F-494A-88AF-0BE21F07B3F6}" uniqueName="7" name="Mile 2 Split" queryTableFieldId="7"/>
    <tableColumn id="8" xr3:uid="{46758869-87E3-4AA6-AF35-F909BADEF452}" uniqueName="8" name="Mile 3 Split" queryTableFieldId="8"/>
    <tableColumn id="10" xr3:uid="{9C145787-E7F8-44C4-8003-17B89892E5DC}" uniqueName="10" name="Elevation (in feet)" queryTableFieldId="10"/>
    <tableColumn id="11" xr3:uid="{47A3BAA9-B785-476E-99B0-DA7BA0305324}" uniqueName="11" name="Route" queryTableFieldId="11" dataDxfId="25"/>
    <tableColumn id="12" xr3:uid="{CBAA5127-859D-494F-B60B-47EBEA9CB0E3}" uniqueName="12" name="Link:" queryTableFieldId="12" dataDxfId="24"/>
    <tableColumn id="13" xr3:uid="{3D500FA2-9D53-48CD-B27C-065CC10D05F4}" uniqueName="13" name="Streak #:" queryTableFieldId="13"/>
    <tableColumn id="14" xr3:uid="{5EB9715B-73D7-4200-85F3-1A8AB273C9D0}" uniqueName="14" name="Notes:" queryTableFieldId="14" dataDxfId="23"/>
    <tableColumn id="9" xr3:uid="{13FDE2E3-D6B7-4428-9CB6-F48911A247E6}" uniqueName="9" name="Elevation (in ft) Per Mile" queryTableFieldId="17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377508-4639-4039-AC6C-37DF490DB405}" name="New_District_Brewing_Co" displayName="New_District_Brewing_Co" ref="A1:N46" tableType="queryTable" totalsRowShown="0">
  <autoFilter ref="A1:N46" xr:uid="{8016DDFE-0F41-4438-B6BD-841EAB2A128E}"/>
  <tableColumns count="14">
    <tableColumn id="1" xr3:uid="{907B6F5A-39ED-4F7C-A61F-0C5D94948E0E}" uniqueName="1" name="Date" queryTableFieldId="1" dataDxfId="21"/>
    <tableColumn id="2" xr3:uid="{DBF34534-924D-41AF-A436-BC963BA0FA5A}" uniqueName="2" name="Run Name" queryTableFieldId="2" dataDxfId="20"/>
    <tableColumn id="3" xr3:uid="{0F47FDBF-9EDE-4147-B997-B4E4D1A8CD35}" uniqueName="3" name="Run Distance" queryTableFieldId="3"/>
    <tableColumn id="4" xr3:uid="{82403C05-4328-4FEE-87FD-54A4BD71D14E}" uniqueName="4" name="Time in Seconds" queryTableFieldId="4"/>
    <tableColumn id="5" xr3:uid="{FB15A734-7ED0-4C55-95BF-5ACCE6CBCCD2}" uniqueName="5" name="Pace (in seconds)" queryTableFieldId="5"/>
    <tableColumn id="6" xr3:uid="{C69E04A3-D9B4-4875-AC8D-5577C1C83DF3}" uniqueName="6" name="Mile 1 Split" queryTableFieldId="6"/>
    <tableColumn id="7" xr3:uid="{5193AB70-D6BD-4D47-BED4-3A9750265703}" uniqueName="7" name="Mile 2 Split" queryTableFieldId="7"/>
    <tableColumn id="8" xr3:uid="{40FC3BC0-EE98-42EA-8B67-490D99FF8B82}" uniqueName="8" name="Mile 3 Split" queryTableFieldId="8"/>
    <tableColumn id="10" xr3:uid="{B36F30DB-EE56-4D6C-AA50-46EF0904D449}" uniqueName="10" name="Elevation (in feet)" queryTableFieldId="10"/>
    <tableColumn id="11" xr3:uid="{D0F59814-8061-4B90-83FF-688AE2E71243}" uniqueName="11" name="Route" queryTableFieldId="11" dataDxfId="19"/>
    <tableColumn id="12" xr3:uid="{2BD2B936-5EBA-441B-A8B1-E7DEDEFFF366}" uniqueName="12" name="Link:" queryTableFieldId="12" dataDxfId="18"/>
    <tableColumn id="13" xr3:uid="{217F0755-7537-4C73-8634-F847CC2626D8}" uniqueName="13" name="Streak #:" queryTableFieldId="13"/>
    <tableColumn id="14" xr3:uid="{D041315C-73E9-4665-8FCE-F20ADE5630CE}" uniqueName="14" name="Notes:" queryTableFieldId="14" dataDxfId="17"/>
    <tableColumn id="9" xr3:uid="{AC44A8A4-DE34-45CA-A0B1-6FC6CC6ED6D1}" uniqueName="9" name="Elevation (in ft) Per Mile" queryTableField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598D35-8A35-4B5A-A0C6-D699852BBC34}" name="Georgetown_Running_Company" displayName="Georgetown_Running_Company" ref="A1:N43" tableType="queryTable" totalsRowShown="0">
  <autoFilter ref="A1:N43" xr:uid="{64D68439-267B-48B2-BA76-4262C5CB17F8}"/>
  <tableColumns count="14">
    <tableColumn id="1" xr3:uid="{26E06383-BA86-40CA-A2C3-7B58B730F2AE}" uniqueName="1" name="Date" queryTableFieldId="1" dataDxfId="16"/>
    <tableColumn id="2" xr3:uid="{D3689C14-8FC3-4AE3-9026-8AD186117675}" uniqueName="2" name="Run Name" queryTableFieldId="2" dataDxfId="15"/>
    <tableColumn id="3" xr3:uid="{2609D0AF-1304-4875-B2AF-6C4CA2B6E979}" uniqueName="3" name="Run Distance" queryTableFieldId="3"/>
    <tableColumn id="4" xr3:uid="{808A6F37-EE22-4F09-AB08-A4F07077A951}" uniqueName="4" name="Time in Seconds" queryTableFieldId="4"/>
    <tableColumn id="5" xr3:uid="{BBE8DF4B-C409-43B3-8265-CA26E4EA9F41}" uniqueName="5" name="Pace (in seconds)" queryTableFieldId="5"/>
    <tableColumn id="6" xr3:uid="{3C9C5885-8307-4B5D-A503-666E55B3EB98}" uniqueName="6" name="Mile 1 Split" queryTableFieldId="6"/>
    <tableColumn id="7" xr3:uid="{905C5F46-B3CB-4E3B-A1A3-2F9D02C91326}" uniqueName="7" name="Mile 2 Split" queryTableFieldId="7"/>
    <tableColumn id="8" xr3:uid="{DB5BF532-7F97-416E-A3E2-3B45C9561F8F}" uniqueName="8" name="Mile 3 Split" queryTableFieldId="8"/>
    <tableColumn id="10" xr3:uid="{C76E2A46-8EDE-48FD-81D5-AB9985DDF3E8}" uniqueName="10" name="Elevation (in feet)" queryTableFieldId="10"/>
    <tableColumn id="11" xr3:uid="{5467063E-0CB7-40F9-B978-21055105501F}" uniqueName="11" name="Route" queryTableFieldId="11" dataDxfId="14"/>
    <tableColumn id="12" xr3:uid="{85CAAFFD-2488-4AAF-9CB6-F5F4A239EEB6}" uniqueName="12" name="Link:" queryTableFieldId="12" dataDxfId="13"/>
    <tableColumn id="13" xr3:uid="{9C66A896-D44B-4F41-93A0-BA891022DDD0}" uniqueName="13" name="Streak #:" queryTableFieldId="13"/>
    <tableColumn id="14" xr3:uid="{91373F8A-17ED-4F7A-9641-DE420B63AFCD}" uniqueName="14" name="Notes:" queryTableFieldId="14" dataDxfId="12"/>
    <tableColumn id="9" xr3:uid="{709B102C-AB9D-411D-9041-661102737B7F}" uniqueName="9" name="Elevation (in ft) Per Mile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8489A6-9250-4ED1-B5BB-B65463CE2620}" name="Run_Route_1" displayName="Run_Route_1" ref="A1:N113" tableType="queryTable" totalsRowShown="0">
  <autoFilter ref="A1:N113" xr:uid="{8016DDFE-0F41-4438-B6BD-841EAB2A128E}"/>
  <tableColumns count="14">
    <tableColumn id="1" xr3:uid="{D36AEC78-3D8F-45E5-9199-45C412990ABF}" uniqueName="1" name="Date" queryTableFieldId="1" dataDxfId="11"/>
    <tableColumn id="2" xr3:uid="{C291F5D3-9D00-4883-85B9-9D967AE5F830}" uniqueName="2" name="Run Name" queryTableFieldId="2" dataDxfId="10"/>
    <tableColumn id="3" xr3:uid="{A4DBB352-9CB7-443A-9125-8297719E4158}" uniqueName="3" name="Run Distance" queryTableFieldId="3"/>
    <tableColumn id="4" xr3:uid="{4B469D81-23F3-49BD-9474-A19CF0D017BA}" uniqueName="4" name="Time in Seconds" queryTableFieldId="4"/>
    <tableColumn id="5" xr3:uid="{DCB11F49-284B-4DE7-A74E-55017AF5CBD8}" uniqueName="5" name="Pace (in seconds)" queryTableFieldId="5"/>
    <tableColumn id="6" xr3:uid="{20FC327E-85B4-44E0-BDFA-79FAC4E1CDE4}" uniqueName="6" name="Mile 1 Split" queryTableFieldId="6"/>
    <tableColumn id="7" xr3:uid="{37F60E1A-6D44-4373-884C-95F92A6327D8}" uniqueName="7" name="Mile 2 Split" queryTableFieldId="7"/>
    <tableColumn id="8" xr3:uid="{1C7D592F-712C-47A4-980A-EFBC34D94C3F}" uniqueName="8" name="Mile 3 Split" queryTableFieldId="8"/>
    <tableColumn id="10" xr3:uid="{952B5EE3-9281-4C1E-AF9F-9785382D691A}" uniqueName="10" name="Elevation (in feet)" queryTableFieldId="10"/>
    <tableColumn id="11" xr3:uid="{9C6D7840-25B4-4936-A98A-142C51A7A8AC}" uniqueName="11" name="Route" queryTableFieldId="11" dataDxfId="9"/>
    <tableColumn id="12" xr3:uid="{55703EDD-8418-4A85-A7A2-4808AB6397AF}" uniqueName="12" name="Link:" queryTableFieldId="12" dataDxfId="8"/>
    <tableColumn id="13" xr3:uid="{5FA371B3-5AA2-45DA-9AE1-9867F079F626}" uniqueName="13" name="Streak #:" queryTableFieldId="13"/>
    <tableColumn id="14" xr3:uid="{E548AB82-AA7B-4EF5-BA59-A71FC8C675C9}" uniqueName="14" name="Notes:" queryTableFieldId="14" dataDxfId="7"/>
    <tableColumn id="9" xr3:uid="{4B2F8B5B-5286-484C-9912-BE89EB6165DF}" uniqueName="9" name="Elevation (in ft) Per Mile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465A95-131D-44C4-915E-757251732335}" name="Astro_Lab" displayName="Astro_Lab" ref="A1:O12" tableType="queryTable" totalsRowShown="0">
  <autoFilter ref="A1:O12" xr:uid="{105B6FEC-5F89-4444-954B-DF3289D7BC32}"/>
  <tableColumns count="15">
    <tableColumn id="15" xr3:uid="{7E4FDD4B-24E1-4600-98B3-3652D7D13204}" uniqueName="15" name="Run #" queryTableFieldId="15" dataDxfId="6">
      <calculatedColumnFormula>ROW(A2)-1</calculatedColumnFormula>
    </tableColumn>
    <tableColumn id="1" xr3:uid="{218BF72B-812C-44FF-9CE0-0B04862A84D4}" uniqueName="1" name="Date" queryTableFieldId="1" dataDxfId="5"/>
    <tableColumn id="2" xr3:uid="{FB36DCF5-08A5-4181-AA43-63538CF9B332}" uniqueName="2" name="Run Name" queryTableFieldId="2" dataDxfId="4"/>
    <tableColumn id="3" xr3:uid="{D6ED537C-644A-4054-BFBF-6C18CBF241FE}" uniqueName="3" name="Run Distance" queryTableFieldId="3"/>
    <tableColumn id="4" xr3:uid="{4EA64316-33AA-4778-87AE-2D5CC7CA11F4}" uniqueName="4" name="Time in Seconds" queryTableFieldId="4"/>
    <tableColumn id="5" xr3:uid="{1272012C-D45A-4C6F-BCA7-014B5D4F483C}" uniqueName="5" name="Pace (in seconds)" queryTableFieldId="5"/>
    <tableColumn id="6" xr3:uid="{2B13D585-4B23-4A72-92C0-2A4D58489B31}" uniqueName="6" name="Mile 1 Split" queryTableFieldId="6"/>
    <tableColumn id="7" xr3:uid="{8B6517C1-58F6-4AD4-AA95-B15F4DD4FE24}" uniqueName="7" name="Mile 2 Split" queryTableFieldId="7"/>
    <tableColumn id="8" xr3:uid="{5069C2D2-B062-4F66-8FDA-196189F1A423}" uniqueName="8" name="Mile 3 Split" queryTableFieldId="8"/>
    <tableColumn id="10" xr3:uid="{E08AFA6F-BF15-4F84-8173-CA05961D7ED8}" uniqueName="10" name="Elevation (in feet)" queryTableFieldId="10"/>
    <tableColumn id="11" xr3:uid="{C2DC79CE-29AE-46AD-A9B6-E196E6251DC9}" uniqueName="11" name="Route" queryTableFieldId="11" dataDxfId="3"/>
    <tableColumn id="12" xr3:uid="{5BBC9A90-20F1-4DB2-91EB-B4749FB58737}" uniqueName="12" name="Link:" queryTableFieldId="12" dataDxfId="2"/>
    <tableColumn id="13" xr3:uid="{A2B79EFD-4A3E-4FFE-8729-A849CA47B499}" uniqueName="13" name="Streak #:" queryTableFieldId="13"/>
    <tableColumn id="14" xr3:uid="{77A02FE2-C720-4B82-BD74-DC1A93F3E50C}" uniqueName="14" name="Notes:" queryTableFieldId="14" dataDxfId="1"/>
    <tableColumn id="9" xr3:uid="{427B6D8D-3159-45DA-BFE1-F2AA8BBE457B}" uniqueName="9" name="Elevation (in ft) Per Mil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4407633383" TargetMode="External"/><Relationship Id="rId21" Type="http://schemas.openxmlformats.org/officeDocument/2006/relationships/hyperlink" Target="https://www.strava.com/activities/3946989554" TargetMode="External"/><Relationship Id="rId42" Type="http://schemas.openxmlformats.org/officeDocument/2006/relationships/hyperlink" Target="https://www.strava.com/activities/4045677900" TargetMode="External"/><Relationship Id="rId63" Type="http://schemas.openxmlformats.org/officeDocument/2006/relationships/hyperlink" Target="https://www.strava.com/activities/4143119218" TargetMode="External"/><Relationship Id="rId84" Type="http://schemas.openxmlformats.org/officeDocument/2006/relationships/hyperlink" Target="https://www.strava.com/activities/4234531100" TargetMode="External"/><Relationship Id="rId138" Type="http://schemas.openxmlformats.org/officeDocument/2006/relationships/hyperlink" Target="https://www.strava.com/activities/4520036617" TargetMode="External"/><Relationship Id="rId159" Type="http://schemas.openxmlformats.org/officeDocument/2006/relationships/hyperlink" Target="https://www.strava.com/activities/5895397928" TargetMode="External"/><Relationship Id="rId170" Type="http://schemas.openxmlformats.org/officeDocument/2006/relationships/hyperlink" Target="https://www.strava.com/activities/6176314750" TargetMode="External"/><Relationship Id="rId191" Type="http://schemas.openxmlformats.org/officeDocument/2006/relationships/hyperlink" Target="https://www.strava.com/activities/6317692528" TargetMode="External"/><Relationship Id="rId205" Type="http://schemas.openxmlformats.org/officeDocument/2006/relationships/hyperlink" Target="https://www.strava.com/activities/6332164467" TargetMode="External"/><Relationship Id="rId226" Type="http://schemas.openxmlformats.org/officeDocument/2006/relationships/hyperlink" Target="https://www.strava.com/activities/6444658374" TargetMode="External"/><Relationship Id="rId107" Type="http://schemas.openxmlformats.org/officeDocument/2006/relationships/hyperlink" Target="https://www.strava.com/activities/4353418213" TargetMode="External"/><Relationship Id="rId11" Type="http://schemas.openxmlformats.org/officeDocument/2006/relationships/hyperlink" Target="https://www.strava.com/activities/3899886795" TargetMode="External"/><Relationship Id="rId32" Type="http://schemas.openxmlformats.org/officeDocument/2006/relationships/hyperlink" Target="https://www.strava.com/activities/3998456589" TargetMode="External"/><Relationship Id="rId53" Type="http://schemas.openxmlformats.org/officeDocument/2006/relationships/hyperlink" Target="https://www.strava.com/activities/4099186064" TargetMode="External"/><Relationship Id="rId74" Type="http://schemas.openxmlformats.org/officeDocument/2006/relationships/hyperlink" Target="https://www.strava.com/activities/4191694829" TargetMode="External"/><Relationship Id="rId128" Type="http://schemas.openxmlformats.org/officeDocument/2006/relationships/hyperlink" Target="https://www.strava.com/activities/4456512509" TargetMode="External"/><Relationship Id="rId149" Type="http://schemas.openxmlformats.org/officeDocument/2006/relationships/hyperlink" Target="https://www.strava.com/activities/4624126459" TargetMode="External"/><Relationship Id="rId5" Type="http://schemas.openxmlformats.org/officeDocument/2006/relationships/hyperlink" Target="https://www.strava.com/activities/3870690820" TargetMode="External"/><Relationship Id="rId95" Type="http://schemas.openxmlformats.org/officeDocument/2006/relationships/hyperlink" Target="https://www.strava.com/activities/4292167702" TargetMode="External"/><Relationship Id="rId160" Type="http://schemas.openxmlformats.org/officeDocument/2006/relationships/hyperlink" Target="https://www.strava.com/activities/5993255759" TargetMode="External"/><Relationship Id="rId181" Type="http://schemas.openxmlformats.org/officeDocument/2006/relationships/hyperlink" Target="https://www.strava.com/activities/6253803478" TargetMode="External"/><Relationship Id="rId216" Type="http://schemas.openxmlformats.org/officeDocument/2006/relationships/hyperlink" Target="https://www.strava.com/activities/6400890165" TargetMode="External"/><Relationship Id="rId22" Type="http://schemas.openxmlformats.org/officeDocument/2006/relationships/hyperlink" Target="https://www.strava.com/activities/3949638142'" TargetMode="External"/><Relationship Id="rId27" Type="http://schemas.openxmlformats.org/officeDocument/2006/relationships/hyperlink" Target="https://www.strava.com/activities/3975311616" TargetMode="External"/><Relationship Id="rId43" Type="http://schemas.openxmlformats.org/officeDocument/2006/relationships/hyperlink" Target="https://www.strava.com/activities/4048444391" TargetMode="External"/><Relationship Id="rId48" Type="http://schemas.openxmlformats.org/officeDocument/2006/relationships/hyperlink" Target="https://www.strava.com/activities/4075309885" TargetMode="External"/><Relationship Id="rId64" Type="http://schemas.openxmlformats.org/officeDocument/2006/relationships/hyperlink" Target="https://www.strava.com/activities/4145249696" TargetMode="External"/><Relationship Id="rId69" Type="http://schemas.openxmlformats.org/officeDocument/2006/relationships/hyperlink" Target="https://www.strava.com/activities/4169743559" TargetMode="External"/><Relationship Id="rId113" Type="http://schemas.openxmlformats.org/officeDocument/2006/relationships/hyperlink" Target="https://www.strava.com/activities/4381959860" TargetMode="External"/><Relationship Id="rId118" Type="http://schemas.openxmlformats.org/officeDocument/2006/relationships/hyperlink" Target="https://www.strava.com/activities/4399889653" TargetMode="External"/><Relationship Id="rId134" Type="http://schemas.openxmlformats.org/officeDocument/2006/relationships/hyperlink" Target="https://www.strava.com/activities/4502054124" TargetMode="External"/><Relationship Id="rId139" Type="http://schemas.openxmlformats.org/officeDocument/2006/relationships/hyperlink" Target="https://www.strava.com/activities/4526500355" TargetMode="External"/><Relationship Id="rId80" Type="http://schemas.openxmlformats.org/officeDocument/2006/relationships/hyperlink" Target="https://www.strava.com/activities/4217749250" TargetMode="External"/><Relationship Id="rId85" Type="http://schemas.openxmlformats.org/officeDocument/2006/relationships/hyperlink" Target="https://www.strava.com/activities/4236914263" TargetMode="External"/><Relationship Id="rId150" Type="http://schemas.openxmlformats.org/officeDocument/2006/relationships/hyperlink" Target="https://www.strava.com/activities/4636997238" TargetMode="External"/><Relationship Id="rId155" Type="http://schemas.openxmlformats.org/officeDocument/2006/relationships/hyperlink" Target="https://www.strava.com/activities/4900154548" TargetMode="External"/><Relationship Id="rId171" Type="http://schemas.openxmlformats.org/officeDocument/2006/relationships/hyperlink" Target="https://www.strava.com/activities/6179720218" TargetMode="External"/><Relationship Id="rId176" Type="http://schemas.openxmlformats.org/officeDocument/2006/relationships/hyperlink" Target="https://www.strava.com/activities/6227103337" TargetMode="External"/><Relationship Id="rId192" Type="http://schemas.openxmlformats.org/officeDocument/2006/relationships/hyperlink" Target="https://www.strava.com/activities/6313258229" TargetMode="External"/><Relationship Id="rId197" Type="http://schemas.openxmlformats.org/officeDocument/2006/relationships/hyperlink" Target="https://www.strava.com/activities/6323821972" TargetMode="External"/><Relationship Id="rId206" Type="http://schemas.openxmlformats.org/officeDocument/2006/relationships/hyperlink" Target="https://www.strava.com/activities/6335484347" TargetMode="External"/><Relationship Id="rId227" Type="http://schemas.openxmlformats.org/officeDocument/2006/relationships/hyperlink" Target="https://www.strava.com/activities/6431978757" TargetMode="External"/><Relationship Id="rId201" Type="http://schemas.openxmlformats.org/officeDocument/2006/relationships/hyperlink" Target="https://www.strava.com/activities/6356229886" TargetMode="External"/><Relationship Id="rId222" Type="http://schemas.openxmlformats.org/officeDocument/2006/relationships/hyperlink" Target="https://www.strava.com/activities/6420145157" TargetMode="External"/><Relationship Id="rId12" Type="http://schemas.openxmlformats.org/officeDocument/2006/relationships/hyperlink" Target="https://www.strava.com/activities/3904692920" TargetMode="External"/><Relationship Id="rId17" Type="http://schemas.openxmlformats.org/officeDocument/2006/relationships/hyperlink" Target="https://www.strava.com/activities/3928452708" TargetMode="External"/><Relationship Id="rId33" Type="http://schemas.openxmlformats.org/officeDocument/2006/relationships/hyperlink" Target="https://www.strava.com/activities/4003305927" TargetMode="External"/><Relationship Id="rId38" Type="http://schemas.openxmlformats.org/officeDocument/2006/relationships/hyperlink" Target="https://www.strava.com/activities/4027692423" TargetMode="External"/><Relationship Id="rId59" Type="http://schemas.openxmlformats.org/officeDocument/2006/relationships/hyperlink" Target="https://www.strava.com/activities/4119311068" TargetMode="External"/><Relationship Id="rId103" Type="http://schemas.openxmlformats.org/officeDocument/2006/relationships/hyperlink" Target="https://www.strava.com/activities/4320472267" TargetMode="External"/><Relationship Id="rId108" Type="http://schemas.openxmlformats.org/officeDocument/2006/relationships/hyperlink" Target="https://www.strava.com/activities/4358244475" TargetMode="External"/><Relationship Id="rId124" Type="http://schemas.openxmlformats.org/officeDocument/2006/relationships/hyperlink" Target="https://www.strava.com/activities/4448274227" TargetMode="External"/><Relationship Id="rId129" Type="http://schemas.openxmlformats.org/officeDocument/2006/relationships/hyperlink" Target="https://www.strava.com/activities/4452527883" TargetMode="External"/><Relationship Id="rId54" Type="http://schemas.openxmlformats.org/officeDocument/2006/relationships/hyperlink" Target="https://www.strava.com/activities/4103867920" TargetMode="External"/><Relationship Id="rId70" Type="http://schemas.openxmlformats.org/officeDocument/2006/relationships/hyperlink" Target="https://www.strava.com/activities/4172425653" TargetMode="External"/><Relationship Id="rId75" Type="http://schemas.openxmlformats.org/officeDocument/2006/relationships/hyperlink" Target="https://www.strava.com/activities/4196162537" TargetMode="External"/><Relationship Id="rId91" Type="http://schemas.openxmlformats.org/officeDocument/2006/relationships/hyperlink" Target="https://www.strava.com/activities/4268598858" TargetMode="External"/><Relationship Id="rId96" Type="http://schemas.openxmlformats.org/officeDocument/2006/relationships/hyperlink" Target="https://www.strava.com/activities/4299125751" TargetMode="External"/><Relationship Id="rId140" Type="http://schemas.openxmlformats.org/officeDocument/2006/relationships/hyperlink" Target="https://www.strava.com/activities/4531916872" TargetMode="External"/><Relationship Id="rId145" Type="http://schemas.openxmlformats.org/officeDocument/2006/relationships/hyperlink" Target="https://www.strava.com/activities/4561861704" TargetMode="External"/><Relationship Id="rId161" Type="http://schemas.openxmlformats.org/officeDocument/2006/relationships/hyperlink" Target="https://www.strava.com/activities/6004478866" TargetMode="External"/><Relationship Id="rId166" Type="http://schemas.openxmlformats.org/officeDocument/2006/relationships/hyperlink" Target="https://www.strava.com/activities/6151563178" TargetMode="External"/><Relationship Id="rId182" Type="http://schemas.openxmlformats.org/officeDocument/2006/relationships/hyperlink" Target="https://www.strava.com/activities/6245770145" TargetMode="External"/><Relationship Id="rId187" Type="http://schemas.openxmlformats.org/officeDocument/2006/relationships/hyperlink" Target="https://www.strava.com/activities/6279665855" TargetMode="External"/><Relationship Id="rId217" Type="http://schemas.openxmlformats.org/officeDocument/2006/relationships/hyperlink" Target="https://www.strava.com/activities/6403358197" TargetMode="External"/><Relationship Id="rId1" Type="http://schemas.openxmlformats.org/officeDocument/2006/relationships/hyperlink" Target="https://www.strava.com/activities/3852990056" TargetMode="External"/><Relationship Id="rId6" Type="http://schemas.openxmlformats.org/officeDocument/2006/relationships/hyperlink" Target="https://www.strava.com/activities/3875612244" TargetMode="External"/><Relationship Id="rId212" Type="http://schemas.openxmlformats.org/officeDocument/2006/relationships/hyperlink" Target="https://www.strava.com/activities/6385337528" TargetMode="External"/><Relationship Id="rId23" Type="http://schemas.openxmlformats.org/officeDocument/2006/relationships/hyperlink" Target="https://www.strava.com/activities/3954365523" TargetMode="External"/><Relationship Id="rId28" Type="http://schemas.openxmlformats.org/officeDocument/2006/relationships/hyperlink" Target="https://www.strava.com/activities/3978727030" TargetMode="External"/><Relationship Id="rId49" Type="http://schemas.openxmlformats.org/officeDocument/2006/relationships/hyperlink" Target="https://www.strava.com/activities/4079672874" TargetMode="External"/><Relationship Id="rId114" Type="http://schemas.openxmlformats.org/officeDocument/2006/relationships/hyperlink" Target="https://www.strava.com/activities/4386645081" TargetMode="External"/><Relationship Id="rId119" Type="http://schemas.openxmlformats.org/officeDocument/2006/relationships/hyperlink" Target="https://www.strava.com/activities/4418440681" TargetMode="External"/><Relationship Id="rId44" Type="http://schemas.openxmlformats.org/officeDocument/2006/relationships/hyperlink" Target="https://www.strava.com/activities/4053666246" TargetMode="External"/><Relationship Id="rId60" Type="http://schemas.openxmlformats.org/officeDocument/2006/relationships/hyperlink" Target="https://www.strava.com/activities/4130374255" TargetMode="External"/><Relationship Id="rId65" Type="http://schemas.openxmlformats.org/officeDocument/2006/relationships/hyperlink" Target="https://www.strava.com/activities/4150411346" TargetMode="External"/><Relationship Id="rId81" Type="http://schemas.openxmlformats.org/officeDocument/2006/relationships/hyperlink" Target="https://www.strava.com/activities/4222214550" TargetMode="External"/><Relationship Id="rId86" Type="http://schemas.openxmlformats.org/officeDocument/2006/relationships/hyperlink" Target="https://www.strava.com/activities/4244185963" TargetMode="External"/><Relationship Id="rId130" Type="http://schemas.openxmlformats.org/officeDocument/2006/relationships/hyperlink" Target="https://www.strava.com/activities/4477439914" TargetMode="External"/><Relationship Id="rId135" Type="http://schemas.openxmlformats.org/officeDocument/2006/relationships/hyperlink" Target="https://www.strava.com/activities/4506513439" TargetMode="External"/><Relationship Id="rId151" Type="http://schemas.openxmlformats.org/officeDocument/2006/relationships/hyperlink" Target="https://www.strava.com/activities/4644130656" TargetMode="External"/><Relationship Id="rId156" Type="http://schemas.openxmlformats.org/officeDocument/2006/relationships/hyperlink" Target="https://www.strava.com/activities/4953429385" TargetMode="External"/><Relationship Id="rId177" Type="http://schemas.openxmlformats.org/officeDocument/2006/relationships/hyperlink" Target="https://www.strava.com/activities/6231748738" TargetMode="External"/><Relationship Id="rId198" Type="http://schemas.openxmlformats.org/officeDocument/2006/relationships/hyperlink" Target="https://www.strava.com/activities/6368171125" TargetMode="External"/><Relationship Id="rId172" Type="http://schemas.openxmlformats.org/officeDocument/2006/relationships/hyperlink" Target="https://www.strava.com/activities/6204322651" TargetMode="External"/><Relationship Id="rId193" Type="http://schemas.openxmlformats.org/officeDocument/2006/relationships/hyperlink" Target="https://www.strava.com/activities/6311372691" TargetMode="External"/><Relationship Id="rId202" Type="http://schemas.openxmlformats.org/officeDocument/2006/relationships/hyperlink" Target="https://www.strava.com/activities/6351618017" TargetMode="External"/><Relationship Id="rId207" Type="http://schemas.openxmlformats.org/officeDocument/2006/relationships/hyperlink" Target="https://www.strava.com/activities/6339985516" TargetMode="External"/><Relationship Id="rId223" Type="http://schemas.openxmlformats.org/officeDocument/2006/relationships/hyperlink" Target="https://www.strava.com/activities/6420927218" TargetMode="External"/><Relationship Id="rId228" Type="http://schemas.openxmlformats.org/officeDocument/2006/relationships/hyperlink" Target="https://www.strava.com/activities/6435755544" TargetMode="External"/><Relationship Id="rId13" Type="http://schemas.openxmlformats.org/officeDocument/2006/relationships/hyperlink" Target="https://www.strava.com/activities/3909356895" TargetMode="External"/><Relationship Id="rId18" Type="http://schemas.openxmlformats.org/officeDocument/2006/relationships/hyperlink" Target="https://www.strava.com/activities/3933455350" TargetMode="External"/><Relationship Id="rId39" Type="http://schemas.openxmlformats.org/officeDocument/2006/relationships/hyperlink" Target="https://www.strava.com/activities/4032352688" TargetMode="External"/><Relationship Id="rId109" Type="http://schemas.openxmlformats.org/officeDocument/2006/relationships/hyperlink" Target="https://www.strava.com/activities/4362528662" TargetMode="External"/><Relationship Id="rId34" Type="http://schemas.openxmlformats.org/officeDocument/2006/relationships/hyperlink" Target="https://www.strava.com/activities/4007865423" TargetMode="External"/><Relationship Id="rId50" Type="http://schemas.openxmlformats.org/officeDocument/2006/relationships/hyperlink" Target="https://www.strava.com/activities/4082066767" TargetMode="External"/><Relationship Id="rId55" Type="http://schemas.openxmlformats.org/officeDocument/2006/relationships/hyperlink" Target="https://www.strava.com/activities/4108172487" TargetMode="External"/><Relationship Id="rId76" Type="http://schemas.openxmlformats.org/officeDocument/2006/relationships/hyperlink" Target="https://www.strava.com/activities/4200269274" TargetMode="External"/><Relationship Id="rId97" Type="http://schemas.openxmlformats.org/officeDocument/2006/relationships/hyperlink" Target="https://www.strava.com/activities/4308402052" TargetMode="External"/><Relationship Id="rId104" Type="http://schemas.openxmlformats.org/officeDocument/2006/relationships/hyperlink" Target="https://www.strava.com/activities/4320472267" TargetMode="External"/><Relationship Id="rId120" Type="http://schemas.openxmlformats.org/officeDocument/2006/relationships/hyperlink" Target="https://www.strava.com/activities/4422851086" TargetMode="External"/><Relationship Id="rId125" Type="http://schemas.openxmlformats.org/officeDocument/2006/relationships/hyperlink" Target="https://www.strava.com/activities/4473261313" TargetMode="External"/><Relationship Id="rId141" Type="http://schemas.openxmlformats.org/officeDocument/2006/relationships/hyperlink" Target="https://www.strava.com/activities/4536827225" TargetMode="External"/><Relationship Id="rId146" Type="http://schemas.openxmlformats.org/officeDocument/2006/relationships/hyperlink" Target="https://www.strava.com/activities/4568549090" TargetMode="External"/><Relationship Id="rId167" Type="http://schemas.openxmlformats.org/officeDocument/2006/relationships/hyperlink" Target="https://www.strava.com/activities/6162695454" TargetMode="External"/><Relationship Id="rId188" Type="http://schemas.openxmlformats.org/officeDocument/2006/relationships/hyperlink" Target="https://www.strava.com/activities/6290564255" TargetMode="External"/><Relationship Id="rId7" Type="http://schemas.openxmlformats.org/officeDocument/2006/relationships/hyperlink" Target="https://www.strava.com/activities/3880088257" TargetMode="External"/><Relationship Id="rId71" Type="http://schemas.openxmlformats.org/officeDocument/2006/relationships/hyperlink" Target="https://www.strava.com/activities/4187910645" TargetMode="External"/><Relationship Id="rId92" Type="http://schemas.openxmlformats.org/officeDocument/2006/relationships/hyperlink" Target="https://www.strava.com/activities/4273809044" TargetMode="External"/><Relationship Id="rId162" Type="http://schemas.openxmlformats.org/officeDocument/2006/relationships/hyperlink" Target="https://www.strava.com/activities/6137965735" TargetMode="External"/><Relationship Id="rId183" Type="http://schemas.openxmlformats.org/officeDocument/2006/relationships/hyperlink" Target="https://www.strava.com/activities/6240952776" TargetMode="External"/><Relationship Id="rId213" Type="http://schemas.openxmlformats.org/officeDocument/2006/relationships/hyperlink" Target="https://www.strava.com/activities/6389084747" TargetMode="External"/><Relationship Id="rId218" Type="http://schemas.openxmlformats.org/officeDocument/2006/relationships/hyperlink" Target="https://www.strava.com/activities/6408794283" TargetMode="External"/><Relationship Id="rId2" Type="http://schemas.openxmlformats.org/officeDocument/2006/relationships/hyperlink" Target="https://www.strava.com/activities/3848082495" TargetMode="External"/><Relationship Id="rId29" Type="http://schemas.openxmlformats.org/officeDocument/2006/relationships/hyperlink" Target="https://www.strava.com/activities/3982683857" TargetMode="External"/><Relationship Id="rId24" Type="http://schemas.openxmlformats.org/officeDocument/2006/relationships/hyperlink" Target="https://www.strava.com/activities/3961452711" TargetMode="External"/><Relationship Id="rId40" Type="http://schemas.openxmlformats.org/officeDocument/2006/relationships/hyperlink" Target="https://www.strava.com/activities/4037134403" TargetMode="External"/><Relationship Id="rId45" Type="http://schemas.openxmlformats.org/officeDocument/2006/relationships/hyperlink" Target="https://www.strava.com/activities/4060716660" TargetMode="External"/><Relationship Id="rId66" Type="http://schemas.openxmlformats.org/officeDocument/2006/relationships/hyperlink" Target="https://www.strava.com/activities/4156732637" TargetMode="External"/><Relationship Id="rId87" Type="http://schemas.openxmlformats.org/officeDocument/2006/relationships/hyperlink" Target="https://www.strava.com/activities/4255142862" TargetMode="External"/><Relationship Id="rId110" Type="http://schemas.openxmlformats.org/officeDocument/2006/relationships/hyperlink" Target="https://www.strava.com/activities/4365743362" TargetMode="External"/><Relationship Id="rId115" Type="http://schemas.openxmlformats.org/officeDocument/2006/relationships/hyperlink" Target="https://www.strava.com/activities/4391311781" TargetMode="External"/><Relationship Id="rId131" Type="http://schemas.openxmlformats.org/officeDocument/2006/relationships/hyperlink" Target="https://www.strava.com/activities/4481477245" TargetMode="External"/><Relationship Id="rId136" Type="http://schemas.openxmlformats.org/officeDocument/2006/relationships/hyperlink" Target="https://www.strava.com/activities/4513371888" TargetMode="External"/><Relationship Id="rId157" Type="http://schemas.openxmlformats.org/officeDocument/2006/relationships/hyperlink" Target="https://www.strava.com/activities/5027449440" TargetMode="External"/><Relationship Id="rId178" Type="http://schemas.openxmlformats.org/officeDocument/2006/relationships/hyperlink" Target="https://www.strava.com/activities/6234748466" TargetMode="External"/><Relationship Id="rId61" Type="http://schemas.openxmlformats.org/officeDocument/2006/relationships/hyperlink" Target="https://www.strava.com/activities/4135018569" TargetMode="External"/><Relationship Id="rId82" Type="http://schemas.openxmlformats.org/officeDocument/2006/relationships/hyperlink" Target="https://www.strava.com/activities/4226519733" TargetMode="External"/><Relationship Id="rId152" Type="http://schemas.openxmlformats.org/officeDocument/2006/relationships/hyperlink" Target="https://www.strava.com/activities/4700838552" TargetMode="External"/><Relationship Id="rId173" Type="http://schemas.openxmlformats.org/officeDocument/2006/relationships/hyperlink" Target="https://www.strava.com/activities/6199145661" TargetMode="External"/><Relationship Id="rId194" Type="http://schemas.openxmlformats.org/officeDocument/2006/relationships/hyperlink" Target="https://www.strava.com/activities/6306821673" TargetMode="External"/><Relationship Id="rId199" Type="http://schemas.openxmlformats.org/officeDocument/2006/relationships/hyperlink" Target="https://www.strava.com/activities/6364259395" TargetMode="External"/><Relationship Id="rId203" Type="http://schemas.openxmlformats.org/officeDocument/2006/relationships/hyperlink" Target="https://www.strava.com/activities/6347022566" TargetMode="External"/><Relationship Id="rId208" Type="http://schemas.openxmlformats.org/officeDocument/2006/relationships/hyperlink" Target="https://www.strava.com/activities/6340558452" TargetMode="External"/><Relationship Id="rId229" Type="http://schemas.openxmlformats.org/officeDocument/2006/relationships/hyperlink" Target="https://www.strava.com/activities/6447941504" TargetMode="External"/><Relationship Id="rId19" Type="http://schemas.openxmlformats.org/officeDocument/2006/relationships/hyperlink" Target="https://www.strava.com/activities/3938211598" TargetMode="External"/><Relationship Id="rId224" Type="http://schemas.openxmlformats.org/officeDocument/2006/relationships/hyperlink" Target="https://www.strava.com/activities/6427316265" TargetMode="External"/><Relationship Id="rId14" Type="http://schemas.openxmlformats.org/officeDocument/2006/relationships/hyperlink" Target="https://www.strava.com/activities/3913740869" TargetMode="External"/><Relationship Id="rId30" Type="http://schemas.openxmlformats.org/officeDocument/2006/relationships/hyperlink" Target="https://www.strava.com/activities/3985992166" TargetMode="External"/><Relationship Id="rId35" Type="http://schemas.openxmlformats.org/officeDocument/2006/relationships/hyperlink" Target="https://www.strava.com/activities/4011162166" TargetMode="External"/><Relationship Id="rId56" Type="http://schemas.openxmlformats.org/officeDocument/2006/relationships/hyperlink" Target="https://www.strava.com/activities/4110873764" TargetMode="External"/><Relationship Id="rId77" Type="http://schemas.openxmlformats.org/officeDocument/2006/relationships/hyperlink" Target="https://www.strava.com/activities/4203980957" TargetMode="External"/><Relationship Id="rId100" Type="http://schemas.openxmlformats.org/officeDocument/2006/relationships/hyperlink" Target="https://www.strava.com/activities/4315123661" TargetMode="External"/><Relationship Id="rId105" Type="http://schemas.openxmlformats.org/officeDocument/2006/relationships/hyperlink" Target="https://www.strava.com/activities/4342942710" TargetMode="External"/><Relationship Id="rId126" Type="http://schemas.openxmlformats.org/officeDocument/2006/relationships/hyperlink" Target="https://www.strava.com/activities/4467958812" TargetMode="External"/><Relationship Id="rId147" Type="http://schemas.openxmlformats.org/officeDocument/2006/relationships/hyperlink" Target="https://www.strava.com/activities/4573994170" TargetMode="External"/><Relationship Id="rId168" Type="http://schemas.openxmlformats.org/officeDocument/2006/relationships/hyperlink" Target="https://www.strava.com/activities/6166837578" TargetMode="External"/><Relationship Id="rId8" Type="http://schemas.openxmlformats.org/officeDocument/2006/relationships/hyperlink" Target="https://www.strava.com/activities/3889118606" TargetMode="External"/><Relationship Id="rId51" Type="http://schemas.openxmlformats.org/officeDocument/2006/relationships/hyperlink" Target="https://www.strava.com/activities/4090396074" TargetMode="External"/><Relationship Id="rId72" Type="http://schemas.openxmlformats.org/officeDocument/2006/relationships/hyperlink" Target="https://www.strava.com/activities/4183679740" TargetMode="External"/><Relationship Id="rId93" Type="http://schemas.openxmlformats.org/officeDocument/2006/relationships/hyperlink" Target="https://www.strava.com/activities/4282969123" TargetMode="External"/><Relationship Id="rId98" Type="http://schemas.openxmlformats.org/officeDocument/2006/relationships/hyperlink" Target="https://www.strava.com/activities/4336406658" TargetMode="External"/><Relationship Id="rId121" Type="http://schemas.openxmlformats.org/officeDocument/2006/relationships/hyperlink" Target="https://www.strava.com/activities/4426758310" TargetMode="External"/><Relationship Id="rId142" Type="http://schemas.openxmlformats.org/officeDocument/2006/relationships/hyperlink" Target="https://www.strava.com/activities/4541897336" TargetMode="External"/><Relationship Id="rId163" Type="http://schemas.openxmlformats.org/officeDocument/2006/relationships/hyperlink" Target="https://www.strava.com/activities/6147234699" TargetMode="External"/><Relationship Id="rId184" Type="http://schemas.openxmlformats.org/officeDocument/2006/relationships/hyperlink" Target="https://www.strava.com/activities/6268237278" TargetMode="External"/><Relationship Id="rId189" Type="http://schemas.openxmlformats.org/officeDocument/2006/relationships/hyperlink" Target="https://www.strava.com/activities/6286008268" TargetMode="External"/><Relationship Id="rId219" Type="http://schemas.openxmlformats.org/officeDocument/2006/relationships/hyperlink" Target="https://www.strava.com/activities/6412620550" TargetMode="External"/><Relationship Id="rId3" Type="http://schemas.openxmlformats.org/officeDocument/2006/relationships/hyperlink" Target="https://www.strava.com/activities/3860614082" TargetMode="External"/><Relationship Id="rId214" Type="http://schemas.openxmlformats.org/officeDocument/2006/relationships/hyperlink" Target="https://www.strava.com/activities/6392920215" TargetMode="External"/><Relationship Id="rId230" Type="http://schemas.openxmlformats.org/officeDocument/2006/relationships/hyperlink" Target="https://www.strava.com/activities/6452353181" TargetMode="External"/><Relationship Id="rId25" Type="http://schemas.openxmlformats.org/officeDocument/2006/relationships/hyperlink" Target="https://www.strava.com/activities/3964602073" TargetMode="External"/><Relationship Id="rId46" Type="http://schemas.openxmlformats.org/officeDocument/2006/relationships/hyperlink" Target="https://www.strava.com/activities/4064157258" TargetMode="External"/><Relationship Id="rId67" Type="http://schemas.openxmlformats.org/officeDocument/2006/relationships/hyperlink" Target="https://www.strava.com/activities/4161090054" TargetMode="External"/><Relationship Id="rId116" Type="http://schemas.openxmlformats.org/officeDocument/2006/relationships/hyperlink" Target="https://www.strava.com/activities/4393344969" TargetMode="External"/><Relationship Id="rId137" Type="http://schemas.openxmlformats.org/officeDocument/2006/relationships/hyperlink" Target="https://www.strava.com/activities/4516351029" TargetMode="External"/><Relationship Id="rId158" Type="http://schemas.openxmlformats.org/officeDocument/2006/relationships/hyperlink" Target="https://www.strava.com/activities/5857426859" TargetMode="External"/><Relationship Id="rId20" Type="http://schemas.openxmlformats.org/officeDocument/2006/relationships/hyperlink" Target="https://www.strava.com/activities/3942945141" TargetMode="External"/><Relationship Id="rId41" Type="http://schemas.openxmlformats.org/officeDocument/2006/relationships/hyperlink" Target="https://www.strava.com/activities/4041678061" TargetMode="External"/><Relationship Id="rId62" Type="http://schemas.openxmlformats.org/officeDocument/2006/relationships/hyperlink" Target="https://www.strava.com/activities/4139249774" TargetMode="External"/><Relationship Id="rId83" Type="http://schemas.openxmlformats.org/officeDocument/2006/relationships/hyperlink" Target="https://www.strava.com/activities/4230715181" TargetMode="External"/><Relationship Id="rId88" Type="http://schemas.openxmlformats.org/officeDocument/2006/relationships/hyperlink" Target="https://www.strava.com/activities/4252138181" TargetMode="External"/><Relationship Id="rId111" Type="http://schemas.openxmlformats.org/officeDocument/2006/relationships/hyperlink" Target="https://www.strava.com/activities/4369446049" TargetMode="External"/><Relationship Id="rId132" Type="http://schemas.openxmlformats.org/officeDocument/2006/relationships/hyperlink" Target="https://www.strava.com/activities/4485294696" TargetMode="External"/><Relationship Id="rId153" Type="http://schemas.openxmlformats.org/officeDocument/2006/relationships/hyperlink" Target="https://www.strava.com/activities/4719485798" TargetMode="External"/><Relationship Id="rId174" Type="http://schemas.openxmlformats.org/officeDocument/2006/relationships/hyperlink" Target="https://www.strava.com/activities/6208486973" TargetMode="External"/><Relationship Id="rId179" Type="http://schemas.openxmlformats.org/officeDocument/2006/relationships/hyperlink" Target="https://www.strava.com/activities/6258079726" TargetMode="External"/><Relationship Id="rId195" Type="http://schemas.openxmlformats.org/officeDocument/2006/relationships/hyperlink" Target="https://www.strava.com/activities/6297850612" TargetMode="External"/><Relationship Id="rId209" Type="http://schemas.openxmlformats.org/officeDocument/2006/relationships/hyperlink" Target="https://www.strava.com/activities/6370320331" TargetMode="External"/><Relationship Id="rId190" Type="http://schemas.openxmlformats.org/officeDocument/2006/relationships/hyperlink" Target="https://www.strava.com/activities/6294619843" TargetMode="External"/><Relationship Id="rId204" Type="http://schemas.openxmlformats.org/officeDocument/2006/relationships/hyperlink" Target="https://www.strava.com/activities/6332091963" TargetMode="External"/><Relationship Id="rId220" Type="http://schemas.openxmlformats.org/officeDocument/2006/relationships/hyperlink" Target="https://www.strava.com/activities/6416887968" TargetMode="External"/><Relationship Id="rId225" Type="http://schemas.openxmlformats.org/officeDocument/2006/relationships/hyperlink" Target="https://www.strava.com/activities/6438854950" TargetMode="External"/><Relationship Id="rId15" Type="http://schemas.openxmlformats.org/officeDocument/2006/relationships/hyperlink" Target="https://www.strava.com/activities/3916444375" TargetMode="External"/><Relationship Id="rId36" Type="http://schemas.openxmlformats.org/officeDocument/2006/relationships/hyperlink" Target="https://www.strava.com/activities/4015193908" TargetMode="External"/><Relationship Id="rId57" Type="http://schemas.openxmlformats.org/officeDocument/2006/relationships/hyperlink" Target="https://www.strava.com/activities/4114368911" TargetMode="External"/><Relationship Id="rId106" Type="http://schemas.openxmlformats.org/officeDocument/2006/relationships/hyperlink" Target="https://www.strava.com/activities/4348412974" TargetMode="External"/><Relationship Id="rId127" Type="http://schemas.openxmlformats.org/officeDocument/2006/relationships/hyperlink" Target="https://www.strava.com/activities/4459578851" TargetMode="External"/><Relationship Id="rId10" Type="http://schemas.openxmlformats.org/officeDocument/2006/relationships/hyperlink" Target="https://www.strava.com/activities/3894844075" TargetMode="External"/><Relationship Id="rId31" Type="http://schemas.openxmlformats.org/officeDocument/2006/relationships/hyperlink" Target="https://www.strava.com/activities/3993598515" TargetMode="External"/><Relationship Id="rId52" Type="http://schemas.openxmlformats.org/officeDocument/2006/relationships/hyperlink" Target="https://www.strava.com/activities/4094293359" TargetMode="External"/><Relationship Id="rId73" Type="http://schemas.openxmlformats.org/officeDocument/2006/relationships/hyperlink" Target="https://www.strava.com/activities/4178527136" TargetMode="External"/><Relationship Id="rId78" Type="http://schemas.openxmlformats.org/officeDocument/2006/relationships/hyperlink" Target="https://www.strava.com/activities/4206157544" TargetMode="External"/><Relationship Id="rId94" Type="http://schemas.openxmlformats.org/officeDocument/2006/relationships/hyperlink" Target="https://www.strava.com/activities/4287637149" TargetMode="External"/><Relationship Id="rId99" Type="http://schemas.openxmlformats.org/officeDocument/2006/relationships/hyperlink" Target="https://www.fitbit.com/activities/exercise/35664839979" TargetMode="External"/><Relationship Id="rId101" Type="http://schemas.openxmlformats.org/officeDocument/2006/relationships/hyperlink" Target="https://www.strava.com/activities/4333859121" TargetMode="External"/><Relationship Id="rId122" Type="http://schemas.openxmlformats.org/officeDocument/2006/relationships/hyperlink" Target="https://www.strava.com/activities/4432858801" TargetMode="External"/><Relationship Id="rId143" Type="http://schemas.openxmlformats.org/officeDocument/2006/relationships/hyperlink" Target="https://www.strava.com/activities/4546241353" TargetMode="External"/><Relationship Id="rId148" Type="http://schemas.openxmlformats.org/officeDocument/2006/relationships/hyperlink" Target="https://www.strava.com/activities/4617121700" TargetMode="External"/><Relationship Id="rId164" Type="http://schemas.openxmlformats.org/officeDocument/2006/relationships/hyperlink" Target="https://www.strava.com/activities/6147434470" TargetMode="External"/><Relationship Id="rId169" Type="http://schemas.openxmlformats.org/officeDocument/2006/relationships/hyperlink" Target="https://www.strava.com/activities/6173687208" TargetMode="External"/><Relationship Id="rId185" Type="http://schemas.openxmlformats.org/officeDocument/2006/relationships/hyperlink" Target="https://www.strava.com/activities/6275734071" TargetMode="External"/><Relationship Id="rId4" Type="http://schemas.openxmlformats.org/officeDocument/2006/relationships/hyperlink" Target="https://www.strava.com/activities/3865545383" TargetMode="External"/><Relationship Id="rId9" Type="http://schemas.openxmlformats.org/officeDocument/2006/relationships/hyperlink" Target="https://www.strava.com/activities/3882700631" TargetMode="External"/><Relationship Id="rId180" Type="http://schemas.openxmlformats.org/officeDocument/2006/relationships/hyperlink" Target="https://www.strava.com/activities/6263634451" TargetMode="External"/><Relationship Id="rId210" Type="http://schemas.openxmlformats.org/officeDocument/2006/relationships/hyperlink" Target="https://www.strava.com/activities/6375202417" TargetMode="External"/><Relationship Id="rId215" Type="http://schemas.openxmlformats.org/officeDocument/2006/relationships/hyperlink" Target="https://www.strava.com/activities/6396128065" TargetMode="External"/><Relationship Id="rId26" Type="http://schemas.openxmlformats.org/officeDocument/2006/relationships/hyperlink" Target="https://www.strava.com/activities/3970823032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www.strava.com/activities/4070785572" TargetMode="External"/><Relationship Id="rId68" Type="http://schemas.openxmlformats.org/officeDocument/2006/relationships/hyperlink" Target="https://www.strava.com/activities/4165576619" TargetMode="External"/><Relationship Id="rId89" Type="http://schemas.openxmlformats.org/officeDocument/2006/relationships/hyperlink" Target="https://www.strava.com/activities/4262272045" TargetMode="External"/><Relationship Id="rId112" Type="http://schemas.openxmlformats.org/officeDocument/2006/relationships/hyperlink" Target="https://www.strava.com/activities/4375929046" TargetMode="External"/><Relationship Id="rId133" Type="http://schemas.openxmlformats.org/officeDocument/2006/relationships/hyperlink" Target="https://www.strava.com/activities/4487910580" TargetMode="External"/><Relationship Id="rId154" Type="http://schemas.openxmlformats.org/officeDocument/2006/relationships/hyperlink" Target="https://www.strava.com/activities/4773644744" TargetMode="External"/><Relationship Id="rId175" Type="http://schemas.openxmlformats.org/officeDocument/2006/relationships/hyperlink" Target="https://www.strava.com/activities/6219264538" TargetMode="External"/><Relationship Id="rId196" Type="http://schemas.openxmlformats.org/officeDocument/2006/relationships/hyperlink" Target="https://www.strava.com/activities/6303543644" TargetMode="External"/><Relationship Id="rId200" Type="http://schemas.openxmlformats.org/officeDocument/2006/relationships/hyperlink" Target="https://www.strava.com/activities/6360882304" TargetMode="External"/><Relationship Id="rId16" Type="http://schemas.openxmlformats.org/officeDocument/2006/relationships/hyperlink" Target="https://www.strava.com/activities/3924273465" TargetMode="External"/><Relationship Id="rId221" Type="http://schemas.openxmlformats.org/officeDocument/2006/relationships/hyperlink" Target="https://www.strava.com/activities/6035211080" TargetMode="External"/><Relationship Id="rId37" Type="http://schemas.openxmlformats.org/officeDocument/2006/relationships/hyperlink" Target="https://www.strava.com/activities/4020152812" TargetMode="External"/><Relationship Id="rId58" Type="http://schemas.openxmlformats.org/officeDocument/2006/relationships/hyperlink" Target="https://www.strava.com/activities/4125612453" TargetMode="External"/><Relationship Id="rId79" Type="http://schemas.openxmlformats.org/officeDocument/2006/relationships/hyperlink" Target="https://www.strava.com/activities/4211792372" TargetMode="External"/><Relationship Id="rId102" Type="http://schemas.openxmlformats.org/officeDocument/2006/relationships/hyperlink" Target="https://www.strava.com/activities/4325380189" TargetMode="External"/><Relationship Id="rId123" Type="http://schemas.openxmlformats.org/officeDocument/2006/relationships/hyperlink" Target="https://www.strava.com/activities/4443890511" TargetMode="External"/><Relationship Id="rId144" Type="http://schemas.openxmlformats.org/officeDocument/2006/relationships/hyperlink" Target="https://www.strava.com/activities/4551924496" TargetMode="External"/><Relationship Id="rId90" Type="http://schemas.openxmlformats.org/officeDocument/2006/relationships/hyperlink" Target="https://www.strava.com/activities/4260338717" TargetMode="External"/><Relationship Id="rId165" Type="http://schemas.openxmlformats.org/officeDocument/2006/relationships/hyperlink" Target="https://www.strava.com/activities/6154267656" TargetMode="External"/><Relationship Id="rId186" Type="http://schemas.openxmlformats.org/officeDocument/2006/relationships/hyperlink" Target="https://www.strava.com/activities/6272876239" TargetMode="External"/><Relationship Id="rId211" Type="http://schemas.openxmlformats.org/officeDocument/2006/relationships/hyperlink" Target="https://www.strava.com/activities/6380863472" TargetMode="External"/><Relationship Id="rId23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3DD7-72D7-4BA7-8FDC-D29CD59B71A7}">
  <dimension ref="A1:N543"/>
  <sheetViews>
    <sheetView tabSelected="1" topLeftCell="A500" workbookViewId="0">
      <selection activeCell="C523" sqref="C523"/>
    </sheetView>
  </sheetViews>
  <sheetFormatPr defaultRowHeight="14.4" x14ac:dyDescent="0.3"/>
  <cols>
    <col min="1" max="1" width="9.109375" style="3" customWidth="1"/>
    <col min="2" max="2" width="41.21875" customWidth="1"/>
    <col min="3" max="3" width="13.33203125" style="1" customWidth="1"/>
    <col min="4" max="4" width="16.33203125" customWidth="1"/>
    <col min="5" max="5" width="16.88671875" customWidth="1"/>
    <col min="6" max="7" width="12.33203125" customWidth="1"/>
    <col min="8" max="8" width="12.109375" customWidth="1"/>
    <col min="9" max="9" width="16.88671875" customWidth="1"/>
    <col min="10" max="10" width="33.5546875" customWidth="1"/>
    <col min="11" max="11" width="41.6640625" customWidth="1"/>
    <col min="12" max="12" width="10.33203125" customWidth="1"/>
    <col min="13" max="13" width="13.6640625" customWidth="1"/>
    <col min="14" max="14" width="19.77734375" customWidth="1"/>
  </cols>
  <sheetData>
    <row r="1" spans="1:14" x14ac:dyDescent="0.3">
      <c r="A1" s="3" t="s">
        <v>0</v>
      </c>
      <c r="B1" t="s">
        <v>1</v>
      </c>
      <c r="C1" s="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19</v>
      </c>
      <c r="J1" t="s">
        <v>3</v>
      </c>
      <c r="K1" t="s">
        <v>7</v>
      </c>
      <c r="L1" t="s">
        <v>14</v>
      </c>
      <c r="M1" t="s">
        <v>13</v>
      </c>
      <c r="N1" t="s">
        <v>779</v>
      </c>
    </row>
    <row r="2" spans="1:14" x14ac:dyDescent="0.3">
      <c r="A2" s="3">
        <v>44044</v>
      </c>
      <c r="B2" t="s">
        <v>9</v>
      </c>
      <c r="C2" s="1">
        <v>5.22</v>
      </c>
      <c r="D2">
        <f>43*60+6</f>
        <v>2586</v>
      </c>
      <c r="E2">
        <f>8*60+15</f>
        <v>495</v>
      </c>
      <c r="F2">
        <f>8*60+22</f>
        <v>502</v>
      </c>
      <c r="G2">
        <f>7*60+51</f>
        <v>471</v>
      </c>
      <c r="H2">
        <f>8*60+12</f>
        <v>492</v>
      </c>
      <c r="I2">
        <v>48</v>
      </c>
      <c r="J2" t="s">
        <v>12</v>
      </c>
      <c r="K2" s="2" t="s">
        <v>8</v>
      </c>
      <c r="L2">
        <f>COUNTIF($C$2:C2, "&lt;&gt;")</f>
        <v>1</v>
      </c>
      <c r="N2">
        <f t="shared" ref="N2:N33" si="0">I2/C2</f>
        <v>9.1954022988505759</v>
      </c>
    </row>
    <row r="3" spans="1:14" x14ac:dyDescent="0.3">
      <c r="A3" s="3">
        <v>44045</v>
      </c>
      <c r="B3" t="s">
        <v>16</v>
      </c>
      <c r="C3" s="1">
        <v>12.02</v>
      </c>
      <c r="D3">
        <f>1*3600+52*60+48</f>
        <v>6768</v>
      </c>
      <c r="E3">
        <f>9*60+23</f>
        <v>563</v>
      </c>
      <c r="F3">
        <f>9*60+26</f>
        <v>566</v>
      </c>
      <c r="G3">
        <f>9*60+10</f>
        <v>550</v>
      </c>
      <c r="H3">
        <f>9*60+13</f>
        <v>553</v>
      </c>
      <c r="I3">
        <v>281</v>
      </c>
      <c r="J3" t="s">
        <v>17</v>
      </c>
      <c r="K3" s="2" t="s">
        <v>15</v>
      </c>
      <c r="L3">
        <f>COUNTIF($C$2:C3, "&lt;&gt;")</f>
        <v>2</v>
      </c>
      <c r="M3" t="s">
        <v>18</v>
      </c>
      <c r="N3">
        <f t="shared" si="0"/>
        <v>23.377703826955077</v>
      </c>
    </row>
    <row r="4" spans="1:14" x14ac:dyDescent="0.3">
      <c r="A4" s="3">
        <v>44046</v>
      </c>
      <c r="B4" t="s">
        <v>20</v>
      </c>
      <c r="C4" s="1">
        <v>5.0199999999999996</v>
      </c>
      <c r="D4">
        <f>37*60+7</f>
        <v>2227</v>
      </c>
      <c r="E4">
        <f>7*60+24</f>
        <v>444</v>
      </c>
      <c r="F4">
        <f>7*60+6</f>
        <v>426</v>
      </c>
      <c r="G4">
        <f>6*60+50</f>
        <v>410</v>
      </c>
      <c r="H4">
        <f>7*60+29</f>
        <v>449</v>
      </c>
      <c r="I4">
        <v>95</v>
      </c>
      <c r="J4" t="s">
        <v>21</v>
      </c>
      <c r="K4" s="2" t="s">
        <v>28</v>
      </c>
      <c r="L4">
        <f>COUNTIF($C$2:C4, "&lt;&gt;")</f>
        <v>3</v>
      </c>
      <c r="M4" t="s">
        <v>32</v>
      </c>
      <c r="N4">
        <f t="shared" si="0"/>
        <v>18.924302788844624</v>
      </c>
    </row>
    <row r="5" spans="1:14" x14ac:dyDescent="0.3">
      <c r="A5" s="3">
        <v>44047</v>
      </c>
      <c r="B5" t="s">
        <v>29</v>
      </c>
      <c r="C5" s="1">
        <v>3.01</v>
      </c>
      <c r="D5">
        <f>21*60+42</f>
        <v>1302</v>
      </c>
      <c r="E5">
        <f>7*60+11</f>
        <v>431</v>
      </c>
      <c r="F5">
        <f>7*60+9</f>
        <v>429</v>
      </c>
      <c r="G5">
        <f>7*60+10</f>
        <v>430</v>
      </c>
      <c r="H5">
        <f>7*60+14</f>
        <v>434</v>
      </c>
      <c r="I5">
        <v>71</v>
      </c>
      <c r="J5" t="s">
        <v>30</v>
      </c>
      <c r="K5" s="2" t="s">
        <v>31</v>
      </c>
      <c r="L5">
        <f>COUNTIF($C$2:C5, "&lt;&gt;")</f>
        <v>4</v>
      </c>
      <c r="N5">
        <f t="shared" si="0"/>
        <v>23.588039867109636</v>
      </c>
    </row>
    <row r="6" spans="1:14" x14ac:dyDescent="0.3">
      <c r="A6" s="3">
        <v>44048</v>
      </c>
      <c r="B6" t="s">
        <v>33</v>
      </c>
      <c r="C6" s="1">
        <v>3.01</v>
      </c>
      <c r="D6">
        <f>21*60+19</f>
        <v>1279</v>
      </c>
      <c r="E6">
        <f>7*60+4</f>
        <v>424</v>
      </c>
      <c r="F6">
        <f>6*60+41</f>
        <v>401</v>
      </c>
      <c r="G6">
        <f>7*60+21</f>
        <v>441</v>
      </c>
      <c r="H6">
        <f>7*60+4</f>
        <v>424</v>
      </c>
      <c r="I6">
        <v>60</v>
      </c>
      <c r="J6" t="s">
        <v>34</v>
      </c>
      <c r="K6" s="2" t="s">
        <v>35</v>
      </c>
      <c r="L6">
        <f>COUNTIF($C$2:C6, "&lt;&gt;")</f>
        <v>5</v>
      </c>
      <c r="N6">
        <f t="shared" si="0"/>
        <v>19.933554817275748</v>
      </c>
    </row>
    <row r="7" spans="1:14" x14ac:dyDescent="0.3">
      <c r="A7" s="3">
        <v>44049</v>
      </c>
      <c r="B7" t="s">
        <v>37</v>
      </c>
      <c r="C7" s="1">
        <v>3.12</v>
      </c>
      <c r="D7">
        <f>22*60+52</f>
        <v>1372</v>
      </c>
      <c r="E7">
        <f>7*60+20</f>
        <v>440</v>
      </c>
      <c r="F7">
        <f>7*60+16</f>
        <v>436</v>
      </c>
      <c r="G7">
        <f>7*60+20</f>
        <v>440</v>
      </c>
      <c r="H7">
        <f>7*60+23</f>
        <v>443</v>
      </c>
      <c r="I7">
        <v>71</v>
      </c>
      <c r="J7" t="s">
        <v>38</v>
      </c>
      <c r="K7" s="2" t="s">
        <v>40</v>
      </c>
      <c r="L7">
        <f>COUNTIF($C$2:C7, "&lt;&gt;")</f>
        <v>6</v>
      </c>
      <c r="N7">
        <f t="shared" si="0"/>
        <v>22.756410256410255</v>
      </c>
    </row>
    <row r="8" spans="1:14" x14ac:dyDescent="0.3">
      <c r="A8" s="3">
        <v>44050</v>
      </c>
      <c r="B8" t="s">
        <v>41</v>
      </c>
      <c r="C8" s="1">
        <v>3.14</v>
      </c>
      <c r="D8">
        <f>27*60+29</f>
        <v>1649</v>
      </c>
      <c r="E8">
        <f>8*60+44</f>
        <v>524</v>
      </c>
      <c r="F8">
        <f>8*60+31</f>
        <v>511</v>
      </c>
      <c r="G8">
        <f>8*60+36</f>
        <v>516</v>
      </c>
      <c r="H8">
        <f>9*60+2</f>
        <v>542</v>
      </c>
      <c r="I8">
        <v>68</v>
      </c>
      <c r="J8" t="s">
        <v>34</v>
      </c>
      <c r="K8" s="2" t="s">
        <v>39</v>
      </c>
      <c r="L8">
        <f>COUNTIF($C$2:C8, "&lt;&gt;")</f>
        <v>7</v>
      </c>
      <c r="N8">
        <f t="shared" si="0"/>
        <v>21.656050955414013</v>
      </c>
    </row>
    <row r="9" spans="1:14" x14ac:dyDescent="0.3">
      <c r="A9" s="3">
        <v>44051</v>
      </c>
      <c r="B9" t="s">
        <v>9</v>
      </c>
      <c r="C9" s="1">
        <v>5.21</v>
      </c>
      <c r="D9">
        <f>46*60+35</f>
        <v>2795</v>
      </c>
      <c r="E9">
        <f>8*60+56</f>
        <v>536</v>
      </c>
      <c r="F9">
        <f>8*60+12</f>
        <v>492</v>
      </c>
      <c r="G9">
        <f>8*60+41</f>
        <v>521</v>
      </c>
      <c r="H9">
        <f>9*60+11</f>
        <v>551</v>
      </c>
      <c r="I9">
        <v>204</v>
      </c>
      <c r="J9" t="s">
        <v>45</v>
      </c>
      <c r="K9" s="2" t="s">
        <v>44</v>
      </c>
      <c r="L9">
        <f>COUNTIF($C$2:C9, "&lt;&gt;")</f>
        <v>8</v>
      </c>
      <c r="N9">
        <f t="shared" si="0"/>
        <v>39.155470249520157</v>
      </c>
    </row>
    <row r="10" spans="1:14" x14ac:dyDescent="0.3">
      <c r="A10" s="3">
        <v>44052</v>
      </c>
      <c r="C10" s="1">
        <v>12.03</v>
      </c>
      <c r="D10">
        <f>2*3600+1*60+15</f>
        <v>7275</v>
      </c>
      <c r="E10">
        <f>10*60+5</f>
        <v>605</v>
      </c>
      <c r="F10">
        <f>9*60+54</f>
        <v>594</v>
      </c>
      <c r="G10">
        <f>9*60+22</f>
        <v>562</v>
      </c>
      <c r="H10">
        <f>9*60+18</f>
        <v>558</v>
      </c>
      <c r="I10">
        <v>578</v>
      </c>
      <c r="J10" t="s">
        <v>43</v>
      </c>
      <c r="K10" s="2" t="s">
        <v>42</v>
      </c>
      <c r="L10">
        <f>COUNTIF($C$2:C10, "&lt;&gt;")</f>
        <v>9</v>
      </c>
      <c r="N10">
        <f t="shared" si="0"/>
        <v>48.046550290939322</v>
      </c>
    </row>
    <row r="11" spans="1:14" x14ac:dyDescent="0.3">
      <c r="A11" s="3">
        <v>44053</v>
      </c>
      <c r="B11" t="s">
        <v>20</v>
      </c>
      <c r="C11" s="1">
        <v>5.04</v>
      </c>
      <c r="D11">
        <f>40*60+25</f>
        <v>2425</v>
      </c>
      <c r="E11">
        <f>8*60</f>
        <v>480</v>
      </c>
      <c r="F11">
        <f>7*60+35</f>
        <v>455</v>
      </c>
      <c r="G11">
        <f>7*60+36</f>
        <v>456</v>
      </c>
      <c r="H11">
        <f>8*60+10</f>
        <v>490</v>
      </c>
      <c r="I11">
        <v>95</v>
      </c>
      <c r="J11" t="s">
        <v>21</v>
      </c>
      <c r="K11" s="2" t="s">
        <v>46</v>
      </c>
      <c r="L11">
        <f>COUNTIF($C$2:C11, "&lt;&gt;")</f>
        <v>10</v>
      </c>
      <c r="N11">
        <f t="shared" si="0"/>
        <v>18.849206349206348</v>
      </c>
    </row>
    <row r="12" spans="1:14" x14ac:dyDescent="0.3">
      <c r="A12" s="3">
        <v>44054</v>
      </c>
      <c r="B12" t="s">
        <v>47</v>
      </c>
      <c r="C12" s="1">
        <v>3.11</v>
      </c>
      <c r="D12">
        <f>24*60+14</f>
        <v>1454</v>
      </c>
      <c r="E12">
        <f>7*60+46</f>
        <v>466</v>
      </c>
      <c r="F12">
        <f>7*60+47</f>
        <v>467</v>
      </c>
      <c r="G12">
        <f>7*60+42</f>
        <v>462</v>
      </c>
      <c r="H12">
        <f>7*60+50</f>
        <v>470</v>
      </c>
      <c r="I12">
        <v>13</v>
      </c>
      <c r="J12" t="s">
        <v>48</v>
      </c>
      <c r="K12" s="2" t="s">
        <v>49</v>
      </c>
      <c r="L12">
        <f>COUNTIF($C$2:C12, "&lt;&gt;")</f>
        <v>11</v>
      </c>
      <c r="N12">
        <f t="shared" si="0"/>
        <v>4.180064308681672</v>
      </c>
    </row>
    <row r="13" spans="1:14" x14ac:dyDescent="0.3">
      <c r="A13" s="3">
        <v>44055</v>
      </c>
      <c r="B13" t="s">
        <v>33</v>
      </c>
      <c r="C13" s="1">
        <v>3.11</v>
      </c>
      <c r="D13">
        <f>23*60+5</f>
        <v>1385</v>
      </c>
      <c r="E13">
        <f>7*60+24</f>
        <v>444</v>
      </c>
      <c r="F13">
        <f>6*60+56</f>
        <v>416</v>
      </c>
      <c r="G13">
        <f>7*60+20</f>
        <v>440</v>
      </c>
      <c r="H13">
        <f>7*60+56</f>
        <v>476</v>
      </c>
      <c r="I13">
        <v>61</v>
      </c>
      <c r="J13" t="s">
        <v>34</v>
      </c>
      <c r="K13" s="2" t="s">
        <v>50</v>
      </c>
      <c r="L13">
        <f>COUNTIF($C$2:C13, "&lt;&gt;")</f>
        <v>12</v>
      </c>
      <c r="N13">
        <f t="shared" si="0"/>
        <v>19.614147909967848</v>
      </c>
    </row>
    <row r="14" spans="1:14" x14ac:dyDescent="0.3">
      <c r="A14" s="3">
        <v>44056</v>
      </c>
      <c r="B14" t="s">
        <v>37</v>
      </c>
      <c r="C14" s="1">
        <v>3.01</v>
      </c>
      <c r="D14">
        <f>21*60+10</f>
        <v>1270</v>
      </c>
      <c r="E14">
        <f>7*60+1</f>
        <v>421</v>
      </c>
      <c r="F14">
        <f>7*60+14</f>
        <v>434</v>
      </c>
      <c r="G14">
        <f>6*60+51</f>
        <v>411</v>
      </c>
      <c r="H14">
        <f>6*60+58</f>
        <v>418</v>
      </c>
      <c r="I14">
        <v>70</v>
      </c>
      <c r="J14" t="s">
        <v>38</v>
      </c>
      <c r="K14" s="2" t="s">
        <v>51</v>
      </c>
      <c r="L14">
        <f>COUNTIF($C$2:C14, "&lt;&gt;")</f>
        <v>13</v>
      </c>
      <c r="N14">
        <f t="shared" si="0"/>
        <v>23.255813953488374</v>
      </c>
    </row>
    <row r="15" spans="1:14" x14ac:dyDescent="0.3">
      <c r="A15" s="3">
        <v>44057</v>
      </c>
      <c r="B15" t="s">
        <v>53</v>
      </c>
      <c r="C15" s="1">
        <v>3.01</v>
      </c>
      <c r="D15">
        <f>24*60+36</f>
        <v>1476</v>
      </c>
      <c r="E15">
        <f>8*60+9</f>
        <v>489</v>
      </c>
      <c r="F15">
        <f>7*60+55</f>
        <v>475</v>
      </c>
      <c r="G15">
        <f>8*60+3</f>
        <v>483</v>
      </c>
      <c r="H15">
        <f>8*60+30</f>
        <v>510</v>
      </c>
      <c r="I15">
        <v>61</v>
      </c>
      <c r="J15" t="s">
        <v>34</v>
      </c>
      <c r="K15" s="2" t="s">
        <v>52</v>
      </c>
      <c r="L15">
        <f>COUNTIF($C$2:C15, "&lt;&gt;")</f>
        <v>14</v>
      </c>
      <c r="N15">
        <f t="shared" si="0"/>
        <v>20.26578073089701</v>
      </c>
    </row>
    <row r="16" spans="1:14" x14ac:dyDescent="0.3">
      <c r="A16" s="3">
        <v>44058</v>
      </c>
      <c r="B16" t="s">
        <v>9</v>
      </c>
      <c r="C16" s="1">
        <v>6.45</v>
      </c>
      <c r="D16">
        <f>57*60+32</f>
        <v>3452</v>
      </c>
      <c r="E16">
        <f>8*60+55</f>
        <v>535</v>
      </c>
      <c r="F16">
        <f>8*60+50</f>
        <v>530</v>
      </c>
      <c r="G16">
        <f>8*60+53</f>
        <v>533</v>
      </c>
      <c r="H16">
        <f>8*60+53</f>
        <v>533</v>
      </c>
      <c r="I16">
        <v>8</v>
      </c>
      <c r="J16" t="s">
        <v>54</v>
      </c>
      <c r="K16" s="2" t="s">
        <v>55</v>
      </c>
      <c r="L16">
        <f>COUNTIF($C$2:C16, "&lt;&gt;")</f>
        <v>15</v>
      </c>
      <c r="N16">
        <f t="shared" si="0"/>
        <v>1.2403100775193798</v>
      </c>
    </row>
    <row r="17" spans="1:14" x14ac:dyDescent="0.3">
      <c r="A17" s="3">
        <v>44059</v>
      </c>
      <c r="C17" s="1">
        <v>3.16</v>
      </c>
      <c r="D17">
        <f>26*60+28</f>
        <v>1588</v>
      </c>
      <c r="E17">
        <f>8*60+21</f>
        <v>501</v>
      </c>
      <c r="F17">
        <f>8*60+19</f>
        <v>499</v>
      </c>
      <c r="G17">
        <f>8*60+21</f>
        <v>501</v>
      </c>
      <c r="H17">
        <f>8*60+24</f>
        <v>504</v>
      </c>
      <c r="I17">
        <v>151</v>
      </c>
      <c r="J17" t="s">
        <v>56</v>
      </c>
      <c r="K17" s="2" t="s">
        <v>57</v>
      </c>
      <c r="L17">
        <f>COUNTIF($C$2:C17, "&lt;&gt;")</f>
        <v>16</v>
      </c>
      <c r="N17">
        <f t="shared" si="0"/>
        <v>47.784810126582279</v>
      </c>
    </row>
    <row r="18" spans="1:14" x14ac:dyDescent="0.3">
      <c r="A18" s="3">
        <v>44060</v>
      </c>
      <c r="B18" t="s">
        <v>20</v>
      </c>
      <c r="C18" s="1">
        <v>5.01</v>
      </c>
      <c r="D18">
        <f>38*60+48</f>
        <v>2328</v>
      </c>
      <c r="E18">
        <f>7*60+44</f>
        <v>464</v>
      </c>
      <c r="F18">
        <f>7*60+25</f>
        <v>445</v>
      </c>
      <c r="G18">
        <f>7*60+16</f>
        <v>436</v>
      </c>
      <c r="H18">
        <f>8*60+14</f>
        <v>494</v>
      </c>
      <c r="I18">
        <v>95</v>
      </c>
      <c r="J18" t="s">
        <v>21</v>
      </c>
      <c r="K18" s="2" t="s">
        <v>58</v>
      </c>
      <c r="L18">
        <f>COUNTIF($C$2:C18, "&lt;&gt;")</f>
        <v>17</v>
      </c>
      <c r="N18">
        <f t="shared" si="0"/>
        <v>18.962075848303392</v>
      </c>
    </row>
    <row r="19" spans="1:14" x14ac:dyDescent="0.3">
      <c r="A19" s="3">
        <v>44061</v>
      </c>
      <c r="B19" t="s">
        <v>47</v>
      </c>
      <c r="C19" s="1">
        <v>3.11</v>
      </c>
      <c r="D19">
        <f>23*60+2</f>
        <v>1382</v>
      </c>
      <c r="E19">
        <f>7*60+24</f>
        <v>444</v>
      </c>
      <c r="F19">
        <f>7*60+29</f>
        <v>449</v>
      </c>
      <c r="G19">
        <f>7*60+26</f>
        <v>446</v>
      </c>
      <c r="H19">
        <f>7*60+19</f>
        <v>439</v>
      </c>
      <c r="I19">
        <v>10</v>
      </c>
      <c r="J19" t="s">
        <v>48</v>
      </c>
      <c r="K19" s="2" t="s">
        <v>59</v>
      </c>
      <c r="L19">
        <f>COUNTIF($C$2:C19, "&lt;&gt;")</f>
        <v>18</v>
      </c>
      <c r="N19">
        <f t="shared" si="0"/>
        <v>3.2154340836012865</v>
      </c>
    </row>
    <row r="20" spans="1:14" x14ac:dyDescent="0.3">
      <c r="A20" s="3">
        <v>44062</v>
      </c>
      <c r="B20" t="s">
        <v>33</v>
      </c>
      <c r="C20" s="1">
        <v>3.12</v>
      </c>
      <c r="D20">
        <f>22*60+48</f>
        <v>1368</v>
      </c>
      <c r="E20">
        <f>7*60+18</f>
        <v>438</v>
      </c>
      <c r="F20">
        <f>6*60+56</f>
        <v>416</v>
      </c>
      <c r="G20">
        <f>7*60+16</f>
        <v>436</v>
      </c>
      <c r="H20">
        <f>7*60+40</f>
        <v>460</v>
      </c>
      <c r="I20">
        <v>61</v>
      </c>
      <c r="J20" t="s">
        <v>34</v>
      </c>
      <c r="K20" s="2" t="s">
        <v>60</v>
      </c>
      <c r="L20">
        <f>COUNTIF($C$2:C20, "&lt;&gt;")</f>
        <v>19</v>
      </c>
      <c r="N20">
        <f t="shared" si="0"/>
        <v>19.551282051282051</v>
      </c>
    </row>
    <row r="21" spans="1:14" x14ac:dyDescent="0.3">
      <c r="A21" s="3">
        <v>44063</v>
      </c>
      <c r="B21" t="s">
        <v>37</v>
      </c>
      <c r="C21" s="1">
        <v>3.12</v>
      </c>
      <c r="D21">
        <f>21*60+14</f>
        <v>1274</v>
      </c>
      <c r="E21">
        <f>6*60+48</f>
        <v>408</v>
      </c>
      <c r="F21">
        <f>6*60+40</f>
        <v>400</v>
      </c>
      <c r="G21">
        <f>6*60+42</f>
        <v>402</v>
      </c>
      <c r="H21">
        <f>7*60+2</f>
        <v>422</v>
      </c>
      <c r="I21">
        <v>71</v>
      </c>
      <c r="J21" t="s">
        <v>38</v>
      </c>
      <c r="K21" s="2" t="s">
        <v>61</v>
      </c>
      <c r="L21">
        <f>COUNTIF($C$2:C21, "&lt;&gt;")</f>
        <v>20</v>
      </c>
      <c r="M21" t="s">
        <v>115</v>
      </c>
      <c r="N21">
        <f t="shared" si="0"/>
        <v>22.756410256410255</v>
      </c>
    </row>
    <row r="22" spans="1:14" x14ac:dyDescent="0.3">
      <c r="A22" s="3">
        <v>44064</v>
      </c>
      <c r="C22" s="1">
        <v>3.11</v>
      </c>
      <c r="D22">
        <f>26*60+24</f>
        <v>1584</v>
      </c>
      <c r="E22">
        <f>8*60+29</f>
        <v>509</v>
      </c>
      <c r="F22">
        <f>8*60+10</f>
        <v>490</v>
      </c>
      <c r="G22">
        <f>8*60+28</f>
        <v>508</v>
      </c>
      <c r="H22">
        <f>8*60+50</f>
        <v>530</v>
      </c>
      <c r="I22">
        <v>149</v>
      </c>
      <c r="J22" t="s">
        <v>56</v>
      </c>
      <c r="K22" s="2" t="s">
        <v>62</v>
      </c>
      <c r="L22">
        <f>COUNTIF($C$2:C22, "&lt;&gt;")</f>
        <v>21</v>
      </c>
      <c r="N22">
        <f t="shared" si="0"/>
        <v>47.909967845659168</v>
      </c>
    </row>
    <row r="23" spans="1:14" x14ac:dyDescent="0.3">
      <c r="A23" s="3">
        <v>44065</v>
      </c>
      <c r="B23" t="s">
        <v>33</v>
      </c>
      <c r="C23" s="1">
        <v>13.17</v>
      </c>
      <c r="D23">
        <f>1*3600+52*60+48</f>
        <v>6768</v>
      </c>
      <c r="E23">
        <f>8*60+34</f>
        <v>514</v>
      </c>
      <c r="F23">
        <f>8*60+26</f>
        <v>506</v>
      </c>
      <c r="G23">
        <f>8*60+18</f>
        <v>498</v>
      </c>
      <c r="H23">
        <f>8*60+39</f>
        <v>519</v>
      </c>
      <c r="I23">
        <v>352</v>
      </c>
      <c r="J23" t="s">
        <v>64</v>
      </c>
      <c r="K23" s="2" t="s">
        <v>63</v>
      </c>
      <c r="L23">
        <f>COUNTIF($C$2:C23, "&lt;&gt;")</f>
        <v>22</v>
      </c>
      <c r="N23">
        <f t="shared" si="0"/>
        <v>26.727410782080486</v>
      </c>
    </row>
    <row r="24" spans="1:14" x14ac:dyDescent="0.3">
      <c r="A24" s="3">
        <v>44066</v>
      </c>
      <c r="B24" t="s">
        <v>9</v>
      </c>
      <c r="C24" s="1">
        <v>3.12</v>
      </c>
      <c r="D24">
        <f>22*60+28</f>
        <v>1348</v>
      </c>
      <c r="E24">
        <f>7*60+12</f>
        <v>432</v>
      </c>
      <c r="F24">
        <f>7*60+2</f>
        <v>422</v>
      </c>
      <c r="G24">
        <f>7*60+8</f>
        <v>428</v>
      </c>
      <c r="H24">
        <f>7*60+24</f>
        <v>444</v>
      </c>
      <c r="I24">
        <v>46</v>
      </c>
      <c r="J24" t="s">
        <v>65</v>
      </c>
      <c r="K24" s="2" t="s">
        <v>66</v>
      </c>
      <c r="L24">
        <f>COUNTIF($C$2:C24, "&lt;&gt;")</f>
        <v>23</v>
      </c>
      <c r="N24">
        <f t="shared" si="0"/>
        <v>14.743589743589743</v>
      </c>
    </row>
    <row r="25" spans="1:14" x14ac:dyDescent="0.3">
      <c r="A25" s="3">
        <v>44067</v>
      </c>
      <c r="B25" t="s">
        <v>67</v>
      </c>
      <c r="C25" s="1">
        <v>8.25</v>
      </c>
      <c r="D25">
        <f>1*3600+9*60+18</f>
        <v>4158</v>
      </c>
      <c r="E25">
        <f>8*60+24</f>
        <v>504</v>
      </c>
      <c r="F25">
        <f>7*60+27</f>
        <v>447</v>
      </c>
      <c r="G25">
        <f>7*60+20</f>
        <v>440</v>
      </c>
      <c r="H25">
        <f>7*60+46</f>
        <v>466</v>
      </c>
      <c r="I25">
        <v>250</v>
      </c>
      <c r="J25" t="s">
        <v>68</v>
      </c>
      <c r="K25" s="2" t="s">
        <v>69</v>
      </c>
      <c r="L25">
        <f>COUNTIF($C$2:C25, "&lt;&gt;")</f>
        <v>24</v>
      </c>
      <c r="N25">
        <f t="shared" si="0"/>
        <v>30.303030303030305</v>
      </c>
    </row>
    <row r="26" spans="1:14" x14ac:dyDescent="0.3">
      <c r="A26" s="3">
        <v>44068</v>
      </c>
      <c r="B26" t="s">
        <v>72</v>
      </c>
      <c r="C26" s="1">
        <v>3.01</v>
      </c>
      <c r="D26">
        <f>25*60+8</f>
        <v>1508</v>
      </c>
      <c r="E26">
        <f>8*60+20</f>
        <v>500</v>
      </c>
      <c r="F26">
        <f>8*60+24</f>
        <v>504</v>
      </c>
      <c r="G26">
        <f>8*60+10</f>
        <v>490</v>
      </c>
      <c r="H26">
        <f>8*60+25</f>
        <v>505</v>
      </c>
      <c r="I26">
        <v>139</v>
      </c>
      <c r="J26" t="s">
        <v>71</v>
      </c>
      <c r="K26" s="2" t="s">
        <v>70</v>
      </c>
      <c r="L26">
        <f>COUNTIF($C$2:C26, "&lt;&gt;")</f>
        <v>25</v>
      </c>
      <c r="N26">
        <f t="shared" si="0"/>
        <v>46.179401993355484</v>
      </c>
    </row>
    <row r="27" spans="1:14" x14ac:dyDescent="0.3">
      <c r="A27" s="3">
        <v>44069</v>
      </c>
      <c r="B27" t="s">
        <v>33</v>
      </c>
      <c r="C27" s="1">
        <v>3.13</v>
      </c>
      <c r="D27">
        <f>22*60+52</f>
        <v>1372</v>
      </c>
      <c r="E27">
        <f>7*60+17</f>
        <v>437</v>
      </c>
      <c r="F27">
        <f>6*60+59</f>
        <v>419</v>
      </c>
      <c r="G27">
        <f>7*60+15</f>
        <v>435</v>
      </c>
      <c r="H27">
        <f>7*60+36</f>
        <v>456</v>
      </c>
      <c r="I27">
        <v>71</v>
      </c>
      <c r="J27" t="s">
        <v>34</v>
      </c>
      <c r="K27" s="2" t="s">
        <v>73</v>
      </c>
      <c r="L27">
        <f>COUNTIF($C$2:C27, "&lt;&gt;")</f>
        <v>26</v>
      </c>
      <c r="N27">
        <f t="shared" si="0"/>
        <v>22.683706070287542</v>
      </c>
    </row>
    <row r="28" spans="1:14" x14ac:dyDescent="0.3">
      <c r="A28" s="3">
        <v>44070</v>
      </c>
      <c r="B28" t="s">
        <v>37</v>
      </c>
      <c r="C28" s="1">
        <v>3.12</v>
      </c>
      <c r="D28">
        <f>22*60+50</f>
        <v>1370</v>
      </c>
      <c r="E28">
        <f>7*60+19</f>
        <v>439</v>
      </c>
      <c r="F28">
        <f>7*60+5</f>
        <v>425</v>
      </c>
      <c r="G28">
        <f>7*60+12</f>
        <v>432</v>
      </c>
      <c r="H28">
        <f>7*60+34</f>
        <v>454</v>
      </c>
      <c r="I28">
        <v>71</v>
      </c>
      <c r="J28" t="s">
        <v>38</v>
      </c>
      <c r="K28" s="2" t="s">
        <v>74</v>
      </c>
      <c r="L28">
        <f>COUNTIF($C$2:C28, "&lt;&gt;")</f>
        <v>27</v>
      </c>
      <c r="N28">
        <f t="shared" si="0"/>
        <v>22.756410256410255</v>
      </c>
    </row>
    <row r="29" spans="1:14" x14ac:dyDescent="0.3">
      <c r="A29" s="3">
        <v>44071</v>
      </c>
      <c r="B29" t="s">
        <v>72</v>
      </c>
      <c r="C29" s="1">
        <v>3.01</v>
      </c>
      <c r="D29">
        <f>24*60+51</f>
        <v>1491</v>
      </c>
      <c r="E29">
        <f>8*60+14</f>
        <v>494</v>
      </c>
      <c r="F29">
        <f>8*60+2</f>
        <v>482</v>
      </c>
      <c r="G29">
        <f>8*60+12</f>
        <v>492</v>
      </c>
      <c r="H29">
        <f>8*60+27</f>
        <v>507</v>
      </c>
      <c r="I29">
        <v>140</v>
      </c>
      <c r="J29" t="s">
        <v>71</v>
      </c>
      <c r="K29" s="2" t="s">
        <v>75</v>
      </c>
      <c r="L29">
        <f>COUNTIF($C$2:C29, "&lt;&gt;")</f>
        <v>28</v>
      </c>
      <c r="N29">
        <f t="shared" si="0"/>
        <v>46.511627906976749</v>
      </c>
    </row>
    <row r="30" spans="1:14" x14ac:dyDescent="0.3">
      <c r="A30" s="3">
        <v>44072</v>
      </c>
      <c r="C30" s="1">
        <v>3.11</v>
      </c>
      <c r="D30">
        <f>26*60+20</f>
        <v>1580</v>
      </c>
      <c r="E30">
        <f>8*60+27</f>
        <v>507</v>
      </c>
      <c r="F30">
        <f>8*60+7</f>
        <v>487</v>
      </c>
      <c r="G30">
        <f>8*60+36</f>
        <v>516</v>
      </c>
      <c r="H30">
        <f>8*60+38</f>
        <v>518</v>
      </c>
      <c r="I30">
        <v>171</v>
      </c>
      <c r="J30" t="s">
        <v>56</v>
      </c>
      <c r="K30" s="2" t="s">
        <v>76</v>
      </c>
      <c r="L30">
        <f>COUNTIF($C$2:C30, "&lt;&gt;")</f>
        <v>29</v>
      </c>
      <c r="N30">
        <f t="shared" si="0"/>
        <v>54.983922829581999</v>
      </c>
    </row>
    <row r="31" spans="1:14" x14ac:dyDescent="0.3">
      <c r="A31" s="3">
        <v>44073</v>
      </c>
      <c r="B31" t="s">
        <v>16</v>
      </c>
      <c r="C31" s="1">
        <v>6.13</v>
      </c>
      <c r="D31">
        <f>54*60+24</f>
        <v>3264</v>
      </c>
      <c r="E31">
        <f>8*60+52</f>
        <v>532</v>
      </c>
      <c r="F31">
        <f>9*60+28</f>
        <v>568</v>
      </c>
      <c r="G31">
        <f>8*60+58</f>
        <v>538</v>
      </c>
      <c r="H31">
        <f>8*60+47</f>
        <v>527</v>
      </c>
      <c r="I31">
        <v>231</v>
      </c>
      <c r="J31" t="s">
        <v>77</v>
      </c>
      <c r="K31" s="2" t="s">
        <v>78</v>
      </c>
      <c r="L31">
        <f>COUNTIF($C$2:C31, "&lt;&gt;")</f>
        <v>30</v>
      </c>
      <c r="M31" t="s">
        <v>18</v>
      </c>
      <c r="N31">
        <f t="shared" si="0"/>
        <v>37.68352365415987</v>
      </c>
    </row>
    <row r="32" spans="1:14" x14ac:dyDescent="0.3">
      <c r="A32" s="3">
        <v>44074</v>
      </c>
      <c r="B32" t="s">
        <v>20</v>
      </c>
      <c r="C32" s="1">
        <v>5.0999999999999996</v>
      </c>
      <c r="D32">
        <f>37*60+35</f>
        <v>2255</v>
      </c>
      <c r="E32">
        <f>7*60+21</f>
        <v>441</v>
      </c>
      <c r="F32">
        <f>7*60+10</f>
        <v>430</v>
      </c>
      <c r="G32">
        <f>7*60+8</f>
        <v>428</v>
      </c>
      <c r="H32">
        <f>7*60+15</f>
        <v>435</v>
      </c>
      <c r="I32">
        <v>94</v>
      </c>
      <c r="J32" t="s">
        <v>21</v>
      </c>
      <c r="K32" s="2" t="s">
        <v>79</v>
      </c>
      <c r="L32">
        <f>COUNTIF($C$2:C32, "&lt;&gt;")</f>
        <v>31</v>
      </c>
      <c r="N32">
        <f t="shared" si="0"/>
        <v>18.43137254901961</v>
      </c>
    </row>
    <row r="33" spans="1:14" x14ac:dyDescent="0.3">
      <c r="A33" s="3">
        <v>44075</v>
      </c>
      <c r="B33" t="s">
        <v>81</v>
      </c>
      <c r="C33" s="1">
        <v>3.01</v>
      </c>
      <c r="D33">
        <f>24*60+38</f>
        <v>1478</v>
      </c>
      <c r="E33">
        <f>8*60+10</f>
        <v>490</v>
      </c>
      <c r="F33">
        <f>8*60+9</f>
        <v>489</v>
      </c>
      <c r="G33">
        <f>8*60+21</f>
        <v>501</v>
      </c>
      <c r="H33">
        <f>8*60</f>
        <v>480</v>
      </c>
      <c r="I33">
        <v>0</v>
      </c>
      <c r="J33" t="s">
        <v>48</v>
      </c>
      <c r="K33" s="2" t="s">
        <v>80</v>
      </c>
      <c r="L33">
        <f>COUNTIF($C$2:C33, "&lt;&gt;")</f>
        <v>32</v>
      </c>
      <c r="N33">
        <f t="shared" si="0"/>
        <v>0</v>
      </c>
    </row>
    <row r="34" spans="1:14" x14ac:dyDescent="0.3">
      <c r="A34" s="3">
        <v>44076</v>
      </c>
      <c r="B34" t="s">
        <v>33</v>
      </c>
      <c r="C34" s="1">
        <v>3.11</v>
      </c>
      <c r="D34">
        <f>23*60+4</f>
        <v>1384</v>
      </c>
      <c r="E34">
        <f>7*60+24</f>
        <v>444</v>
      </c>
      <c r="F34">
        <f>7*60+1</f>
        <v>421</v>
      </c>
      <c r="G34">
        <f>7*60+19</f>
        <v>439</v>
      </c>
      <c r="H34">
        <f>7*60+48</f>
        <v>468</v>
      </c>
      <c r="I34">
        <v>60</v>
      </c>
      <c r="J34" t="s">
        <v>34</v>
      </c>
      <c r="K34" s="2" t="s">
        <v>82</v>
      </c>
      <c r="L34">
        <f>COUNTIF($C$2:C34, "&lt;&gt;")</f>
        <v>33</v>
      </c>
      <c r="N34">
        <f t="shared" ref="N34:N65" si="1">I34/C34</f>
        <v>19.292604501607716</v>
      </c>
    </row>
    <row r="35" spans="1:14" x14ac:dyDescent="0.3">
      <c r="A35" s="3">
        <v>44077</v>
      </c>
      <c r="B35" t="s">
        <v>37</v>
      </c>
      <c r="C35" s="1">
        <v>3.01</v>
      </c>
      <c r="D35">
        <f>21*60+44</f>
        <v>1304</v>
      </c>
      <c r="E35">
        <f>7*60+13</f>
        <v>433</v>
      </c>
      <c r="F35">
        <f>6*60+45</f>
        <v>405</v>
      </c>
      <c r="G35">
        <f>7*60+13</f>
        <v>433</v>
      </c>
      <c r="H35">
        <f>7*60+38</f>
        <v>458</v>
      </c>
      <c r="I35">
        <v>71</v>
      </c>
      <c r="J35" t="s">
        <v>38</v>
      </c>
      <c r="K35" s="2" t="s">
        <v>83</v>
      </c>
      <c r="L35">
        <f>COUNTIF($C$2:C35, "&lt;&gt;")</f>
        <v>34</v>
      </c>
      <c r="N35">
        <f t="shared" si="1"/>
        <v>23.588039867109636</v>
      </c>
    </row>
    <row r="36" spans="1:14" x14ac:dyDescent="0.3">
      <c r="A36" s="3">
        <v>44078</v>
      </c>
      <c r="B36" t="s">
        <v>72</v>
      </c>
      <c r="C36" s="1">
        <v>3.02</v>
      </c>
      <c r="D36">
        <f>24*60+47</f>
        <v>1487</v>
      </c>
      <c r="E36">
        <f>8*60+11</f>
        <v>491</v>
      </c>
      <c r="F36">
        <f>8*60+17</f>
        <v>497</v>
      </c>
      <c r="G36">
        <f>8*60+9</f>
        <v>489</v>
      </c>
      <c r="H36">
        <f>8*60+6</f>
        <v>486</v>
      </c>
      <c r="I36">
        <v>141</v>
      </c>
      <c r="J36" t="s">
        <v>71</v>
      </c>
      <c r="K36" s="2" t="s">
        <v>84</v>
      </c>
      <c r="L36">
        <f>COUNTIF($C$2:C36, "&lt;&gt;")</f>
        <v>35</v>
      </c>
      <c r="N36">
        <f t="shared" si="1"/>
        <v>46.688741721854306</v>
      </c>
    </row>
    <row r="37" spans="1:14" x14ac:dyDescent="0.3">
      <c r="A37" s="3">
        <v>44079</v>
      </c>
      <c r="B37" t="s">
        <v>9</v>
      </c>
      <c r="C37" s="1">
        <v>6.62</v>
      </c>
      <c r="D37">
        <f>59*60+36</f>
        <v>3576</v>
      </c>
      <c r="E37">
        <f>9*60</f>
        <v>540</v>
      </c>
      <c r="F37">
        <f>8*60+39</f>
        <v>519</v>
      </c>
      <c r="G37">
        <f>8*60+46</f>
        <v>526</v>
      </c>
      <c r="H37">
        <f>9*60+4</f>
        <v>544</v>
      </c>
      <c r="I37">
        <v>79</v>
      </c>
      <c r="J37" t="s">
        <v>54</v>
      </c>
      <c r="K37" s="2" t="s">
        <v>85</v>
      </c>
      <c r="L37">
        <f>COUNTIF($C$2:C37, "&lt;&gt;")</f>
        <v>36</v>
      </c>
      <c r="N37">
        <f t="shared" si="1"/>
        <v>11.933534743202417</v>
      </c>
    </row>
    <row r="38" spans="1:14" x14ac:dyDescent="0.3">
      <c r="A38" s="3">
        <v>44080</v>
      </c>
      <c r="C38" s="1">
        <v>7.62</v>
      </c>
      <c r="D38">
        <f>1*3600+10*60+25</f>
        <v>4225</v>
      </c>
      <c r="E38">
        <f>9*60+14</f>
        <v>554</v>
      </c>
      <c r="F38">
        <f>9*60+22</f>
        <v>562</v>
      </c>
      <c r="G38">
        <f>9*60+40</f>
        <v>580</v>
      </c>
      <c r="H38">
        <f>9*60+38</f>
        <v>578</v>
      </c>
      <c r="I38">
        <v>250</v>
      </c>
      <c r="J38" t="s">
        <v>17</v>
      </c>
      <c r="K38" s="2" t="s">
        <v>86</v>
      </c>
      <c r="L38">
        <f>COUNTIF($C$2:C38, "&lt;&gt;")</f>
        <v>37</v>
      </c>
      <c r="M38" t="s">
        <v>18</v>
      </c>
      <c r="N38">
        <f t="shared" si="1"/>
        <v>32.808398950131235</v>
      </c>
    </row>
    <row r="39" spans="1:14" x14ac:dyDescent="0.3">
      <c r="A39" s="3">
        <v>44081</v>
      </c>
      <c r="B39" t="s">
        <v>20</v>
      </c>
      <c r="C39" s="1">
        <v>5.01</v>
      </c>
      <c r="D39">
        <f>40*60+40</f>
        <v>2440</v>
      </c>
      <c r="E39">
        <f>8*60+7</f>
        <v>487</v>
      </c>
      <c r="F39">
        <f>8*60+26</f>
        <v>506</v>
      </c>
      <c r="G39">
        <f>8*60+8</f>
        <v>488</v>
      </c>
      <c r="H39">
        <f>8*60+32</f>
        <v>512</v>
      </c>
      <c r="I39">
        <v>95</v>
      </c>
      <c r="J39" t="s">
        <v>21</v>
      </c>
      <c r="K39" s="2" t="s">
        <v>87</v>
      </c>
      <c r="L39">
        <f>COUNTIF($C$2:C39, "&lt;&gt;")</f>
        <v>38</v>
      </c>
      <c r="N39">
        <f t="shared" si="1"/>
        <v>18.962075848303392</v>
      </c>
    </row>
    <row r="40" spans="1:14" x14ac:dyDescent="0.3">
      <c r="A40" s="3">
        <v>44082</v>
      </c>
      <c r="B40" t="s">
        <v>81</v>
      </c>
      <c r="C40" s="1">
        <v>3.01</v>
      </c>
      <c r="D40">
        <f>25*60+41</f>
        <v>1541</v>
      </c>
      <c r="E40">
        <f>8*60+32</f>
        <v>512</v>
      </c>
      <c r="F40">
        <f>8*60+50</f>
        <v>530</v>
      </c>
      <c r="G40">
        <f>8*60+32</f>
        <v>512</v>
      </c>
      <c r="H40">
        <f>8*60+12</f>
        <v>492</v>
      </c>
      <c r="I40">
        <v>7</v>
      </c>
      <c r="J40" t="s">
        <v>48</v>
      </c>
      <c r="K40" s="2" t="s">
        <v>88</v>
      </c>
      <c r="L40">
        <f>COUNTIF($C$2:C40, "&lt;&gt;")</f>
        <v>39</v>
      </c>
      <c r="N40">
        <f t="shared" si="1"/>
        <v>2.3255813953488373</v>
      </c>
    </row>
    <row r="41" spans="1:14" x14ac:dyDescent="0.3">
      <c r="A41" s="3">
        <v>44083</v>
      </c>
      <c r="B41" t="s">
        <v>33</v>
      </c>
      <c r="C41" s="1">
        <v>3.11</v>
      </c>
      <c r="D41">
        <f>22*60+5</f>
        <v>1325</v>
      </c>
      <c r="E41">
        <f>7*60+6</f>
        <v>426</v>
      </c>
      <c r="F41">
        <f>6*60+35</f>
        <v>395</v>
      </c>
      <c r="G41">
        <f>7*60+5</f>
        <v>425</v>
      </c>
      <c r="H41">
        <f>7*60+27</f>
        <v>447</v>
      </c>
      <c r="I41">
        <v>61</v>
      </c>
      <c r="J41" t="s">
        <v>34</v>
      </c>
      <c r="K41" s="2" t="s">
        <v>89</v>
      </c>
      <c r="L41">
        <f>COUNTIF($C$2:C41, "&lt;&gt;")</f>
        <v>40</v>
      </c>
      <c r="N41">
        <f t="shared" si="1"/>
        <v>19.614147909967848</v>
      </c>
    </row>
    <row r="42" spans="1:14" x14ac:dyDescent="0.3">
      <c r="A42" s="3">
        <v>44084</v>
      </c>
      <c r="B42" t="s">
        <v>37</v>
      </c>
      <c r="C42" s="1">
        <v>3.11</v>
      </c>
      <c r="D42">
        <f>21*60+26</f>
        <v>1286</v>
      </c>
      <c r="E42">
        <f>6*60+53</f>
        <v>413</v>
      </c>
      <c r="F42">
        <f>6*60+47</f>
        <v>407</v>
      </c>
      <c r="G42">
        <f>6*60+52</f>
        <v>412</v>
      </c>
      <c r="H42">
        <f>6*60+56</f>
        <v>416</v>
      </c>
      <c r="I42">
        <v>70</v>
      </c>
      <c r="J42" t="s">
        <v>38</v>
      </c>
      <c r="K42" s="2" t="s">
        <v>90</v>
      </c>
      <c r="L42">
        <f>COUNTIF($C$2:C42, "&lt;&gt;")</f>
        <v>41</v>
      </c>
      <c r="N42">
        <f t="shared" si="1"/>
        <v>22.508038585209004</v>
      </c>
    </row>
    <row r="43" spans="1:14" x14ac:dyDescent="0.3">
      <c r="A43" s="3">
        <v>44085</v>
      </c>
      <c r="B43" t="s">
        <v>93</v>
      </c>
      <c r="C43" s="1">
        <v>9.08</v>
      </c>
      <c r="D43">
        <f>1*3600+22*60+29</f>
        <v>4949</v>
      </c>
      <c r="E43">
        <f>9*60+5</f>
        <v>545</v>
      </c>
      <c r="F43">
        <f>9*60+21</f>
        <v>561</v>
      </c>
      <c r="G43">
        <f>8*60+39</f>
        <v>519</v>
      </c>
      <c r="H43">
        <f>9*60+19</f>
        <v>559</v>
      </c>
      <c r="I43">
        <v>393</v>
      </c>
      <c r="J43" t="s">
        <v>91</v>
      </c>
      <c r="K43" s="2" t="s">
        <v>92</v>
      </c>
      <c r="L43">
        <f>COUNTIF($C$2:C43, "&lt;&gt;")</f>
        <v>42</v>
      </c>
      <c r="N43">
        <f t="shared" si="1"/>
        <v>43.281938325991192</v>
      </c>
    </row>
    <row r="44" spans="1:14" x14ac:dyDescent="0.3">
      <c r="A44" s="3">
        <v>44086</v>
      </c>
      <c r="B44" t="s">
        <v>9</v>
      </c>
      <c r="C44" s="1">
        <v>6.22</v>
      </c>
      <c r="D44">
        <f>57*60+44</f>
        <v>3464</v>
      </c>
      <c r="E44">
        <f>9*60+17</f>
        <v>557</v>
      </c>
      <c r="F44">
        <f>9*60+46</f>
        <v>586</v>
      </c>
      <c r="G44">
        <f>9*60+33</f>
        <v>573</v>
      </c>
      <c r="H44">
        <f>9*60+26</f>
        <v>566</v>
      </c>
      <c r="I44">
        <v>160</v>
      </c>
      <c r="J44" t="s">
        <v>94</v>
      </c>
      <c r="K44" s="2" t="s">
        <v>95</v>
      </c>
      <c r="L44">
        <f>COUNTIF($C$2:C44, "&lt;&gt;")</f>
        <v>43</v>
      </c>
      <c r="N44">
        <f t="shared" si="1"/>
        <v>25.723472668810292</v>
      </c>
    </row>
    <row r="45" spans="1:14" x14ac:dyDescent="0.3">
      <c r="A45" s="3">
        <v>44087</v>
      </c>
      <c r="B45" t="s">
        <v>97</v>
      </c>
      <c r="C45" s="1">
        <v>4.76</v>
      </c>
      <c r="D45">
        <f>36*60+36</f>
        <v>2196</v>
      </c>
      <c r="E45">
        <f>7*60+41</f>
        <v>461</v>
      </c>
      <c r="F45">
        <f>8*60+19</f>
        <v>499</v>
      </c>
      <c r="G45">
        <f>7*60+34</f>
        <v>454</v>
      </c>
      <c r="H45">
        <f>7*60+36</f>
        <v>456</v>
      </c>
      <c r="I45">
        <v>100</v>
      </c>
      <c r="J45" t="s">
        <v>97</v>
      </c>
      <c r="K45" s="2" t="s">
        <v>96</v>
      </c>
      <c r="L45">
        <f>COUNTIF($C$2:C45, "&lt;&gt;")</f>
        <v>44</v>
      </c>
      <c r="N45">
        <f t="shared" si="1"/>
        <v>21.008403361344538</v>
      </c>
    </row>
    <row r="46" spans="1:14" x14ac:dyDescent="0.3">
      <c r="A46" s="3">
        <v>44088</v>
      </c>
      <c r="B46" t="s">
        <v>20</v>
      </c>
      <c r="C46" s="1">
        <v>14.18</v>
      </c>
      <c r="D46">
        <f>1*3600+56*60+13</f>
        <v>6973</v>
      </c>
      <c r="E46">
        <f>8*60+12</f>
        <v>492</v>
      </c>
      <c r="F46">
        <f>8*60+16</f>
        <v>496</v>
      </c>
      <c r="G46">
        <f>7*60+46</f>
        <v>466</v>
      </c>
      <c r="H46">
        <f>8*60+24</f>
        <v>504</v>
      </c>
      <c r="I46">
        <v>252</v>
      </c>
      <c r="J46" t="s">
        <v>21</v>
      </c>
      <c r="K46" s="2" t="s">
        <v>98</v>
      </c>
      <c r="L46">
        <f>COUNTIF($C$2:C46, "&lt;&gt;")</f>
        <v>45</v>
      </c>
      <c r="N46">
        <f t="shared" si="1"/>
        <v>17.77150916784203</v>
      </c>
    </row>
    <row r="47" spans="1:14" x14ac:dyDescent="0.3">
      <c r="A47" s="3">
        <v>44089</v>
      </c>
      <c r="B47" t="s">
        <v>72</v>
      </c>
      <c r="C47" s="1">
        <v>3.11</v>
      </c>
      <c r="D47">
        <f>26*60+4</f>
        <v>1564</v>
      </c>
      <c r="E47">
        <f>8*60+22</f>
        <v>502</v>
      </c>
      <c r="F47">
        <f>8*60+34</f>
        <v>514</v>
      </c>
      <c r="G47">
        <f>8*60+19</f>
        <v>499</v>
      </c>
      <c r="H47">
        <f>8*60+14</f>
        <v>494</v>
      </c>
      <c r="I47">
        <v>141</v>
      </c>
      <c r="J47" t="s">
        <v>71</v>
      </c>
      <c r="K47" s="2" t="s">
        <v>99</v>
      </c>
      <c r="L47">
        <f>COUNTIF($C$2:C47, "&lt;&gt;")</f>
        <v>46</v>
      </c>
      <c r="N47">
        <f t="shared" si="1"/>
        <v>45.337620578778136</v>
      </c>
    </row>
    <row r="48" spans="1:14" x14ac:dyDescent="0.3">
      <c r="A48" s="3">
        <v>44090</v>
      </c>
      <c r="B48" t="s">
        <v>33</v>
      </c>
      <c r="C48" s="1">
        <v>3.11</v>
      </c>
      <c r="D48">
        <f>22*60+41</f>
        <v>1361</v>
      </c>
      <c r="E48">
        <f>7*60+17</f>
        <v>437</v>
      </c>
      <c r="F48">
        <f>7*60+7</f>
        <v>427</v>
      </c>
      <c r="G48">
        <f>7*60+15</f>
        <v>435</v>
      </c>
      <c r="H48">
        <f>7*60+27</f>
        <v>447</v>
      </c>
      <c r="I48">
        <v>67</v>
      </c>
      <c r="J48" t="s">
        <v>34</v>
      </c>
      <c r="K48" s="2" t="s">
        <v>100</v>
      </c>
      <c r="L48">
        <f>COUNTIF($C$2:C48, "&lt;&gt;")</f>
        <v>47</v>
      </c>
      <c r="N48">
        <f t="shared" si="1"/>
        <v>21.54340836012862</v>
      </c>
    </row>
    <row r="49" spans="1:14" x14ac:dyDescent="0.3">
      <c r="A49" s="3">
        <v>44091</v>
      </c>
      <c r="B49" t="s">
        <v>37</v>
      </c>
      <c r="C49" s="1">
        <v>3.11</v>
      </c>
      <c r="D49">
        <f>21*60+26</f>
        <v>1286</v>
      </c>
      <c r="E49">
        <f>6*60+53</f>
        <v>413</v>
      </c>
      <c r="F49">
        <f>6*60+46</f>
        <v>406</v>
      </c>
      <c r="G49">
        <f>6*60+56</f>
        <v>416</v>
      </c>
      <c r="H49">
        <f>6*60+55</f>
        <v>415</v>
      </c>
      <c r="I49">
        <v>71</v>
      </c>
      <c r="J49" t="s">
        <v>38</v>
      </c>
      <c r="K49" s="2" t="s">
        <v>101</v>
      </c>
      <c r="L49">
        <f>COUNTIF($C$2:C49, "&lt;&gt;")</f>
        <v>48</v>
      </c>
      <c r="N49">
        <f t="shared" si="1"/>
        <v>22.829581993569132</v>
      </c>
    </row>
    <row r="50" spans="1:14" x14ac:dyDescent="0.3">
      <c r="A50" s="3">
        <v>44092</v>
      </c>
      <c r="B50" t="s">
        <v>102</v>
      </c>
      <c r="C50" s="1">
        <v>3.16</v>
      </c>
      <c r="D50">
        <f>26*60+17</f>
        <v>1577</v>
      </c>
      <c r="E50">
        <f>8*60+19</f>
        <v>499</v>
      </c>
      <c r="F50">
        <f>8*60+27</f>
        <v>507</v>
      </c>
      <c r="G50">
        <f>8*60+5</f>
        <v>485</v>
      </c>
      <c r="H50">
        <f>8*60+22</f>
        <v>502</v>
      </c>
      <c r="I50">
        <v>130</v>
      </c>
      <c r="J50" t="s">
        <v>104</v>
      </c>
      <c r="K50" s="2" t="s">
        <v>103</v>
      </c>
      <c r="L50">
        <f>COUNTIF($C$2:C50, "&lt;&gt;")</f>
        <v>49</v>
      </c>
      <c r="N50">
        <f t="shared" si="1"/>
        <v>41.139240506329109</v>
      </c>
    </row>
    <row r="51" spans="1:14" x14ac:dyDescent="0.3">
      <c r="A51" s="3">
        <v>44093</v>
      </c>
      <c r="B51" t="s">
        <v>9</v>
      </c>
      <c r="C51" s="1">
        <v>6.22</v>
      </c>
      <c r="D51">
        <f>56*60+43</f>
        <v>3403</v>
      </c>
      <c r="E51">
        <f>9*60+6</f>
        <v>546</v>
      </c>
      <c r="F51">
        <f>9*60+51</f>
        <v>591</v>
      </c>
      <c r="G51">
        <f>10*60+1</f>
        <v>601</v>
      </c>
      <c r="H51">
        <f>9*60+33</f>
        <v>573</v>
      </c>
      <c r="I51">
        <v>143</v>
      </c>
      <c r="J51" t="s">
        <v>105</v>
      </c>
      <c r="K51" s="2" t="s">
        <v>106</v>
      </c>
      <c r="L51">
        <f>COUNTIF($C$2:C51, "&lt;&gt;")</f>
        <v>50</v>
      </c>
      <c r="N51">
        <f t="shared" si="1"/>
        <v>22.990353697749196</v>
      </c>
    </row>
    <row r="52" spans="1:14" x14ac:dyDescent="0.3">
      <c r="A52" s="3">
        <v>44094</v>
      </c>
      <c r="B52" t="s">
        <v>102</v>
      </c>
      <c r="C52" s="1">
        <v>3.01</v>
      </c>
      <c r="D52">
        <f>27*60+23</f>
        <v>1643</v>
      </c>
      <c r="E52">
        <f>9*60+5</f>
        <v>545</v>
      </c>
      <c r="F52">
        <f>10*60+11</f>
        <v>611</v>
      </c>
      <c r="G52">
        <f>8*60+41</f>
        <v>521</v>
      </c>
      <c r="H52">
        <f>8*60+24</f>
        <v>504</v>
      </c>
      <c r="I52">
        <v>116</v>
      </c>
      <c r="J52" t="s">
        <v>104</v>
      </c>
      <c r="K52" s="2" t="s">
        <v>107</v>
      </c>
      <c r="L52">
        <f>COUNTIF($C$2:C52, "&lt;&gt;")</f>
        <v>51</v>
      </c>
      <c r="N52">
        <f t="shared" si="1"/>
        <v>38.538205980066451</v>
      </c>
    </row>
    <row r="53" spans="1:14" x14ac:dyDescent="0.3">
      <c r="A53" s="3">
        <v>44095</v>
      </c>
      <c r="B53" t="s">
        <v>20</v>
      </c>
      <c r="C53" s="1">
        <v>5.01</v>
      </c>
      <c r="D53">
        <f>39*60+28</f>
        <v>2368</v>
      </c>
      <c r="E53">
        <f>7*60+52</f>
        <v>472</v>
      </c>
      <c r="F53">
        <f>7*60+50</f>
        <v>470</v>
      </c>
      <c r="G53">
        <f>7*60+44</f>
        <v>464</v>
      </c>
      <c r="H53">
        <f>8*60+10</f>
        <v>490</v>
      </c>
      <c r="I53">
        <v>95</v>
      </c>
      <c r="J53" t="s">
        <v>21</v>
      </c>
      <c r="K53" s="2" t="s">
        <v>108</v>
      </c>
      <c r="L53">
        <f>COUNTIF($C$2:C53, "&lt;&gt;")</f>
        <v>52</v>
      </c>
      <c r="N53">
        <f t="shared" si="1"/>
        <v>18.962075848303392</v>
      </c>
    </row>
    <row r="54" spans="1:14" x14ac:dyDescent="0.3">
      <c r="A54" s="3">
        <v>44096</v>
      </c>
      <c r="B54" t="s">
        <v>29</v>
      </c>
      <c r="C54" s="1">
        <v>3.11</v>
      </c>
      <c r="D54">
        <f>21*60+22</f>
        <v>1282</v>
      </c>
      <c r="E54">
        <f>6*60+51</f>
        <v>411</v>
      </c>
      <c r="F54">
        <f>7*60+3</f>
        <v>423</v>
      </c>
      <c r="G54">
        <f>6*60+59</f>
        <v>419</v>
      </c>
      <c r="H54">
        <f>6*60+37</f>
        <v>397</v>
      </c>
      <c r="I54">
        <v>81</v>
      </c>
      <c r="J54" t="s">
        <v>30</v>
      </c>
      <c r="K54" s="2" t="s">
        <v>109</v>
      </c>
      <c r="L54">
        <f>COUNTIF($C$2:C54, "&lt;&gt;")</f>
        <v>53</v>
      </c>
      <c r="M54" t="s">
        <v>110</v>
      </c>
      <c r="N54">
        <f t="shared" si="1"/>
        <v>26.04501607717042</v>
      </c>
    </row>
    <row r="55" spans="1:14" x14ac:dyDescent="0.3">
      <c r="A55" s="3">
        <v>44097</v>
      </c>
      <c r="B55" t="s">
        <v>33</v>
      </c>
      <c r="C55" s="1">
        <v>3.11</v>
      </c>
      <c r="D55">
        <f>21*60+59</f>
        <v>1319</v>
      </c>
      <c r="E55">
        <f>7*60+3</f>
        <v>423</v>
      </c>
      <c r="F55">
        <f>7*60+2</f>
        <v>422</v>
      </c>
      <c r="G55">
        <f>6*60+56</f>
        <v>416</v>
      </c>
      <c r="H55">
        <f>7*60+8</f>
        <v>428</v>
      </c>
      <c r="I55">
        <v>61</v>
      </c>
      <c r="J55" t="s">
        <v>34</v>
      </c>
      <c r="K55" s="2" t="s">
        <v>111</v>
      </c>
      <c r="L55">
        <f>COUNTIF($C$2:C55, "&lt;&gt;")</f>
        <v>54</v>
      </c>
      <c r="N55">
        <f t="shared" si="1"/>
        <v>19.614147909967848</v>
      </c>
    </row>
    <row r="56" spans="1:14" x14ac:dyDescent="0.3">
      <c r="A56" s="3">
        <v>44098</v>
      </c>
      <c r="B56" t="s">
        <v>37</v>
      </c>
      <c r="C56" s="1">
        <v>3.11</v>
      </c>
      <c r="D56">
        <f>20*60+54</f>
        <v>1254</v>
      </c>
      <c r="E56">
        <f>6*60+43</f>
        <v>403</v>
      </c>
      <c r="F56">
        <f>6*60+55</f>
        <v>415</v>
      </c>
      <c r="G56">
        <f>6*60+40</f>
        <v>400</v>
      </c>
      <c r="H56">
        <f>6*60+32</f>
        <v>392</v>
      </c>
      <c r="I56">
        <v>71</v>
      </c>
      <c r="J56" t="s">
        <v>38</v>
      </c>
      <c r="K56" s="2" t="s">
        <v>114</v>
      </c>
      <c r="L56">
        <f>COUNTIF($C$2:C56, "&lt;&gt;")</f>
        <v>55</v>
      </c>
      <c r="M56" t="s">
        <v>115</v>
      </c>
      <c r="N56">
        <f t="shared" si="1"/>
        <v>22.829581993569132</v>
      </c>
    </row>
    <row r="57" spans="1:14" x14ac:dyDescent="0.3">
      <c r="A57" s="3">
        <v>44099</v>
      </c>
      <c r="B57" t="s">
        <v>72</v>
      </c>
      <c r="C57" s="1">
        <v>3</v>
      </c>
      <c r="D57">
        <f>26*60+10</f>
        <v>1570</v>
      </c>
      <c r="E57">
        <f>8*60+42</f>
        <v>522</v>
      </c>
      <c r="F57">
        <f>8*60+47</f>
        <v>527</v>
      </c>
      <c r="G57">
        <f>8*60+45</f>
        <v>525</v>
      </c>
      <c r="H57">
        <f>8*60+33</f>
        <v>513</v>
      </c>
      <c r="I57">
        <v>127</v>
      </c>
      <c r="J57" t="s">
        <v>71</v>
      </c>
      <c r="K57" s="2" t="s">
        <v>117</v>
      </c>
      <c r="L57">
        <f>COUNTIF($C$2:C57, "&lt;&gt;")</f>
        <v>56</v>
      </c>
      <c r="N57">
        <f t="shared" si="1"/>
        <v>42.333333333333336</v>
      </c>
    </row>
    <row r="58" spans="1:14" x14ac:dyDescent="0.3">
      <c r="A58" s="3">
        <v>44100</v>
      </c>
      <c r="B58" t="s">
        <v>33</v>
      </c>
      <c r="C58" s="1">
        <v>6.22</v>
      </c>
      <c r="D58">
        <f>51*60+35</f>
        <v>3095</v>
      </c>
      <c r="E58">
        <f>8*60+17</f>
        <v>497</v>
      </c>
      <c r="F58">
        <f>7*60+50</f>
        <v>470</v>
      </c>
      <c r="G58">
        <f>8*60+27</f>
        <v>507</v>
      </c>
      <c r="H58">
        <f>8*60+31</f>
        <v>511</v>
      </c>
      <c r="I58">
        <v>129</v>
      </c>
      <c r="J58" t="s">
        <v>64</v>
      </c>
      <c r="K58" s="2" t="s">
        <v>118</v>
      </c>
      <c r="L58">
        <f>COUNTIF($C$2:C58, "&lt;&gt;")</f>
        <v>57</v>
      </c>
      <c r="N58">
        <f t="shared" si="1"/>
        <v>20.739549839228296</v>
      </c>
    </row>
    <row r="59" spans="1:14" x14ac:dyDescent="0.3">
      <c r="A59" s="3">
        <v>44101</v>
      </c>
      <c r="B59" t="s">
        <v>116</v>
      </c>
      <c r="C59" s="1">
        <v>8.01</v>
      </c>
      <c r="D59">
        <f>1*3600+9*60+26</f>
        <v>4166</v>
      </c>
      <c r="E59">
        <f>8*60+40</f>
        <v>520</v>
      </c>
      <c r="F59">
        <f>8*60+39</f>
        <v>519</v>
      </c>
      <c r="G59">
        <f>8*60+35</f>
        <v>515</v>
      </c>
      <c r="H59">
        <f>8*60+38</f>
        <v>518</v>
      </c>
      <c r="I59">
        <v>107</v>
      </c>
      <c r="J59" t="s">
        <v>94</v>
      </c>
      <c r="K59" s="2" t="s">
        <v>120</v>
      </c>
      <c r="L59">
        <f>COUNTIF($C$2:C59, "&lt;&gt;")</f>
        <v>58</v>
      </c>
      <c r="N59">
        <f t="shared" si="1"/>
        <v>13.358302122347066</v>
      </c>
    </row>
    <row r="60" spans="1:14" x14ac:dyDescent="0.3">
      <c r="A60" s="3">
        <v>44102</v>
      </c>
      <c r="B60" t="s">
        <v>20</v>
      </c>
      <c r="C60" s="1">
        <v>5.01</v>
      </c>
      <c r="D60">
        <f>38*60+15</f>
        <v>2295</v>
      </c>
      <c r="E60">
        <f>7*60+37</f>
        <v>457</v>
      </c>
      <c r="F60">
        <f>7*60+21</f>
        <v>441</v>
      </c>
      <c r="G60">
        <f>7*60+35</f>
        <v>455</v>
      </c>
      <c r="H60">
        <f>7*60+51</f>
        <v>471</v>
      </c>
      <c r="I60">
        <v>95</v>
      </c>
      <c r="J60" t="s">
        <v>21</v>
      </c>
      <c r="K60" s="2" t="s">
        <v>119</v>
      </c>
      <c r="L60">
        <f>COUNTIF($C$2:C60, "&lt;&gt;")</f>
        <v>59</v>
      </c>
      <c r="N60">
        <f t="shared" si="1"/>
        <v>18.962075848303392</v>
      </c>
    </row>
    <row r="61" spans="1:14" x14ac:dyDescent="0.3">
      <c r="A61" s="3">
        <v>44103</v>
      </c>
      <c r="B61" t="s">
        <v>29</v>
      </c>
      <c r="C61" s="1">
        <v>3.12</v>
      </c>
      <c r="D61">
        <f>22*60+5</f>
        <v>1325</v>
      </c>
      <c r="E61">
        <f>7*60+4</f>
        <v>424</v>
      </c>
      <c r="F61">
        <f>6*60+57</f>
        <v>417</v>
      </c>
      <c r="G61">
        <f>7*60+12</f>
        <v>432</v>
      </c>
      <c r="H61">
        <f>7*60+3</f>
        <v>423</v>
      </c>
      <c r="I61">
        <v>79</v>
      </c>
      <c r="J61" t="s">
        <v>30</v>
      </c>
      <c r="K61" s="2" t="s">
        <v>121</v>
      </c>
      <c r="L61">
        <f>COUNTIF($C$2:C61, "&lt;&gt;")</f>
        <v>60</v>
      </c>
      <c r="N61">
        <f t="shared" si="1"/>
        <v>25.320512820512821</v>
      </c>
    </row>
    <row r="62" spans="1:14" x14ac:dyDescent="0.3">
      <c r="A62" s="3">
        <v>44104</v>
      </c>
      <c r="B62" t="s">
        <v>33</v>
      </c>
      <c r="C62" s="1">
        <v>4.28</v>
      </c>
      <c r="D62">
        <f>30*60+37</f>
        <v>1837</v>
      </c>
      <c r="E62">
        <f>7*60+9</f>
        <v>429</v>
      </c>
      <c r="F62">
        <f>7*60+5</f>
        <v>425</v>
      </c>
      <c r="G62">
        <f>7*60+12</f>
        <v>432</v>
      </c>
      <c r="H62">
        <f>7*60+19</f>
        <v>439</v>
      </c>
      <c r="I62">
        <v>188</v>
      </c>
      <c r="J62" t="s">
        <v>123</v>
      </c>
      <c r="K62" s="2" t="s">
        <v>124</v>
      </c>
      <c r="L62">
        <f>COUNTIF($C$2:C62, "&lt;&gt;")</f>
        <v>61</v>
      </c>
      <c r="N62">
        <f t="shared" si="1"/>
        <v>43.925233644859809</v>
      </c>
    </row>
    <row r="63" spans="1:14" x14ac:dyDescent="0.3">
      <c r="A63" s="3">
        <v>44105</v>
      </c>
      <c r="B63" t="s">
        <v>37</v>
      </c>
      <c r="C63" s="1">
        <v>3.11</v>
      </c>
      <c r="D63">
        <f>21*60+58</f>
        <v>1318</v>
      </c>
      <c r="E63">
        <f>7*60+3</f>
        <v>423</v>
      </c>
      <c r="F63">
        <f>7*60+1</f>
        <v>421</v>
      </c>
      <c r="G63">
        <f>7*60+4</f>
        <v>424</v>
      </c>
      <c r="H63">
        <f>7*60</f>
        <v>420</v>
      </c>
      <c r="I63">
        <v>72</v>
      </c>
      <c r="J63" t="s">
        <v>38</v>
      </c>
      <c r="K63" s="2" t="s">
        <v>130</v>
      </c>
      <c r="L63">
        <f>COUNTIF($C$2:C63, "&lt;&gt;")</f>
        <v>62</v>
      </c>
      <c r="N63">
        <f t="shared" si="1"/>
        <v>23.15112540192926</v>
      </c>
    </row>
    <row r="64" spans="1:14" x14ac:dyDescent="0.3">
      <c r="A64" s="3">
        <v>44106</v>
      </c>
      <c r="B64" t="s">
        <v>102</v>
      </c>
      <c r="C64" s="1">
        <v>3.12</v>
      </c>
      <c r="D64">
        <f>25*60+52</f>
        <v>1552</v>
      </c>
      <c r="E64">
        <f>8*60+17</f>
        <v>497</v>
      </c>
      <c r="F64">
        <f>8*60+47</f>
        <v>527</v>
      </c>
      <c r="G64">
        <f>7*60+58</f>
        <v>478</v>
      </c>
      <c r="H64">
        <f>8*60+12</f>
        <v>492</v>
      </c>
      <c r="I64">
        <v>118</v>
      </c>
      <c r="J64" t="s">
        <v>104</v>
      </c>
      <c r="K64" s="2" t="s">
        <v>131</v>
      </c>
      <c r="L64">
        <f>COUNTIF($C$2:C64, "&lt;&gt;")</f>
        <v>63</v>
      </c>
      <c r="N64">
        <f t="shared" si="1"/>
        <v>37.820512820512818</v>
      </c>
    </row>
    <row r="65" spans="1:14" x14ac:dyDescent="0.3">
      <c r="A65" s="3">
        <v>44107</v>
      </c>
      <c r="B65" t="s">
        <v>9</v>
      </c>
      <c r="C65" s="1">
        <v>6.56</v>
      </c>
      <c r="D65">
        <f>58*60+3</f>
        <v>3483</v>
      </c>
      <c r="E65">
        <f>8*60+50</f>
        <v>530</v>
      </c>
      <c r="F65">
        <f>8*60+41</f>
        <v>521</v>
      </c>
      <c r="G65">
        <f>8*60+48</f>
        <v>528</v>
      </c>
      <c r="H65">
        <f>8*60+53</f>
        <v>533</v>
      </c>
      <c r="I65">
        <v>0</v>
      </c>
      <c r="J65" t="s">
        <v>54</v>
      </c>
      <c r="K65" s="2" t="s">
        <v>132</v>
      </c>
      <c r="L65">
        <f>COUNTIF($C$2:C65, "&lt;&gt;")</f>
        <v>64</v>
      </c>
      <c r="N65">
        <f t="shared" si="1"/>
        <v>0</v>
      </c>
    </row>
    <row r="66" spans="1:14" x14ac:dyDescent="0.3">
      <c r="A66" s="3">
        <v>44108</v>
      </c>
      <c r="C66" s="1">
        <v>10.93</v>
      </c>
      <c r="D66">
        <f>1*3600+35*60+46</f>
        <v>5746</v>
      </c>
      <c r="E66">
        <f>8*60+45</f>
        <v>525</v>
      </c>
      <c r="F66">
        <f>9*60+4</f>
        <v>544</v>
      </c>
      <c r="G66">
        <f>9*60+12</f>
        <v>552</v>
      </c>
      <c r="H66">
        <f>9*60</f>
        <v>540</v>
      </c>
      <c r="I66">
        <v>246</v>
      </c>
      <c r="J66" t="s">
        <v>155</v>
      </c>
      <c r="K66" s="2" t="s">
        <v>156</v>
      </c>
      <c r="L66">
        <f>COUNTIF($C$2:C66, "&lt;&gt;")</f>
        <v>65</v>
      </c>
      <c r="N66">
        <f t="shared" ref="N66:N97" si="2">I66/C66</f>
        <v>22.50686184812443</v>
      </c>
    </row>
    <row r="67" spans="1:14" x14ac:dyDescent="0.3">
      <c r="A67" s="3">
        <v>44109</v>
      </c>
      <c r="B67" t="s">
        <v>158</v>
      </c>
      <c r="C67" s="1">
        <v>26.3</v>
      </c>
      <c r="D67">
        <f>4*3600+4*60+34</f>
        <v>14674</v>
      </c>
      <c r="E67">
        <f>9*60+18</f>
        <v>558</v>
      </c>
      <c r="F67">
        <f>8*60+3</f>
        <v>483</v>
      </c>
      <c r="G67">
        <f>7*60+48</f>
        <v>468</v>
      </c>
      <c r="H67">
        <f>8*60+3</f>
        <v>483</v>
      </c>
      <c r="I67">
        <v>580</v>
      </c>
      <c r="J67" t="s">
        <v>68</v>
      </c>
      <c r="K67" s="2" t="s">
        <v>157</v>
      </c>
      <c r="L67">
        <f>COUNTIF($C$2:C67, "&lt;&gt;")</f>
        <v>66</v>
      </c>
      <c r="N67">
        <f t="shared" si="2"/>
        <v>22.053231939163499</v>
      </c>
    </row>
    <row r="68" spans="1:14" x14ac:dyDescent="0.3">
      <c r="A68" s="3">
        <v>44110</v>
      </c>
      <c r="B68" t="s">
        <v>159</v>
      </c>
      <c r="C68" s="1">
        <v>3.91</v>
      </c>
      <c r="D68">
        <f>25*60+54</f>
        <v>1554</v>
      </c>
      <c r="E68">
        <f>6*60+37</f>
        <v>397</v>
      </c>
      <c r="I68">
        <v>0</v>
      </c>
      <c r="J68" t="s">
        <v>753</v>
      </c>
      <c r="K68" s="2" t="s">
        <v>160</v>
      </c>
      <c r="L68">
        <f>COUNTIF($C$2:C68, "&lt;&gt;")</f>
        <v>67</v>
      </c>
      <c r="M68" t="s">
        <v>161</v>
      </c>
      <c r="N68">
        <f t="shared" si="2"/>
        <v>0</v>
      </c>
    </row>
    <row r="69" spans="1:14" x14ac:dyDescent="0.3">
      <c r="A69" s="3">
        <v>44111</v>
      </c>
      <c r="B69" t="s">
        <v>33</v>
      </c>
      <c r="C69" s="1">
        <v>4.1900000000000004</v>
      </c>
      <c r="D69">
        <f>31*60+33</f>
        <v>1893</v>
      </c>
      <c r="E69">
        <f>7*60+31</f>
        <v>451</v>
      </c>
      <c r="F69">
        <f>7*60+22</f>
        <v>442</v>
      </c>
      <c r="G69">
        <f>7*60+30</f>
        <v>450</v>
      </c>
      <c r="H69">
        <f>7*60+45</f>
        <v>465</v>
      </c>
      <c r="I69">
        <v>179</v>
      </c>
      <c r="J69" t="s">
        <v>123</v>
      </c>
      <c r="K69" s="2" t="s">
        <v>162</v>
      </c>
      <c r="L69">
        <f>COUNTIF($C$2:C69, "&lt;&gt;")</f>
        <v>68</v>
      </c>
      <c r="N69">
        <f t="shared" si="2"/>
        <v>42.720763723150355</v>
      </c>
    </row>
    <row r="70" spans="1:14" x14ac:dyDescent="0.3">
      <c r="A70" s="3">
        <v>44112</v>
      </c>
      <c r="B70" t="s">
        <v>37</v>
      </c>
      <c r="C70" s="1">
        <v>4.01</v>
      </c>
      <c r="D70">
        <f>30*60+44</f>
        <v>1844</v>
      </c>
      <c r="E70">
        <f>7*60+39</f>
        <v>459</v>
      </c>
      <c r="F70">
        <f>7*60+33</f>
        <v>453</v>
      </c>
      <c r="G70">
        <f>8*60+6</f>
        <v>486</v>
      </c>
      <c r="H70">
        <f>7*60+40</f>
        <v>460</v>
      </c>
      <c r="I70">
        <v>113</v>
      </c>
      <c r="J70" t="s">
        <v>163</v>
      </c>
      <c r="K70" s="2" t="s">
        <v>164</v>
      </c>
      <c r="L70">
        <f>COUNTIF($C$2:C70, "&lt;&gt;")</f>
        <v>69</v>
      </c>
      <c r="N70">
        <f t="shared" si="2"/>
        <v>28.179551122194514</v>
      </c>
    </row>
    <row r="71" spans="1:14" x14ac:dyDescent="0.3">
      <c r="A71" s="3">
        <v>44113</v>
      </c>
      <c r="B71" t="s">
        <v>72</v>
      </c>
      <c r="C71" s="1">
        <v>3.02</v>
      </c>
      <c r="D71">
        <f>28*60+50</f>
        <v>1730</v>
      </c>
      <c r="E71">
        <f>9*60+31</f>
        <v>571</v>
      </c>
      <c r="F71">
        <f>9*60+39</f>
        <v>579</v>
      </c>
      <c r="G71">
        <f>9*60+24</f>
        <v>564</v>
      </c>
      <c r="H71">
        <f>9*60+31</f>
        <v>571</v>
      </c>
      <c r="I71">
        <v>151</v>
      </c>
      <c r="J71" t="s">
        <v>71</v>
      </c>
      <c r="K71" s="2" t="s">
        <v>165</v>
      </c>
      <c r="L71">
        <f>COUNTIF($C$2:C71, "&lt;&gt;")</f>
        <v>70</v>
      </c>
      <c r="N71">
        <f t="shared" si="2"/>
        <v>50</v>
      </c>
    </row>
    <row r="72" spans="1:14" x14ac:dyDescent="0.3">
      <c r="A72" s="3">
        <v>44114</v>
      </c>
      <c r="B72" t="s">
        <v>171</v>
      </c>
      <c r="C72" s="1">
        <v>3.24</v>
      </c>
      <c r="D72">
        <f>28*60+50</f>
        <v>1730</v>
      </c>
      <c r="E72">
        <f>8*60+53</f>
        <v>533</v>
      </c>
      <c r="F72">
        <f>8*60+39</f>
        <v>519</v>
      </c>
      <c r="G72">
        <f>9*60</f>
        <v>540</v>
      </c>
      <c r="H72">
        <f>8*60+58</f>
        <v>538</v>
      </c>
      <c r="I72">
        <v>210</v>
      </c>
      <c r="J72" t="s">
        <v>172</v>
      </c>
      <c r="K72" s="2" t="s">
        <v>170</v>
      </c>
      <c r="L72">
        <f>COUNTIF($C$2:C72, "&lt;&gt;")</f>
        <v>71</v>
      </c>
      <c r="N72">
        <f t="shared" si="2"/>
        <v>64.81481481481481</v>
      </c>
    </row>
    <row r="73" spans="1:14" x14ac:dyDescent="0.3">
      <c r="A73" s="3">
        <v>44115</v>
      </c>
      <c r="B73" t="s">
        <v>167</v>
      </c>
      <c r="C73" s="1">
        <v>3.02</v>
      </c>
      <c r="D73">
        <f>25*60+21</f>
        <v>1521</v>
      </c>
      <c r="E73">
        <f>8*60+23</f>
        <v>503</v>
      </c>
      <c r="F73">
        <f>8*60+48</f>
        <v>528</v>
      </c>
      <c r="G73">
        <f>8*60+10</f>
        <v>490</v>
      </c>
      <c r="H73">
        <f>8*60+13</f>
        <v>493</v>
      </c>
      <c r="I73">
        <v>89</v>
      </c>
      <c r="J73" t="s">
        <v>168</v>
      </c>
      <c r="K73" s="2" t="s">
        <v>169</v>
      </c>
      <c r="L73">
        <f>COUNTIF($C$2:C73, "&lt;&gt;")</f>
        <v>72</v>
      </c>
      <c r="N73">
        <f t="shared" si="2"/>
        <v>29.47019867549669</v>
      </c>
    </row>
    <row r="74" spans="1:14" x14ac:dyDescent="0.3">
      <c r="A74" s="3">
        <v>44116</v>
      </c>
      <c r="B74" t="s">
        <v>102</v>
      </c>
      <c r="C74" s="1">
        <v>3.04</v>
      </c>
      <c r="D74">
        <f>26*60+5</f>
        <v>1565</v>
      </c>
      <c r="E74">
        <f>8*60+35</f>
        <v>515</v>
      </c>
      <c r="F74">
        <f>9*60+24</f>
        <v>564</v>
      </c>
      <c r="G74">
        <f>8*60+22</f>
        <v>502</v>
      </c>
      <c r="H74">
        <f>7*60+57</f>
        <v>477</v>
      </c>
      <c r="I74">
        <v>128</v>
      </c>
      <c r="J74" t="s">
        <v>104</v>
      </c>
      <c r="K74" s="2" t="s">
        <v>166</v>
      </c>
      <c r="L74">
        <f>COUNTIF($C$2:C74, "&lt;&gt;")</f>
        <v>73</v>
      </c>
      <c r="N74">
        <f t="shared" si="2"/>
        <v>42.10526315789474</v>
      </c>
    </row>
    <row r="75" spans="1:14" x14ac:dyDescent="0.3">
      <c r="A75" s="3">
        <v>44117</v>
      </c>
      <c r="B75" t="s">
        <v>29</v>
      </c>
      <c r="C75" s="1">
        <v>3.51</v>
      </c>
      <c r="D75">
        <f>24*60+17</f>
        <v>1457</v>
      </c>
      <c r="E75">
        <f>6*60+55</f>
        <v>415</v>
      </c>
      <c r="F75">
        <f>7*60+33</f>
        <v>453</v>
      </c>
      <c r="G75">
        <f>6*60+57</f>
        <v>417</v>
      </c>
      <c r="H75">
        <f>6*60+29</f>
        <v>389</v>
      </c>
      <c r="I75">
        <v>115</v>
      </c>
      <c r="J75" t="s">
        <v>174</v>
      </c>
      <c r="K75" s="2" t="s">
        <v>173</v>
      </c>
      <c r="L75">
        <f>COUNTIF($C$2:C75, "&lt;&gt;")</f>
        <v>74</v>
      </c>
      <c r="N75">
        <f t="shared" si="2"/>
        <v>32.763532763532766</v>
      </c>
    </row>
    <row r="76" spans="1:14" x14ac:dyDescent="0.3">
      <c r="A76" s="3">
        <v>44118</v>
      </c>
      <c r="B76" t="s">
        <v>33</v>
      </c>
      <c r="C76" s="1">
        <v>4.1100000000000003</v>
      </c>
      <c r="D76">
        <f>29*60+49</f>
        <v>1789</v>
      </c>
      <c r="E76">
        <f>7*60+15</f>
        <v>435</v>
      </c>
      <c r="F76">
        <f>7*60+11</f>
        <v>431</v>
      </c>
      <c r="G76">
        <f>7*60+31</f>
        <v>451</v>
      </c>
      <c r="H76">
        <f>7*60+20</f>
        <v>440</v>
      </c>
      <c r="I76">
        <v>179</v>
      </c>
      <c r="J76" t="s">
        <v>123</v>
      </c>
      <c r="K76" s="2" t="s">
        <v>175</v>
      </c>
      <c r="L76">
        <f>COUNTIF($C$2:C76, "&lt;&gt;")</f>
        <v>75</v>
      </c>
      <c r="M76" t="s">
        <v>176</v>
      </c>
      <c r="N76">
        <f t="shared" si="2"/>
        <v>43.552311435523109</v>
      </c>
    </row>
    <row r="77" spans="1:14" x14ac:dyDescent="0.3">
      <c r="A77" s="3">
        <v>44119</v>
      </c>
      <c r="B77" t="s">
        <v>37</v>
      </c>
      <c r="C77" s="1">
        <v>4.01</v>
      </c>
      <c r="D77">
        <f>29*60</f>
        <v>1740</v>
      </c>
      <c r="E77">
        <f>7*60+15</f>
        <v>435</v>
      </c>
      <c r="F77">
        <f>7*60</f>
        <v>420</v>
      </c>
      <c r="G77">
        <f>7*60+31</f>
        <v>451</v>
      </c>
      <c r="H77">
        <f>7*60+10</f>
        <v>430</v>
      </c>
      <c r="I77">
        <v>113</v>
      </c>
      <c r="J77" t="s">
        <v>163</v>
      </c>
      <c r="K77" s="2" t="s">
        <v>177</v>
      </c>
      <c r="L77">
        <f>COUNTIF($C$2:C77, "&lt;&gt;")</f>
        <v>76</v>
      </c>
      <c r="N77">
        <f t="shared" si="2"/>
        <v>28.179551122194514</v>
      </c>
    </row>
    <row r="78" spans="1:14" x14ac:dyDescent="0.3">
      <c r="A78" s="3">
        <v>44120</v>
      </c>
      <c r="B78" t="s">
        <v>179</v>
      </c>
      <c r="C78" s="1">
        <v>10.02</v>
      </c>
      <c r="D78">
        <f>1*3600+13*60+13</f>
        <v>4393</v>
      </c>
      <c r="E78">
        <f>7*60+18</f>
        <v>438</v>
      </c>
      <c r="F78">
        <f>7*60+16</f>
        <v>436</v>
      </c>
      <c r="G78">
        <f>6*60+54</f>
        <v>414</v>
      </c>
      <c r="H78">
        <f>7*60+16</f>
        <v>436</v>
      </c>
      <c r="I78">
        <v>187</v>
      </c>
      <c r="J78" t="s">
        <v>21</v>
      </c>
      <c r="K78" s="2" t="s">
        <v>178</v>
      </c>
      <c r="L78">
        <f>COUNTIF($C$2:C78, "&lt;&gt;")</f>
        <v>77</v>
      </c>
      <c r="N78">
        <f t="shared" si="2"/>
        <v>18.662674650698605</v>
      </c>
    </row>
    <row r="79" spans="1:14" x14ac:dyDescent="0.3">
      <c r="A79" s="3">
        <v>44121</v>
      </c>
      <c r="B79" t="s">
        <v>9</v>
      </c>
      <c r="C79" s="1">
        <v>3.39</v>
      </c>
      <c r="D79">
        <f>28*60+23</f>
        <v>1703</v>
      </c>
      <c r="E79">
        <f>8*60+21</f>
        <v>501</v>
      </c>
      <c r="F79">
        <f>8*60+31</f>
        <v>511</v>
      </c>
      <c r="G79">
        <f>8*60+18</f>
        <v>498</v>
      </c>
      <c r="H79">
        <f>8*60+14</f>
        <v>494</v>
      </c>
      <c r="I79">
        <v>95</v>
      </c>
      <c r="J79" t="s">
        <v>94</v>
      </c>
      <c r="K79" s="2" t="s">
        <v>180</v>
      </c>
      <c r="L79">
        <f>COUNTIF($C$2:C79, "&lt;&gt;")</f>
        <v>78</v>
      </c>
      <c r="N79">
        <f t="shared" si="2"/>
        <v>28.023598820058996</v>
      </c>
    </row>
    <row r="80" spans="1:14" x14ac:dyDescent="0.3">
      <c r="A80" s="3">
        <v>44122</v>
      </c>
      <c r="C80" s="1">
        <v>9.3800000000000008</v>
      </c>
      <c r="D80">
        <f>1*3600+21*60+21</f>
        <v>4881</v>
      </c>
      <c r="E80">
        <f>8*60+40</f>
        <v>520</v>
      </c>
      <c r="F80">
        <f>8*60+53</f>
        <v>533</v>
      </c>
      <c r="G80">
        <f>8*60+51</f>
        <v>531</v>
      </c>
      <c r="H80">
        <f>8*60+44</f>
        <v>524</v>
      </c>
      <c r="I80">
        <v>149</v>
      </c>
      <c r="J80" t="s">
        <v>155</v>
      </c>
      <c r="K80" s="2" t="s">
        <v>181</v>
      </c>
      <c r="L80">
        <f>COUNTIF($C$2:C80, "&lt;&gt;")</f>
        <v>79</v>
      </c>
      <c r="N80">
        <f t="shared" si="2"/>
        <v>15.884861407249465</v>
      </c>
    </row>
    <row r="81" spans="1:14" x14ac:dyDescent="0.3">
      <c r="A81" s="3">
        <v>44123</v>
      </c>
      <c r="B81" t="s">
        <v>20</v>
      </c>
      <c r="C81" s="1">
        <v>6.05</v>
      </c>
      <c r="D81">
        <f>47*60+47</f>
        <v>2867</v>
      </c>
      <c r="E81">
        <f>7*60+53</f>
        <v>473</v>
      </c>
      <c r="F81">
        <f>8*60+15</f>
        <v>495</v>
      </c>
      <c r="G81">
        <f>7*60+57</f>
        <v>477</v>
      </c>
      <c r="H81">
        <f>8*60+15</f>
        <v>495</v>
      </c>
      <c r="I81">
        <v>131</v>
      </c>
      <c r="J81" t="s">
        <v>68</v>
      </c>
      <c r="K81" s="2" t="s">
        <v>182</v>
      </c>
      <c r="L81">
        <f>COUNTIF($C$2:C81, "&lt;&gt;")</f>
        <v>80</v>
      </c>
      <c r="N81">
        <f t="shared" si="2"/>
        <v>21.652892561983471</v>
      </c>
    </row>
    <row r="82" spans="1:14" x14ac:dyDescent="0.3">
      <c r="A82" s="3">
        <v>44124</v>
      </c>
      <c r="B82" t="s">
        <v>29</v>
      </c>
      <c r="C82" s="1">
        <v>3.64</v>
      </c>
      <c r="D82">
        <f>25*60+44</f>
        <v>1544</v>
      </c>
      <c r="E82">
        <f>7*60+3</f>
        <v>423</v>
      </c>
      <c r="F82">
        <f>7*60+8</f>
        <v>428</v>
      </c>
      <c r="G82">
        <f>7*60+18</f>
        <v>438</v>
      </c>
      <c r="H82">
        <f>7*60+2</f>
        <v>422</v>
      </c>
      <c r="I82">
        <v>116</v>
      </c>
      <c r="J82" t="s">
        <v>174</v>
      </c>
      <c r="K82" s="2" t="s">
        <v>183</v>
      </c>
      <c r="L82">
        <f>COUNTIF($C$2:C82, "&lt;&gt;")</f>
        <v>81</v>
      </c>
      <c r="M82" t="s">
        <v>184</v>
      </c>
      <c r="N82">
        <f t="shared" si="2"/>
        <v>31.868131868131869</v>
      </c>
    </row>
    <row r="83" spans="1:14" x14ac:dyDescent="0.3">
      <c r="A83" s="3">
        <v>44125</v>
      </c>
      <c r="B83" t="s">
        <v>33</v>
      </c>
      <c r="C83" s="1">
        <v>4.22</v>
      </c>
      <c r="D83">
        <f>30*60+59</f>
        <v>1859</v>
      </c>
      <c r="E83">
        <f>7*60+20</f>
        <v>440</v>
      </c>
      <c r="F83">
        <f>6*60+58</f>
        <v>418</v>
      </c>
      <c r="G83">
        <f>7*60+23</f>
        <v>443</v>
      </c>
      <c r="H83">
        <f>7*60+40</f>
        <v>460</v>
      </c>
      <c r="I83">
        <v>180</v>
      </c>
      <c r="J83" t="s">
        <v>123</v>
      </c>
      <c r="K83" s="2" t="s">
        <v>185</v>
      </c>
      <c r="L83">
        <f>COUNTIF($C$2:C83, "&lt;&gt;")</f>
        <v>82</v>
      </c>
      <c r="N83">
        <f t="shared" si="2"/>
        <v>42.654028436018962</v>
      </c>
    </row>
    <row r="84" spans="1:14" x14ac:dyDescent="0.3">
      <c r="A84" s="3">
        <v>44126</v>
      </c>
      <c r="B84" t="s">
        <v>37</v>
      </c>
      <c r="C84" s="1">
        <v>4.0199999999999996</v>
      </c>
      <c r="D84">
        <f>27*60+42</f>
        <v>1662</v>
      </c>
      <c r="E84">
        <f>6*60+53</f>
        <v>413</v>
      </c>
      <c r="F84">
        <f>6*60+58</f>
        <v>418</v>
      </c>
      <c r="G84">
        <f>7*60+6</f>
        <v>426</v>
      </c>
      <c r="H84">
        <f>6*60+49</f>
        <v>409</v>
      </c>
      <c r="I84">
        <v>115</v>
      </c>
      <c r="J84" t="s">
        <v>163</v>
      </c>
      <c r="K84" s="2" t="s">
        <v>186</v>
      </c>
      <c r="L84">
        <f>COUNTIF($C$2:C84, "&lt;&gt;")</f>
        <v>83</v>
      </c>
      <c r="N84">
        <f t="shared" si="2"/>
        <v>28.606965174129357</v>
      </c>
    </row>
    <row r="85" spans="1:14" x14ac:dyDescent="0.3">
      <c r="A85" s="3">
        <v>44127</v>
      </c>
      <c r="B85" t="s">
        <v>102</v>
      </c>
      <c r="C85" s="1">
        <v>3.11</v>
      </c>
      <c r="D85">
        <f>25*60+31</f>
        <v>1531</v>
      </c>
      <c r="E85">
        <f>8*60+12</f>
        <v>492</v>
      </c>
      <c r="F85">
        <f>8*60+44</f>
        <v>524</v>
      </c>
      <c r="G85">
        <f>7*60+37</f>
        <v>457</v>
      </c>
      <c r="H85">
        <f>8*60+13</f>
        <v>493</v>
      </c>
      <c r="I85">
        <v>107</v>
      </c>
      <c r="J85" t="s">
        <v>104</v>
      </c>
      <c r="K85" s="2" t="s">
        <v>187</v>
      </c>
      <c r="L85">
        <f>COUNTIF($C$2:C85, "&lt;&gt;")</f>
        <v>84</v>
      </c>
      <c r="N85">
        <f t="shared" si="2"/>
        <v>34.40514469453376</v>
      </c>
    </row>
    <row r="86" spans="1:14" x14ac:dyDescent="0.3">
      <c r="A86" s="3">
        <v>44128</v>
      </c>
      <c r="B86" t="s">
        <v>33</v>
      </c>
      <c r="C86" s="1">
        <v>6.02</v>
      </c>
      <c r="D86">
        <f>50*60+30</f>
        <v>3030</v>
      </c>
      <c r="E86">
        <f>8*60+23</f>
        <v>503</v>
      </c>
      <c r="F86">
        <f>8*60+24</f>
        <v>504</v>
      </c>
      <c r="G86">
        <f>8*60+24</f>
        <v>504</v>
      </c>
      <c r="H86">
        <f>8*60+8</f>
        <v>488</v>
      </c>
      <c r="I86">
        <v>134</v>
      </c>
      <c r="J86" t="s">
        <v>64</v>
      </c>
      <c r="K86" s="2" t="s">
        <v>188</v>
      </c>
      <c r="L86">
        <f>COUNTIF($C$2:C86, "&lt;&gt;")</f>
        <v>85</v>
      </c>
      <c r="N86">
        <f t="shared" si="2"/>
        <v>22.259136212624586</v>
      </c>
    </row>
    <row r="87" spans="1:14" x14ac:dyDescent="0.3">
      <c r="A87" s="3">
        <v>44129</v>
      </c>
      <c r="B87" t="s">
        <v>102</v>
      </c>
      <c r="C87" s="1">
        <v>3.13</v>
      </c>
      <c r="D87">
        <f>25*60+49</f>
        <v>1549</v>
      </c>
      <c r="E87">
        <f>8*60+14</f>
        <v>494</v>
      </c>
      <c r="F87">
        <f>8*60+35</f>
        <v>515</v>
      </c>
      <c r="G87">
        <f>7*60+41</f>
        <v>461</v>
      </c>
      <c r="H87">
        <f>8*60+21</f>
        <v>501</v>
      </c>
      <c r="I87">
        <v>108</v>
      </c>
      <c r="J87" t="s">
        <v>104</v>
      </c>
      <c r="K87" s="2" t="s">
        <v>189</v>
      </c>
      <c r="L87">
        <f>COUNTIF($C$2:C87, "&lt;&gt;")</f>
        <v>86</v>
      </c>
      <c r="N87">
        <f t="shared" si="2"/>
        <v>34.504792332268373</v>
      </c>
    </row>
    <row r="88" spans="1:14" x14ac:dyDescent="0.3">
      <c r="A88" s="3">
        <v>44130</v>
      </c>
      <c r="B88" t="s">
        <v>20</v>
      </c>
      <c r="C88" s="1">
        <v>6.01</v>
      </c>
      <c r="D88">
        <f>45*60+45</f>
        <v>2745</v>
      </c>
      <c r="E88">
        <f>7*60+36</f>
        <v>456</v>
      </c>
      <c r="F88">
        <f>7*60+42</f>
        <v>462</v>
      </c>
      <c r="G88">
        <f>7*60+21</f>
        <v>441</v>
      </c>
      <c r="H88">
        <f>7*60+30</f>
        <v>450</v>
      </c>
      <c r="I88">
        <v>127</v>
      </c>
      <c r="J88" t="s">
        <v>68</v>
      </c>
      <c r="K88" s="2" t="s">
        <v>190</v>
      </c>
      <c r="L88">
        <f>COUNTIF($C$2:C88, "&lt;&gt;")</f>
        <v>87</v>
      </c>
      <c r="N88">
        <f t="shared" si="2"/>
        <v>21.131447587354408</v>
      </c>
    </row>
    <row r="89" spans="1:14" x14ac:dyDescent="0.3">
      <c r="A89" s="3">
        <v>44131</v>
      </c>
      <c r="B89" t="s">
        <v>29</v>
      </c>
      <c r="C89" s="1">
        <v>3.63</v>
      </c>
      <c r="D89">
        <f>26*60+30</f>
        <v>1590</v>
      </c>
      <c r="E89">
        <f>7*60+18</f>
        <v>438</v>
      </c>
      <c r="F89">
        <f>7*60+24</f>
        <v>444</v>
      </c>
      <c r="G89">
        <f>7*60+17</f>
        <v>437</v>
      </c>
      <c r="H89">
        <f>7*60+9</f>
        <v>429</v>
      </c>
      <c r="I89">
        <v>113</v>
      </c>
      <c r="J89" t="s">
        <v>174</v>
      </c>
      <c r="K89" s="2" t="s">
        <v>193</v>
      </c>
      <c r="L89">
        <f>COUNTIF($C$2:C89, "&lt;&gt;")</f>
        <v>88</v>
      </c>
      <c r="M89" t="s">
        <v>191</v>
      </c>
      <c r="N89">
        <f t="shared" si="2"/>
        <v>31.12947658402204</v>
      </c>
    </row>
    <row r="90" spans="1:14" x14ac:dyDescent="0.3">
      <c r="A90" s="3">
        <v>44132</v>
      </c>
      <c r="B90" t="s">
        <v>72</v>
      </c>
      <c r="C90" s="1">
        <v>3.01</v>
      </c>
      <c r="D90">
        <f>26*60+21</f>
        <v>1581</v>
      </c>
      <c r="E90">
        <f>8*60+44</f>
        <v>524</v>
      </c>
      <c r="F90">
        <f>8*60+32</f>
        <v>512</v>
      </c>
      <c r="G90">
        <f>8*60+44</f>
        <v>524</v>
      </c>
      <c r="H90">
        <f>8*60+54</f>
        <v>534</v>
      </c>
      <c r="I90">
        <v>152</v>
      </c>
      <c r="J90" t="s">
        <v>71</v>
      </c>
      <c r="K90" s="2" t="s">
        <v>192</v>
      </c>
      <c r="L90">
        <f>COUNTIF($C$2:C90, "&lt;&gt;")</f>
        <v>89</v>
      </c>
      <c r="N90">
        <f t="shared" si="2"/>
        <v>50.498338870431894</v>
      </c>
    </row>
    <row r="91" spans="1:14" x14ac:dyDescent="0.3">
      <c r="A91" s="3">
        <v>44133</v>
      </c>
      <c r="B91" t="s">
        <v>37</v>
      </c>
      <c r="C91" s="1">
        <v>4.0199999999999996</v>
      </c>
      <c r="D91">
        <f>30*60+56</f>
        <v>1856</v>
      </c>
      <c r="E91">
        <f>7*60+41</f>
        <v>461</v>
      </c>
      <c r="F91">
        <f>7*60+22</f>
        <v>442</v>
      </c>
      <c r="G91">
        <f>8*60+15</f>
        <v>495</v>
      </c>
      <c r="H91">
        <f>7*60+26</f>
        <v>446</v>
      </c>
      <c r="I91">
        <v>111</v>
      </c>
      <c r="J91" t="s">
        <v>163</v>
      </c>
      <c r="K91" s="2" t="s">
        <v>195</v>
      </c>
      <c r="L91">
        <f>COUNTIF($C$2:C91, "&lt;&gt;")</f>
        <v>90</v>
      </c>
      <c r="N91">
        <f t="shared" si="2"/>
        <v>27.611940298507466</v>
      </c>
    </row>
    <row r="92" spans="1:14" x14ac:dyDescent="0.3">
      <c r="A92" s="3">
        <v>44134</v>
      </c>
      <c r="B92" t="s">
        <v>72</v>
      </c>
      <c r="C92" s="1">
        <v>3.04</v>
      </c>
      <c r="D92">
        <f>26*60+26</f>
        <v>1586</v>
      </c>
      <c r="E92">
        <f>8*60+40</f>
        <v>520</v>
      </c>
      <c r="F92">
        <f>7*60+51</f>
        <v>471</v>
      </c>
      <c r="G92">
        <f>9*60+7</f>
        <v>547</v>
      </c>
      <c r="H92">
        <f>8*60+59</f>
        <v>539</v>
      </c>
      <c r="I92">
        <v>142</v>
      </c>
      <c r="J92" t="s">
        <v>71</v>
      </c>
      <c r="K92" s="2" t="s">
        <v>194</v>
      </c>
      <c r="L92">
        <f>COUNTIF($C$2:C92, "&lt;&gt;")</f>
        <v>91</v>
      </c>
      <c r="N92">
        <f t="shared" si="2"/>
        <v>46.710526315789473</v>
      </c>
    </row>
    <row r="93" spans="1:14" x14ac:dyDescent="0.3">
      <c r="A93" s="3">
        <v>44135</v>
      </c>
      <c r="B93" t="s">
        <v>102</v>
      </c>
      <c r="C93" s="1">
        <v>3.02</v>
      </c>
      <c r="D93">
        <f>26*60+36</f>
        <v>1596</v>
      </c>
      <c r="E93">
        <f>8*60+48</f>
        <v>528</v>
      </c>
      <c r="F93">
        <f>9*60+27</f>
        <v>567</v>
      </c>
      <c r="G93">
        <f>8*60+29</f>
        <v>509</v>
      </c>
      <c r="H93">
        <f>8*60+29</f>
        <v>509</v>
      </c>
      <c r="I93">
        <v>109</v>
      </c>
      <c r="J93" t="s">
        <v>104</v>
      </c>
      <c r="K93" s="2" t="s">
        <v>196</v>
      </c>
      <c r="L93">
        <f>COUNTIF($C$2:C93, "&lt;&gt;")</f>
        <v>92</v>
      </c>
      <c r="N93">
        <f t="shared" si="2"/>
        <v>36.092715231788077</v>
      </c>
    </row>
    <row r="94" spans="1:14" x14ac:dyDescent="0.3">
      <c r="A94" s="3">
        <v>44136</v>
      </c>
      <c r="B94" t="s">
        <v>102</v>
      </c>
      <c r="C94" s="1">
        <v>8.01</v>
      </c>
      <c r="D94">
        <f>1*3600+2*60+6</f>
        <v>3726</v>
      </c>
      <c r="E94">
        <f>7*60+45</f>
        <v>465</v>
      </c>
      <c r="F94">
        <f>8*60+23</f>
        <v>503</v>
      </c>
      <c r="G94">
        <f>7*60+44</f>
        <v>464</v>
      </c>
      <c r="H94">
        <f>7*60+45</f>
        <v>465</v>
      </c>
      <c r="I94">
        <v>348</v>
      </c>
      <c r="J94" t="s">
        <v>43</v>
      </c>
      <c r="K94" s="2" t="s">
        <v>197</v>
      </c>
      <c r="L94">
        <f>COUNTIF($C$2:C94, "&lt;&gt;")</f>
        <v>93</v>
      </c>
      <c r="N94">
        <f t="shared" si="2"/>
        <v>43.445692883895134</v>
      </c>
    </row>
    <row r="95" spans="1:14" x14ac:dyDescent="0.3">
      <c r="A95" s="3">
        <v>44137</v>
      </c>
      <c r="B95" t="s">
        <v>20</v>
      </c>
      <c r="C95" s="1">
        <v>8.01</v>
      </c>
      <c r="D95">
        <f>1*3600+8*60+3</f>
        <v>4083</v>
      </c>
      <c r="E95">
        <f>8*60+29</f>
        <v>509</v>
      </c>
      <c r="F95">
        <f>8*60+42</f>
        <v>522</v>
      </c>
      <c r="G95">
        <f>8*60+7</f>
        <v>487</v>
      </c>
      <c r="H95">
        <f>8*60+18</f>
        <v>498</v>
      </c>
      <c r="I95">
        <v>163</v>
      </c>
      <c r="J95" t="s">
        <v>68</v>
      </c>
      <c r="K95" s="2" t="s">
        <v>198</v>
      </c>
      <c r="L95">
        <f>COUNTIF($C$2:C95, "&lt;&gt;")</f>
        <v>94</v>
      </c>
      <c r="N95">
        <f t="shared" si="2"/>
        <v>20.349563046192259</v>
      </c>
    </row>
    <row r="96" spans="1:14" x14ac:dyDescent="0.3">
      <c r="A96" s="3">
        <v>44138</v>
      </c>
      <c r="B96" t="s">
        <v>29</v>
      </c>
      <c r="C96" s="1">
        <v>3.6</v>
      </c>
      <c r="D96">
        <f>24*60+23</f>
        <v>1463</v>
      </c>
      <c r="E96">
        <f>6*60+46</f>
        <v>406</v>
      </c>
      <c r="F96">
        <f>7*60+11</f>
        <v>431</v>
      </c>
      <c r="G96">
        <f>7*60+5</f>
        <v>425</v>
      </c>
      <c r="H96">
        <f>6*60+15</f>
        <v>375</v>
      </c>
      <c r="I96">
        <v>114</v>
      </c>
      <c r="J96" t="s">
        <v>174</v>
      </c>
      <c r="K96" s="2" t="s">
        <v>199</v>
      </c>
      <c r="L96">
        <f>COUNTIF($C$2:C96, "&lt;&gt;")</f>
        <v>95</v>
      </c>
      <c r="N96">
        <f t="shared" si="2"/>
        <v>31.666666666666664</v>
      </c>
    </row>
    <row r="97" spans="1:14" x14ac:dyDescent="0.3">
      <c r="A97" s="3">
        <v>44139</v>
      </c>
      <c r="B97" t="s">
        <v>33</v>
      </c>
      <c r="C97" s="1">
        <v>7.01</v>
      </c>
      <c r="D97">
        <f>51*60+24</f>
        <v>3084</v>
      </c>
      <c r="E97">
        <f>7*60+19</f>
        <v>439</v>
      </c>
      <c r="F97">
        <f>7*60+18</f>
        <v>438</v>
      </c>
      <c r="G97">
        <f>7*60+24</f>
        <v>444</v>
      </c>
      <c r="H97">
        <f>7*60+16</f>
        <v>436</v>
      </c>
      <c r="I97">
        <v>276</v>
      </c>
      <c r="J97" t="s">
        <v>201</v>
      </c>
      <c r="K97" s="2" t="s">
        <v>200</v>
      </c>
      <c r="L97">
        <f>COUNTIF($C$2:C97, "&lt;&gt;")</f>
        <v>96</v>
      </c>
      <c r="N97">
        <f t="shared" si="2"/>
        <v>39.372325249643367</v>
      </c>
    </row>
    <row r="98" spans="1:14" x14ac:dyDescent="0.3">
      <c r="A98" s="3">
        <v>44140</v>
      </c>
      <c r="B98" t="s">
        <v>37</v>
      </c>
      <c r="C98" s="1">
        <v>8.01</v>
      </c>
      <c r="D98">
        <f>1*3600</f>
        <v>3600</v>
      </c>
      <c r="E98">
        <f>7*60+29</f>
        <v>449</v>
      </c>
      <c r="F98">
        <f>7*60+44</f>
        <v>464</v>
      </c>
      <c r="G98">
        <f>7*60+33</f>
        <v>453</v>
      </c>
      <c r="H98">
        <f>7*60+42</f>
        <v>462</v>
      </c>
      <c r="I98">
        <v>223</v>
      </c>
      <c r="J98" t="s">
        <v>163</v>
      </c>
      <c r="K98" s="2" t="s">
        <v>202</v>
      </c>
      <c r="L98">
        <f>COUNTIF($C$2:C98, "&lt;&gt;")</f>
        <v>97</v>
      </c>
      <c r="N98">
        <f t="shared" ref="N98:N129" si="3">I98/C98</f>
        <v>27.840199750312109</v>
      </c>
    </row>
    <row r="99" spans="1:14" x14ac:dyDescent="0.3">
      <c r="A99" s="3">
        <v>44141</v>
      </c>
      <c r="C99" s="1">
        <v>20.010000000000002</v>
      </c>
      <c r="D99">
        <f>2*3600+51*60+19</f>
        <v>10279</v>
      </c>
      <c r="E99">
        <f>8*60+34</f>
        <v>514</v>
      </c>
      <c r="F99">
        <f>8*60+25</f>
        <v>505</v>
      </c>
      <c r="G99">
        <f>7*60+30</f>
        <v>450</v>
      </c>
      <c r="H99">
        <f>7*60+58</f>
        <v>478</v>
      </c>
      <c r="I99">
        <v>418</v>
      </c>
      <c r="J99" t="s">
        <v>21</v>
      </c>
      <c r="K99" s="2" t="s">
        <v>203</v>
      </c>
      <c r="L99">
        <f>COUNTIF($C$2:C99, "&lt;&gt;")</f>
        <v>98</v>
      </c>
      <c r="N99">
        <f t="shared" si="3"/>
        <v>20.889555222388804</v>
      </c>
    </row>
    <row r="100" spans="1:14" x14ac:dyDescent="0.3">
      <c r="A100" s="3">
        <v>44142</v>
      </c>
      <c r="B100" t="s">
        <v>9</v>
      </c>
      <c r="C100" s="1">
        <v>7.67</v>
      </c>
      <c r="D100">
        <f>1*3600+9</f>
        <v>3609</v>
      </c>
      <c r="E100">
        <f>7*60+50</f>
        <v>470</v>
      </c>
      <c r="F100">
        <f>8*60+28</f>
        <v>508</v>
      </c>
      <c r="G100">
        <f>7*60+52</f>
        <v>472</v>
      </c>
      <c r="H100">
        <f>7*60+41</f>
        <v>461</v>
      </c>
      <c r="I100">
        <v>138</v>
      </c>
      <c r="J100" t="s">
        <v>94</v>
      </c>
      <c r="K100" s="2" t="s">
        <v>204</v>
      </c>
      <c r="L100">
        <f>COUNTIF($C$2:C100, "&lt;&gt;")</f>
        <v>99</v>
      </c>
      <c r="N100">
        <f t="shared" si="3"/>
        <v>17.992177314211212</v>
      </c>
    </row>
    <row r="101" spans="1:14" x14ac:dyDescent="0.3">
      <c r="A101" s="3">
        <v>44143</v>
      </c>
      <c r="C101" s="1">
        <v>8.0399999999999991</v>
      </c>
      <c r="D101">
        <f>1*3600+11*60+25</f>
        <v>4285</v>
      </c>
      <c r="E101">
        <f>8*60+53</f>
        <v>533</v>
      </c>
      <c r="F101">
        <f>9*60+13</f>
        <v>553</v>
      </c>
      <c r="G101">
        <f>9*60+10</f>
        <v>550</v>
      </c>
      <c r="H101">
        <f>9*60+6</f>
        <v>546</v>
      </c>
      <c r="I101">
        <v>113</v>
      </c>
      <c r="J101" t="s">
        <v>155</v>
      </c>
      <c r="K101" s="2" t="s">
        <v>205</v>
      </c>
      <c r="L101">
        <f>COUNTIF($C$2:C101, "&lt;&gt;")</f>
        <v>100</v>
      </c>
      <c r="N101">
        <f t="shared" si="3"/>
        <v>14.054726368159205</v>
      </c>
    </row>
    <row r="102" spans="1:14" x14ac:dyDescent="0.3">
      <c r="A102" s="3">
        <v>44144</v>
      </c>
      <c r="B102" t="s">
        <v>20</v>
      </c>
      <c r="C102" s="1">
        <v>7.09</v>
      </c>
      <c r="D102">
        <f>1*3600+1*60+33</f>
        <v>3693</v>
      </c>
      <c r="E102">
        <f>8*60+41</f>
        <v>521</v>
      </c>
      <c r="F102">
        <f>9*60+8</f>
        <v>548</v>
      </c>
      <c r="G102">
        <f>8*60+31</f>
        <v>511</v>
      </c>
      <c r="H102">
        <f>8*60+49</f>
        <v>529</v>
      </c>
      <c r="I102">
        <v>142</v>
      </c>
      <c r="J102" t="s">
        <v>68</v>
      </c>
      <c r="K102" s="2" t="s">
        <v>208</v>
      </c>
      <c r="L102">
        <f>COUNTIF($C$2:C102, "&lt;&gt;")</f>
        <v>101</v>
      </c>
      <c r="N102">
        <f t="shared" si="3"/>
        <v>20.028208744710859</v>
      </c>
    </row>
    <row r="103" spans="1:14" x14ac:dyDescent="0.3">
      <c r="A103" s="3">
        <v>44145</v>
      </c>
      <c r="B103" t="s">
        <v>210</v>
      </c>
      <c r="C103" s="1">
        <v>3.01</v>
      </c>
      <c r="D103">
        <f>31*60+58</f>
        <v>1918</v>
      </c>
      <c r="E103">
        <f>10*60+37</f>
        <v>637</v>
      </c>
      <c r="F103">
        <f>10*60+45</f>
        <v>645</v>
      </c>
      <c r="G103">
        <f>10*60+22</f>
        <v>622</v>
      </c>
      <c r="H103">
        <f>10*60+41</f>
        <v>641</v>
      </c>
      <c r="I103">
        <v>222</v>
      </c>
      <c r="J103" t="s">
        <v>211</v>
      </c>
      <c r="K103" s="2" t="s">
        <v>215</v>
      </c>
      <c r="L103">
        <f>COUNTIF($C$2:C103, "&lt;&gt;")</f>
        <v>102</v>
      </c>
      <c r="N103">
        <f t="shared" si="3"/>
        <v>73.754152823920265</v>
      </c>
    </row>
    <row r="104" spans="1:14" x14ac:dyDescent="0.3">
      <c r="A104" s="3">
        <v>44146</v>
      </c>
      <c r="B104" t="s">
        <v>212</v>
      </c>
      <c r="C104" s="1">
        <v>3.03</v>
      </c>
      <c r="D104">
        <f>32*60+40</f>
        <v>1960</v>
      </c>
      <c r="E104">
        <f>10*60+46</f>
        <v>646</v>
      </c>
      <c r="F104">
        <f>10*60+39</f>
        <v>639</v>
      </c>
      <c r="G104">
        <f>10*60+23</f>
        <v>623</v>
      </c>
      <c r="H104">
        <f>11*60+10</f>
        <v>670</v>
      </c>
      <c r="I104">
        <v>129</v>
      </c>
      <c r="J104" t="s">
        <v>213</v>
      </c>
      <c r="K104" s="2" t="s">
        <v>214</v>
      </c>
      <c r="L104">
        <f>COUNTIF($C$2:C104, "&lt;&gt;")</f>
        <v>103</v>
      </c>
      <c r="N104">
        <f t="shared" si="3"/>
        <v>42.57425742574258</v>
      </c>
    </row>
    <row r="105" spans="1:14" x14ac:dyDescent="0.3">
      <c r="A105" s="3">
        <v>44147</v>
      </c>
      <c r="B105" t="s">
        <v>210</v>
      </c>
      <c r="C105" s="1">
        <v>3.03</v>
      </c>
      <c r="D105">
        <f>32*60+51</f>
        <v>1971</v>
      </c>
      <c r="E105">
        <f>10*60+50</f>
        <v>650</v>
      </c>
      <c r="F105">
        <f>10*60+25</f>
        <v>625</v>
      </c>
      <c r="G105">
        <f>10*60+55</f>
        <v>655</v>
      </c>
      <c r="H105">
        <f>11*60+5</f>
        <v>665</v>
      </c>
      <c r="I105">
        <v>147</v>
      </c>
      <c r="J105" t="s">
        <v>211</v>
      </c>
      <c r="K105" s="2" t="s">
        <v>215</v>
      </c>
      <c r="L105">
        <f>COUNTIF($C$2:C105, "&lt;&gt;")</f>
        <v>104</v>
      </c>
      <c r="N105">
        <f t="shared" si="3"/>
        <v>48.514851485148519</v>
      </c>
    </row>
    <row r="106" spans="1:14" x14ac:dyDescent="0.3">
      <c r="A106" s="3">
        <v>44148</v>
      </c>
      <c r="B106" t="s">
        <v>102</v>
      </c>
      <c r="C106" s="1">
        <v>3.12</v>
      </c>
      <c r="D106">
        <f>26*60+25</f>
        <v>1585</v>
      </c>
      <c r="E106">
        <f>8*60+28</f>
        <v>508</v>
      </c>
      <c r="F106">
        <f>9*60+8</f>
        <v>548</v>
      </c>
      <c r="G106">
        <f>8*60+10</f>
        <v>490</v>
      </c>
      <c r="H106">
        <f>8*60+10</f>
        <v>490</v>
      </c>
      <c r="I106">
        <v>108</v>
      </c>
      <c r="J106" t="s">
        <v>104</v>
      </c>
      <c r="K106" s="2" t="s">
        <v>209</v>
      </c>
      <c r="L106">
        <f>COUNTIF($C$2:C106, "&lt;&gt;")</f>
        <v>105</v>
      </c>
      <c r="N106">
        <f t="shared" si="3"/>
        <v>34.615384615384613</v>
      </c>
    </row>
    <row r="107" spans="1:14" x14ac:dyDescent="0.3">
      <c r="A107" s="3">
        <v>44149</v>
      </c>
      <c r="B107" t="s">
        <v>9</v>
      </c>
      <c r="C107" s="1">
        <v>7.48</v>
      </c>
      <c r="D107">
        <f>58*60+9</f>
        <v>3489</v>
      </c>
      <c r="E107">
        <f>7*60+43</f>
        <v>463</v>
      </c>
      <c r="F107">
        <f>7*60+42</f>
        <v>462</v>
      </c>
      <c r="G107">
        <f>7*60+27</f>
        <v>447</v>
      </c>
      <c r="H107">
        <f>7*60+31</f>
        <v>451</v>
      </c>
      <c r="I107">
        <v>98</v>
      </c>
      <c r="J107" t="s">
        <v>94</v>
      </c>
      <c r="K107" s="2" t="s">
        <v>206</v>
      </c>
      <c r="L107">
        <f>COUNTIF($C$2:C107, "&lt;&gt;")</f>
        <v>106</v>
      </c>
      <c r="M107" s="2" t="s">
        <v>207</v>
      </c>
      <c r="N107">
        <f t="shared" si="3"/>
        <v>13.101604278074866</v>
      </c>
    </row>
    <row r="108" spans="1:14" x14ac:dyDescent="0.3">
      <c r="A108" s="3">
        <v>44150</v>
      </c>
      <c r="B108" t="s">
        <v>102</v>
      </c>
      <c r="C108" s="1">
        <v>3.12</v>
      </c>
      <c r="D108">
        <f>24*60+50</f>
        <v>1490</v>
      </c>
      <c r="E108">
        <f>7*60+57</f>
        <v>477</v>
      </c>
      <c r="F108">
        <f>8*60+24</f>
        <v>504</v>
      </c>
      <c r="G108">
        <f>7*60+38</f>
        <v>458</v>
      </c>
      <c r="H108">
        <f>7*60+56</f>
        <v>476</v>
      </c>
      <c r="I108">
        <v>108</v>
      </c>
      <c r="J108" t="s">
        <v>104</v>
      </c>
      <c r="K108" s="2" t="s">
        <v>216</v>
      </c>
      <c r="L108">
        <f>COUNTIF($C$2:C108, "&lt;&gt;")</f>
        <v>107</v>
      </c>
      <c r="N108">
        <f t="shared" si="3"/>
        <v>34.615384615384613</v>
      </c>
    </row>
    <row r="109" spans="1:14" x14ac:dyDescent="0.3">
      <c r="A109" s="3">
        <v>44151</v>
      </c>
      <c r="B109" t="s">
        <v>20</v>
      </c>
      <c r="C109" s="1">
        <v>7.02</v>
      </c>
      <c r="D109">
        <f>57*60+27</f>
        <v>3447</v>
      </c>
      <c r="E109">
        <f>8*60+11</f>
        <v>491</v>
      </c>
      <c r="F109">
        <f>8*60+15</f>
        <v>495</v>
      </c>
      <c r="G109">
        <f>7*60+50</f>
        <v>470</v>
      </c>
      <c r="H109">
        <f>8*60+6</f>
        <v>486</v>
      </c>
      <c r="I109">
        <v>161</v>
      </c>
      <c r="J109" t="s">
        <v>68</v>
      </c>
      <c r="K109" s="2" t="s">
        <v>217</v>
      </c>
      <c r="L109">
        <f>COUNTIF($C$2:C109, "&lt;&gt;")</f>
        <v>108</v>
      </c>
      <c r="N109">
        <f t="shared" si="3"/>
        <v>22.934472934472936</v>
      </c>
    </row>
    <row r="110" spans="1:14" x14ac:dyDescent="0.3">
      <c r="A110" s="3">
        <v>44152</v>
      </c>
      <c r="B110" t="s">
        <v>29</v>
      </c>
      <c r="C110" s="1">
        <v>3.61</v>
      </c>
      <c r="D110">
        <f>25*60+25</f>
        <v>1525</v>
      </c>
      <c r="E110">
        <f>7*60+2</f>
        <v>422</v>
      </c>
      <c r="F110">
        <f>7*60+20</f>
        <v>440</v>
      </c>
      <c r="G110">
        <f>7*60+23</f>
        <v>443</v>
      </c>
      <c r="H110">
        <f>6*60+43</f>
        <v>403</v>
      </c>
      <c r="I110">
        <v>114</v>
      </c>
      <c r="J110" t="s">
        <v>174</v>
      </c>
      <c r="K110" s="2" t="s">
        <v>218</v>
      </c>
      <c r="L110">
        <f>COUNTIF($C$2:C110, "&lt;&gt;")</f>
        <v>109</v>
      </c>
      <c r="N110">
        <f t="shared" si="3"/>
        <v>31.578947368421055</v>
      </c>
    </row>
    <row r="111" spans="1:14" x14ac:dyDescent="0.3">
      <c r="A111" s="3">
        <v>44153</v>
      </c>
      <c r="B111" t="s">
        <v>33</v>
      </c>
      <c r="C111" s="1">
        <v>7.02</v>
      </c>
      <c r="D111">
        <f>53*60+26</f>
        <v>3206</v>
      </c>
      <c r="E111">
        <f>7*60+36</f>
        <v>456</v>
      </c>
      <c r="F111">
        <f>6*60+44</f>
        <v>404</v>
      </c>
      <c r="G111">
        <f>7*60+27</f>
        <v>447</v>
      </c>
      <c r="H111">
        <f>7*60+51</f>
        <v>471</v>
      </c>
      <c r="I111">
        <v>278</v>
      </c>
      <c r="J111" t="s">
        <v>201</v>
      </c>
      <c r="K111" s="2" t="s">
        <v>219</v>
      </c>
      <c r="L111">
        <f>COUNTIF($C$2:C111, "&lt;&gt;")</f>
        <v>110</v>
      </c>
      <c r="N111">
        <f t="shared" si="3"/>
        <v>39.6011396011396</v>
      </c>
    </row>
    <row r="112" spans="1:14" x14ac:dyDescent="0.3">
      <c r="A112" s="3">
        <v>44154</v>
      </c>
      <c r="B112" t="s">
        <v>220</v>
      </c>
      <c r="C112" s="1">
        <v>4.01</v>
      </c>
      <c r="D112">
        <f>30*60+36</f>
        <v>1836</v>
      </c>
      <c r="E112">
        <f>7*60+37</f>
        <v>457</v>
      </c>
      <c r="F112">
        <f>7*60+15</f>
        <v>435</v>
      </c>
      <c r="G112">
        <f>8*60</f>
        <v>480</v>
      </c>
      <c r="H112">
        <f>7*60+40</f>
        <v>460</v>
      </c>
      <c r="I112">
        <v>81</v>
      </c>
      <c r="J112" t="s">
        <v>221</v>
      </c>
      <c r="K112" s="2" t="s">
        <v>222</v>
      </c>
      <c r="L112">
        <f>COUNTIF($C$2:C112, "&lt;&gt;")</f>
        <v>111</v>
      </c>
      <c r="N112">
        <f t="shared" si="3"/>
        <v>20.199501246882793</v>
      </c>
    </row>
    <row r="113" spans="1:14" x14ac:dyDescent="0.3">
      <c r="A113" s="3">
        <v>44155</v>
      </c>
      <c r="B113" t="s">
        <v>72</v>
      </c>
      <c r="C113" s="1">
        <v>3.03</v>
      </c>
      <c r="D113">
        <f>26*60+20</f>
        <v>1580</v>
      </c>
      <c r="E113">
        <f>8*60+41</f>
        <v>521</v>
      </c>
      <c r="F113">
        <f>8*60+46</f>
        <v>526</v>
      </c>
      <c r="G113">
        <f>8*60+32</f>
        <v>512</v>
      </c>
      <c r="H113">
        <f>8*60+43</f>
        <v>523</v>
      </c>
      <c r="I113">
        <v>146</v>
      </c>
      <c r="J113" t="s">
        <v>71</v>
      </c>
      <c r="K113" s="2" t="s">
        <v>223</v>
      </c>
      <c r="L113">
        <f>COUNTIF($C$2:C113, "&lt;&gt;")</f>
        <v>112</v>
      </c>
      <c r="N113">
        <f t="shared" si="3"/>
        <v>48.18481848184819</v>
      </c>
    </row>
    <row r="114" spans="1:14" x14ac:dyDescent="0.3">
      <c r="A114" s="3">
        <v>44156</v>
      </c>
      <c r="B114" t="s">
        <v>9</v>
      </c>
      <c r="C114" s="1">
        <v>8.56</v>
      </c>
      <c r="D114">
        <f>1*3600+7*60+22</f>
        <v>4042</v>
      </c>
      <c r="E114">
        <f>7*60+52</f>
        <v>472</v>
      </c>
      <c r="F114">
        <f>8*60+29</f>
        <v>509</v>
      </c>
      <c r="G114">
        <f>7*60+27</f>
        <v>447</v>
      </c>
      <c r="H114">
        <f>7*60+35</f>
        <v>455</v>
      </c>
      <c r="I114">
        <v>168</v>
      </c>
      <c r="J114" t="s">
        <v>225</v>
      </c>
      <c r="K114" s="2" t="s">
        <v>224</v>
      </c>
      <c r="L114">
        <f>COUNTIF($C$2:C114, "&lt;&gt;")</f>
        <v>113</v>
      </c>
      <c r="N114">
        <f t="shared" si="3"/>
        <v>19.626168224299064</v>
      </c>
    </row>
    <row r="115" spans="1:14" x14ac:dyDescent="0.3">
      <c r="A115" s="3">
        <v>44157</v>
      </c>
      <c r="C115" s="1">
        <v>10.06</v>
      </c>
      <c r="D115">
        <f>1*3600+27*60+37</f>
        <v>5257</v>
      </c>
      <c r="E115">
        <f>8*60+42</f>
        <v>522</v>
      </c>
      <c r="F115">
        <f>9*60+23</f>
        <v>563</v>
      </c>
      <c r="G115">
        <f>9*60+30</f>
        <v>570</v>
      </c>
      <c r="H115">
        <f>9*60+22</f>
        <v>562</v>
      </c>
      <c r="I115">
        <v>197</v>
      </c>
      <c r="J115" t="s">
        <v>155</v>
      </c>
      <c r="K115" s="2" t="s">
        <v>226</v>
      </c>
      <c r="L115">
        <f>COUNTIF($C$2:C115, "&lt;&gt;")</f>
        <v>114</v>
      </c>
      <c r="N115">
        <f t="shared" si="3"/>
        <v>19.582504970178924</v>
      </c>
    </row>
    <row r="116" spans="1:14" x14ac:dyDescent="0.3">
      <c r="A116" s="3">
        <v>44158</v>
      </c>
      <c r="B116" t="s">
        <v>20</v>
      </c>
      <c r="C116" s="1">
        <v>7.06</v>
      </c>
      <c r="D116">
        <f>57*60+53</f>
        <v>3473</v>
      </c>
      <c r="E116">
        <f>8*60+12</f>
        <v>492</v>
      </c>
      <c r="F116">
        <f>8*60+7</f>
        <v>487</v>
      </c>
      <c r="G116">
        <f>7*60+59</f>
        <v>479</v>
      </c>
      <c r="H116">
        <f>8*60+15</f>
        <v>495</v>
      </c>
      <c r="I116">
        <v>141</v>
      </c>
      <c r="J116" t="s">
        <v>68</v>
      </c>
      <c r="K116" s="2" t="s">
        <v>227</v>
      </c>
      <c r="L116">
        <f>COUNTIF($C$2:C116, "&lt;&gt;")</f>
        <v>115</v>
      </c>
      <c r="N116">
        <f t="shared" si="3"/>
        <v>19.971671388101985</v>
      </c>
    </row>
    <row r="117" spans="1:14" x14ac:dyDescent="0.3">
      <c r="A117" s="3">
        <v>44159</v>
      </c>
      <c r="B117" t="s">
        <v>29</v>
      </c>
      <c r="C117" s="1">
        <v>3.65</v>
      </c>
      <c r="D117">
        <f>25*60+48</f>
        <v>1548</v>
      </c>
      <c r="E117">
        <f>7*60+3</f>
        <v>423</v>
      </c>
      <c r="F117">
        <f>6*60+59</f>
        <v>419</v>
      </c>
      <c r="G117">
        <f>7*60+13</f>
        <v>433</v>
      </c>
      <c r="H117">
        <f>6*60+54</f>
        <v>414</v>
      </c>
      <c r="I117">
        <v>114</v>
      </c>
      <c r="J117" t="s">
        <v>174</v>
      </c>
      <c r="K117" s="2" t="s">
        <v>228</v>
      </c>
      <c r="L117">
        <f>COUNTIF($C$2:C117, "&lt;&gt;")</f>
        <v>116</v>
      </c>
      <c r="N117">
        <f t="shared" si="3"/>
        <v>31.232876712328768</v>
      </c>
    </row>
    <row r="118" spans="1:14" x14ac:dyDescent="0.3">
      <c r="A118" s="3">
        <v>44160</v>
      </c>
      <c r="B118" t="s">
        <v>33</v>
      </c>
      <c r="C118" s="1">
        <v>7.01</v>
      </c>
      <c r="D118">
        <f>53*60+49</f>
        <v>3229</v>
      </c>
      <c r="E118">
        <f>7*60+40</f>
        <v>460</v>
      </c>
      <c r="F118">
        <f>7*60+8</f>
        <v>428</v>
      </c>
      <c r="G118">
        <f>7*60+50</f>
        <v>470</v>
      </c>
      <c r="H118">
        <f>7*60+41</f>
        <v>461</v>
      </c>
      <c r="I118">
        <v>277</v>
      </c>
      <c r="J118" t="s">
        <v>201</v>
      </c>
      <c r="K118" s="2" t="s">
        <v>229</v>
      </c>
      <c r="L118">
        <f>COUNTIF($C$2:C118, "&lt;&gt;")</f>
        <v>117</v>
      </c>
      <c r="N118">
        <f t="shared" si="3"/>
        <v>39.51497860199715</v>
      </c>
    </row>
    <row r="119" spans="1:14" x14ac:dyDescent="0.3">
      <c r="A119" s="3">
        <v>44161</v>
      </c>
      <c r="B119" t="s">
        <v>230</v>
      </c>
      <c r="C119" s="1">
        <v>5.01</v>
      </c>
      <c r="D119">
        <f>39*60</f>
        <v>2340</v>
      </c>
      <c r="E119">
        <f>7*60+46</f>
        <v>466</v>
      </c>
      <c r="F119">
        <f>8*60+14</f>
        <v>494</v>
      </c>
      <c r="G119">
        <f>7*60+46</f>
        <v>466</v>
      </c>
      <c r="H119">
        <f>7*60+43</f>
        <v>463</v>
      </c>
      <c r="I119">
        <v>170</v>
      </c>
      <c r="J119" t="s">
        <v>231</v>
      </c>
      <c r="K119" s="2" t="s">
        <v>232</v>
      </c>
      <c r="L119">
        <f>COUNTIF($C$2:C119, "&lt;&gt;")</f>
        <v>118</v>
      </c>
      <c r="N119">
        <f t="shared" si="3"/>
        <v>33.932135728542917</v>
      </c>
    </row>
    <row r="120" spans="1:14" x14ac:dyDescent="0.3">
      <c r="A120" s="3">
        <v>44162</v>
      </c>
      <c r="C120" s="1">
        <v>12.02</v>
      </c>
      <c r="D120">
        <f>1*3600+45*60+51</f>
        <v>6351</v>
      </c>
      <c r="E120">
        <f>8*60+48</f>
        <v>528</v>
      </c>
      <c r="F120">
        <f>8*60+55</f>
        <v>535</v>
      </c>
      <c r="G120">
        <f>8*60+45</f>
        <v>525</v>
      </c>
      <c r="H120">
        <f>8*60+31</f>
        <v>511</v>
      </c>
      <c r="I120">
        <v>409</v>
      </c>
      <c r="J120" t="s">
        <v>238</v>
      </c>
      <c r="K120" s="2" t="s">
        <v>239</v>
      </c>
      <c r="L120">
        <f>COUNTIF($C$2:C120, "&lt;&gt;")</f>
        <v>119</v>
      </c>
      <c r="N120">
        <f t="shared" si="3"/>
        <v>34.026622296173045</v>
      </c>
    </row>
    <row r="121" spans="1:14" x14ac:dyDescent="0.3">
      <c r="A121" s="3">
        <v>44163</v>
      </c>
      <c r="B121" t="s">
        <v>33</v>
      </c>
      <c r="C121" s="1">
        <v>5.46</v>
      </c>
      <c r="D121">
        <f>44*60+19</f>
        <v>2659</v>
      </c>
      <c r="E121">
        <f>8*60+7</f>
        <v>487</v>
      </c>
      <c r="F121">
        <f>8*60+5</f>
        <v>485</v>
      </c>
      <c r="G121">
        <f>7*60+24</f>
        <v>444</v>
      </c>
      <c r="H121">
        <f>7*60+53</f>
        <v>473</v>
      </c>
      <c r="I121">
        <v>117</v>
      </c>
      <c r="J121" t="s">
        <v>64</v>
      </c>
      <c r="K121" s="2" t="s">
        <v>233</v>
      </c>
      <c r="L121">
        <f>COUNTIF($C$2:C121, "&lt;&gt;")</f>
        <v>120</v>
      </c>
      <c r="N121">
        <f t="shared" si="3"/>
        <v>21.428571428571427</v>
      </c>
    </row>
    <row r="122" spans="1:14" x14ac:dyDescent="0.3">
      <c r="A122" s="3">
        <v>44164</v>
      </c>
      <c r="B122" t="s">
        <v>234</v>
      </c>
      <c r="C122" s="1">
        <v>5.0199999999999996</v>
      </c>
      <c r="D122">
        <f>47*60+52</f>
        <v>2872</v>
      </c>
      <c r="E122">
        <f>9*60+32</f>
        <v>572</v>
      </c>
      <c r="F122">
        <f>9*60+36</f>
        <v>576</v>
      </c>
      <c r="G122">
        <f>9*60+39</f>
        <v>579</v>
      </c>
      <c r="H122">
        <f>9*60+38</f>
        <v>578</v>
      </c>
      <c r="I122">
        <v>241</v>
      </c>
      <c r="J122" t="s">
        <v>231</v>
      </c>
      <c r="K122" s="2" t="s">
        <v>235</v>
      </c>
      <c r="L122">
        <f>COUNTIF($C$2:C122, "&lt;&gt;")</f>
        <v>121</v>
      </c>
      <c r="N122">
        <f t="shared" si="3"/>
        <v>48.007968127490045</v>
      </c>
    </row>
    <row r="123" spans="1:14" x14ac:dyDescent="0.3">
      <c r="A123" s="3">
        <v>44165</v>
      </c>
      <c r="B123" t="s">
        <v>20</v>
      </c>
      <c r="C123" s="1">
        <v>7.01</v>
      </c>
      <c r="D123">
        <f>54*60+52</f>
        <v>3292</v>
      </c>
      <c r="E123">
        <f>7*60+49</f>
        <v>469</v>
      </c>
      <c r="F123">
        <f>7*60+49</f>
        <v>469</v>
      </c>
      <c r="G123">
        <f>7*60+23</f>
        <v>443</v>
      </c>
      <c r="H123">
        <f>7*60+54</f>
        <v>474</v>
      </c>
      <c r="I123">
        <v>123</v>
      </c>
      <c r="J123" t="s">
        <v>236</v>
      </c>
      <c r="K123" s="2" t="s">
        <v>237</v>
      </c>
      <c r="L123">
        <f>COUNTIF($C$2:C123, "&lt;&gt;")</f>
        <v>122</v>
      </c>
      <c r="N123">
        <f t="shared" si="3"/>
        <v>17.546362339514978</v>
      </c>
    </row>
    <row r="124" spans="1:14" x14ac:dyDescent="0.3">
      <c r="A124" s="3">
        <v>44166</v>
      </c>
      <c r="B124" t="s">
        <v>29</v>
      </c>
      <c r="C124" s="1">
        <v>3.64</v>
      </c>
      <c r="D124">
        <f>25*60+4</f>
        <v>1504</v>
      </c>
      <c r="E124">
        <f>6*60+53</f>
        <v>413</v>
      </c>
      <c r="F124">
        <f>7*60+24</f>
        <v>444</v>
      </c>
      <c r="G124">
        <f>6*60+50</f>
        <v>410</v>
      </c>
      <c r="H124">
        <f>6*60+24</f>
        <v>384</v>
      </c>
      <c r="I124">
        <v>112</v>
      </c>
      <c r="J124" t="s">
        <v>174</v>
      </c>
      <c r="K124" s="2" t="s">
        <v>240</v>
      </c>
      <c r="L124">
        <f>COUNTIF($C$2:C124, "&lt;&gt;")</f>
        <v>123</v>
      </c>
      <c r="N124">
        <f t="shared" si="3"/>
        <v>30.769230769230766</v>
      </c>
    </row>
    <row r="125" spans="1:14" x14ac:dyDescent="0.3">
      <c r="A125" s="3">
        <v>44167</v>
      </c>
      <c r="B125" t="s">
        <v>33</v>
      </c>
      <c r="C125" s="1">
        <v>4.26</v>
      </c>
      <c r="D125">
        <f>32*60+8</f>
        <v>1928</v>
      </c>
      <c r="E125">
        <f>7*60+32</f>
        <v>452</v>
      </c>
      <c r="F125">
        <f>6*60+54</f>
        <v>414</v>
      </c>
      <c r="G125">
        <f>7*60+43</f>
        <v>463</v>
      </c>
      <c r="H125">
        <f>7*60+48</f>
        <v>468</v>
      </c>
      <c r="I125">
        <v>178</v>
      </c>
      <c r="J125" t="s">
        <v>123</v>
      </c>
      <c r="K125" s="2" t="s">
        <v>241</v>
      </c>
      <c r="L125">
        <f>COUNTIF($C$2:C125, "&lt;&gt;")</f>
        <v>124</v>
      </c>
      <c r="N125">
        <f t="shared" si="3"/>
        <v>41.784037558685448</v>
      </c>
    </row>
    <row r="126" spans="1:14" x14ac:dyDescent="0.3">
      <c r="A126" s="3">
        <v>44168</v>
      </c>
      <c r="B126" t="s">
        <v>37</v>
      </c>
      <c r="C126" s="1">
        <v>4.01</v>
      </c>
      <c r="D126">
        <f>29*60+22</f>
        <v>1762</v>
      </c>
      <c r="E126">
        <f>7*60+18</f>
        <v>438</v>
      </c>
      <c r="F126">
        <f>7*60+7</f>
        <v>427</v>
      </c>
      <c r="G126">
        <f>7*60+28</f>
        <v>448</v>
      </c>
      <c r="H126">
        <f>7*60+27</f>
        <v>447</v>
      </c>
      <c r="I126">
        <v>111</v>
      </c>
      <c r="J126" t="s">
        <v>163</v>
      </c>
      <c r="K126" s="2" t="s">
        <v>242</v>
      </c>
      <c r="L126">
        <f>COUNTIF($C$2:C126, "&lt;&gt;")</f>
        <v>125</v>
      </c>
      <c r="N126">
        <f t="shared" si="3"/>
        <v>27.680798004987533</v>
      </c>
    </row>
    <row r="127" spans="1:14" x14ac:dyDescent="0.3">
      <c r="A127" s="3">
        <v>44169</v>
      </c>
      <c r="C127" s="1">
        <v>3.18</v>
      </c>
      <c r="D127">
        <f>26*60+36</f>
        <v>1596</v>
      </c>
      <c r="E127">
        <f>8*60+21</f>
        <v>501</v>
      </c>
      <c r="F127">
        <f>7*60+17</f>
        <v>437</v>
      </c>
      <c r="G127">
        <f>8*60+45</f>
        <v>525</v>
      </c>
      <c r="H127">
        <f>8*60+53</f>
        <v>533</v>
      </c>
      <c r="I127">
        <v>67</v>
      </c>
      <c r="J127" t="s">
        <v>243</v>
      </c>
      <c r="K127" s="2" t="s">
        <v>244</v>
      </c>
      <c r="L127">
        <f>COUNTIF($C$2:C127, "&lt;&gt;")</f>
        <v>126</v>
      </c>
      <c r="N127">
        <f t="shared" si="3"/>
        <v>21.069182389937104</v>
      </c>
    </row>
    <row r="128" spans="1:14" x14ac:dyDescent="0.3">
      <c r="A128" s="3">
        <v>44170</v>
      </c>
      <c r="B128" t="s">
        <v>33</v>
      </c>
      <c r="C128" s="1">
        <v>6.01</v>
      </c>
      <c r="D128">
        <f>53*60+56</f>
        <v>3236</v>
      </c>
      <c r="E128">
        <f>8*60+58</f>
        <v>538</v>
      </c>
      <c r="F128">
        <f>8*60+41</f>
        <v>521</v>
      </c>
      <c r="G128">
        <f>9*60+17</f>
        <v>557</v>
      </c>
      <c r="H128">
        <f>9*60+6</f>
        <v>546</v>
      </c>
      <c r="I128">
        <v>131</v>
      </c>
      <c r="J128" t="s">
        <v>64</v>
      </c>
      <c r="K128" s="2" t="s">
        <v>245</v>
      </c>
      <c r="L128">
        <f>COUNTIF($C$2:C128, "&lt;&gt;")</f>
        <v>127</v>
      </c>
      <c r="N128">
        <f t="shared" si="3"/>
        <v>21.797004991680534</v>
      </c>
    </row>
    <row r="129" spans="1:14" x14ac:dyDescent="0.3">
      <c r="A129" s="3">
        <v>44171</v>
      </c>
      <c r="C129" s="1">
        <v>15.03</v>
      </c>
      <c r="D129">
        <f>2*3600+16*60+44</f>
        <v>8204</v>
      </c>
      <c r="E129">
        <f>9*60+6</f>
        <v>546</v>
      </c>
      <c r="F129">
        <f>9*60+30</f>
        <v>570</v>
      </c>
      <c r="G129">
        <f>9*60+9</f>
        <v>549</v>
      </c>
      <c r="H129">
        <f>9*60+8</f>
        <v>548</v>
      </c>
      <c r="I129">
        <v>315</v>
      </c>
      <c r="J129" t="s">
        <v>246</v>
      </c>
      <c r="K129" s="2" t="s">
        <v>247</v>
      </c>
      <c r="L129">
        <f>COUNTIF($C$2:C129, "&lt;&gt;")</f>
        <v>128</v>
      </c>
      <c r="N129">
        <f t="shared" si="3"/>
        <v>20.95808383233533</v>
      </c>
    </row>
    <row r="130" spans="1:14" x14ac:dyDescent="0.3">
      <c r="A130" s="3">
        <v>44172</v>
      </c>
      <c r="B130" t="s">
        <v>20</v>
      </c>
      <c r="C130" s="1">
        <v>9</v>
      </c>
      <c r="D130">
        <f>1*3600+37*60+53</f>
        <v>5873</v>
      </c>
      <c r="E130">
        <f>10*60+52</f>
        <v>652</v>
      </c>
      <c r="F130">
        <f>9*60+12</f>
        <v>552</v>
      </c>
      <c r="G130">
        <f>9*60+20</f>
        <v>560</v>
      </c>
      <c r="H130">
        <f>12*60+27</f>
        <v>747</v>
      </c>
      <c r="I130">
        <v>161</v>
      </c>
      <c r="J130" t="s">
        <v>236</v>
      </c>
      <c r="K130" s="2" t="s">
        <v>248</v>
      </c>
      <c r="L130">
        <f>COUNTIF($C$2:C130, "&lt;&gt;")</f>
        <v>129</v>
      </c>
      <c r="N130">
        <f t="shared" ref="N130:N161" si="4">I130/C130</f>
        <v>17.888888888888889</v>
      </c>
    </row>
    <row r="131" spans="1:14" x14ac:dyDescent="0.3">
      <c r="A131" s="3">
        <v>44173</v>
      </c>
      <c r="B131" t="s">
        <v>29</v>
      </c>
      <c r="C131" s="1">
        <v>3.67</v>
      </c>
      <c r="D131">
        <f>25*60+54</f>
        <v>1554</v>
      </c>
      <c r="E131">
        <f>7*60+3</f>
        <v>423</v>
      </c>
      <c r="F131">
        <f>7*60+5</f>
        <v>425</v>
      </c>
      <c r="G131">
        <f>7*60+27</f>
        <v>447</v>
      </c>
      <c r="H131">
        <f>6*60+41</f>
        <v>401</v>
      </c>
      <c r="I131">
        <v>113</v>
      </c>
      <c r="J131" t="s">
        <v>174</v>
      </c>
      <c r="K131" s="2" t="s">
        <v>249</v>
      </c>
      <c r="L131">
        <f>COUNTIF($C$2:C131, "&lt;&gt;")</f>
        <v>130</v>
      </c>
      <c r="N131">
        <f t="shared" si="4"/>
        <v>30.790190735694825</v>
      </c>
    </row>
    <row r="132" spans="1:14" x14ac:dyDescent="0.3">
      <c r="A132" s="3">
        <v>44174</v>
      </c>
      <c r="B132" t="s">
        <v>33</v>
      </c>
      <c r="C132" s="1">
        <v>4.13</v>
      </c>
      <c r="D132">
        <f>30*60+36</f>
        <v>1836</v>
      </c>
      <c r="E132">
        <f>7*60+24</f>
        <v>444</v>
      </c>
      <c r="F132">
        <f>6*60+55</f>
        <v>415</v>
      </c>
      <c r="G132">
        <f>7*60+37</f>
        <v>457</v>
      </c>
      <c r="H132">
        <f>7*60+47</f>
        <v>467</v>
      </c>
      <c r="I132">
        <v>178</v>
      </c>
      <c r="J132" t="s">
        <v>123</v>
      </c>
      <c r="K132" s="2" t="s">
        <v>256</v>
      </c>
      <c r="L132">
        <f>COUNTIF($C$2:C132, "&lt;&gt;")</f>
        <v>131</v>
      </c>
      <c r="N132">
        <f t="shared" si="4"/>
        <v>43.099273607748188</v>
      </c>
    </row>
    <row r="133" spans="1:14" x14ac:dyDescent="0.3">
      <c r="A133" s="3">
        <v>44175</v>
      </c>
      <c r="B133" t="s">
        <v>37</v>
      </c>
      <c r="C133" s="1">
        <v>8.01</v>
      </c>
      <c r="D133">
        <f>1*3600+60+16</f>
        <v>3676</v>
      </c>
      <c r="E133">
        <f>7*60+38</f>
        <v>458</v>
      </c>
      <c r="F133">
        <f>7*60+45</f>
        <v>465</v>
      </c>
      <c r="G133">
        <f>7*60+37</f>
        <v>457</v>
      </c>
      <c r="H133">
        <f>7*60+32</f>
        <v>452</v>
      </c>
      <c r="I133">
        <v>223</v>
      </c>
      <c r="J133" t="s">
        <v>163</v>
      </c>
      <c r="K133" s="2" t="s">
        <v>255</v>
      </c>
      <c r="L133">
        <f>COUNTIF($C$2:C133, "&lt;&gt;")</f>
        <v>132</v>
      </c>
      <c r="N133">
        <f t="shared" si="4"/>
        <v>27.840199750312109</v>
      </c>
    </row>
    <row r="134" spans="1:14" x14ac:dyDescent="0.3">
      <c r="A134" s="3">
        <v>44176</v>
      </c>
      <c r="B134" t="s">
        <v>102</v>
      </c>
      <c r="C134" s="1">
        <v>8.02</v>
      </c>
      <c r="D134">
        <f>1*3600+12*60+42</f>
        <v>4362</v>
      </c>
      <c r="E134">
        <f>9*60+4</f>
        <v>544</v>
      </c>
      <c r="F134">
        <f>8*60+41</f>
        <v>521</v>
      </c>
      <c r="G134">
        <f>8*60+30</f>
        <v>510</v>
      </c>
      <c r="H134">
        <f>8*60+32</f>
        <v>512</v>
      </c>
      <c r="I134">
        <v>315</v>
      </c>
      <c r="J134" t="s">
        <v>104</v>
      </c>
      <c r="K134" s="2" t="s">
        <v>254</v>
      </c>
      <c r="L134">
        <f>COUNTIF($C$2:C134, "&lt;&gt;")</f>
        <v>133</v>
      </c>
      <c r="N134">
        <f t="shared" si="4"/>
        <v>39.276807980049874</v>
      </c>
    </row>
    <row r="135" spans="1:14" x14ac:dyDescent="0.3">
      <c r="A135" s="3">
        <v>44177</v>
      </c>
      <c r="B135" t="s">
        <v>9</v>
      </c>
      <c r="C135" s="1">
        <v>6.03</v>
      </c>
      <c r="D135">
        <f>53*60+55</f>
        <v>3235</v>
      </c>
      <c r="E135">
        <f>8*60+56</f>
        <v>536</v>
      </c>
      <c r="F135">
        <f>9*60+11</f>
        <v>551</v>
      </c>
      <c r="G135">
        <f>8*60+57</f>
        <v>537</v>
      </c>
      <c r="H135">
        <f>8*60+41</f>
        <v>521</v>
      </c>
      <c r="I135">
        <v>196</v>
      </c>
      <c r="J135" t="s">
        <v>225</v>
      </c>
      <c r="K135" s="2" t="s">
        <v>253</v>
      </c>
      <c r="L135">
        <f>COUNTIF($C$2:C135, "&lt;&gt;")</f>
        <v>134</v>
      </c>
      <c r="N135">
        <f t="shared" si="4"/>
        <v>32.504145936981757</v>
      </c>
    </row>
    <row r="136" spans="1:14" x14ac:dyDescent="0.3">
      <c r="A136" s="3">
        <v>44178</v>
      </c>
      <c r="C136" s="1">
        <v>17</v>
      </c>
      <c r="D136">
        <f>2*3600+34*60+29</f>
        <v>9269</v>
      </c>
      <c r="E136">
        <f>9*60+5</f>
        <v>545</v>
      </c>
      <c r="F136">
        <f>9*60+4</f>
        <v>544</v>
      </c>
      <c r="G136">
        <f>9*60+8</f>
        <v>548</v>
      </c>
      <c r="H136">
        <f>9*60+12</f>
        <v>552</v>
      </c>
      <c r="I136">
        <v>372</v>
      </c>
      <c r="J136" t="s">
        <v>246</v>
      </c>
      <c r="K136" s="2" t="s">
        <v>252</v>
      </c>
      <c r="L136">
        <f>COUNTIF($C$2:C136, "&lt;&gt;")</f>
        <v>135</v>
      </c>
      <c r="M136" s="2" t="s">
        <v>251</v>
      </c>
      <c r="N136">
        <f t="shared" si="4"/>
        <v>21.882352941176471</v>
      </c>
    </row>
    <row r="137" spans="1:14" x14ac:dyDescent="0.3">
      <c r="A137" s="3">
        <v>44179</v>
      </c>
      <c r="B137" t="s">
        <v>20</v>
      </c>
      <c r="C137" s="1">
        <v>7.04</v>
      </c>
      <c r="D137">
        <f>59*60+40</f>
        <v>3580</v>
      </c>
      <c r="E137">
        <f>8*60+28</f>
        <v>508</v>
      </c>
      <c r="F137">
        <f>8*60+43</f>
        <v>523</v>
      </c>
      <c r="G137">
        <f>7*60+51</f>
        <v>471</v>
      </c>
      <c r="H137">
        <f>8*60+31</f>
        <v>511</v>
      </c>
      <c r="I137">
        <v>142</v>
      </c>
      <c r="J137" t="s">
        <v>68</v>
      </c>
      <c r="K137" s="2" t="s">
        <v>250</v>
      </c>
      <c r="L137">
        <f>COUNTIF($C$2:C137, "&lt;&gt;")</f>
        <v>136</v>
      </c>
      <c r="N137">
        <f t="shared" si="4"/>
        <v>20.170454545454547</v>
      </c>
    </row>
    <row r="138" spans="1:14" x14ac:dyDescent="0.3">
      <c r="A138" s="3">
        <v>44180</v>
      </c>
      <c r="B138" t="s">
        <v>29</v>
      </c>
      <c r="C138" s="1">
        <v>3.64</v>
      </c>
      <c r="D138">
        <f>27*60+40</f>
        <v>1660</v>
      </c>
      <c r="E138">
        <f>7*60+35</f>
        <v>455</v>
      </c>
      <c r="F138">
        <f>7*60+52</f>
        <v>472</v>
      </c>
      <c r="G138">
        <f>7*60+51</f>
        <v>471</v>
      </c>
      <c r="H138">
        <f>7*60+26</f>
        <v>446</v>
      </c>
      <c r="I138">
        <v>114</v>
      </c>
      <c r="J138" t="s">
        <v>174</v>
      </c>
      <c r="K138" s="2" t="s">
        <v>257</v>
      </c>
      <c r="L138">
        <f>COUNTIF($C$2:C138, "&lt;&gt;")</f>
        <v>137</v>
      </c>
      <c r="N138">
        <f t="shared" si="4"/>
        <v>31.318681318681318</v>
      </c>
    </row>
    <row r="139" spans="1:14" x14ac:dyDescent="0.3">
      <c r="A139" s="3">
        <v>44181</v>
      </c>
      <c r="B139" t="s">
        <v>33</v>
      </c>
      <c r="C139" s="1">
        <v>4.26</v>
      </c>
      <c r="D139">
        <f>34*60+33</f>
        <v>2073</v>
      </c>
      <c r="E139">
        <f>8*60+6</f>
        <v>486</v>
      </c>
      <c r="F139">
        <f>8*60+26</f>
        <v>506</v>
      </c>
      <c r="G139">
        <f>8*60+24</f>
        <v>504</v>
      </c>
      <c r="H139">
        <f>7*60+58</f>
        <v>478</v>
      </c>
      <c r="I139">
        <v>179</v>
      </c>
      <c r="J139" t="s">
        <v>123</v>
      </c>
      <c r="K139" s="2" t="s">
        <v>258</v>
      </c>
      <c r="L139">
        <f>COUNTIF($C$2:C139, "&lt;&gt;")</f>
        <v>138</v>
      </c>
      <c r="N139">
        <f t="shared" si="4"/>
        <v>42.018779342723008</v>
      </c>
    </row>
    <row r="140" spans="1:14" x14ac:dyDescent="0.3">
      <c r="A140" s="3">
        <v>44182</v>
      </c>
      <c r="B140" t="s">
        <v>37</v>
      </c>
      <c r="C140" s="1">
        <v>4.01</v>
      </c>
      <c r="D140">
        <f>29*60+49</f>
        <v>1789</v>
      </c>
      <c r="E140">
        <f>7*60+25</f>
        <v>445</v>
      </c>
      <c r="F140">
        <f>7*60+35</f>
        <v>455</v>
      </c>
      <c r="G140">
        <f>7*60+35</f>
        <v>455</v>
      </c>
      <c r="H140">
        <f>7*60+19</f>
        <v>439</v>
      </c>
      <c r="I140">
        <v>111</v>
      </c>
      <c r="J140" t="s">
        <v>163</v>
      </c>
      <c r="K140" s="2" t="s">
        <v>259</v>
      </c>
      <c r="L140">
        <f>COUNTIF($C$2:C140, "&lt;&gt;")</f>
        <v>139</v>
      </c>
      <c r="N140">
        <f t="shared" si="4"/>
        <v>27.680798004987533</v>
      </c>
    </row>
    <row r="141" spans="1:14" x14ac:dyDescent="0.3">
      <c r="A141" s="3">
        <v>44183</v>
      </c>
      <c r="B141" t="s">
        <v>102</v>
      </c>
      <c r="C141" s="1">
        <v>3.16</v>
      </c>
      <c r="D141">
        <f>28*60+25</f>
        <v>1705</v>
      </c>
      <c r="E141">
        <f>8*60+59</f>
        <v>539</v>
      </c>
      <c r="F141">
        <f>8*60+52</f>
        <v>532</v>
      </c>
      <c r="G141">
        <f>8*60+59</f>
        <v>539</v>
      </c>
      <c r="H141">
        <f>9*60+8</f>
        <v>548</v>
      </c>
      <c r="I141">
        <v>110</v>
      </c>
      <c r="J141" t="s">
        <v>104</v>
      </c>
      <c r="K141" s="2" t="s">
        <v>260</v>
      </c>
      <c r="L141">
        <f>COUNTIF($C$2:C141, "&lt;&gt;")</f>
        <v>140</v>
      </c>
      <c r="N141">
        <f t="shared" si="4"/>
        <v>34.810126582278478</v>
      </c>
    </row>
    <row r="142" spans="1:14" x14ac:dyDescent="0.3">
      <c r="A142" s="3">
        <v>44184</v>
      </c>
      <c r="B142" t="s">
        <v>9</v>
      </c>
      <c r="C142" s="1">
        <v>6.09</v>
      </c>
      <c r="D142">
        <f>52*60+12</f>
        <v>3132</v>
      </c>
      <c r="E142">
        <f>8*60+34</f>
        <v>514</v>
      </c>
      <c r="F142">
        <f>8*60+40</f>
        <v>520</v>
      </c>
      <c r="G142">
        <f>8*60+48</f>
        <v>528</v>
      </c>
      <c r="H142">
        <f>8*60+17</f>
        <v>497</v>
      </c>
      <c r="I142">
        <v>454</v>
      </c>
      <c r="J142" t="s">
        <v>261</v>
      </c>
      <c r="K142" s="2" t="s">
        <v>262</v>
      </c>
      <c r="L142">
        <f>COUNTIF($C$2:C142, "&lt;&gt;")</f>
        <v>141</v>
      </c>
      <c r="N142">
        <f t="shared" si="4"/>
        <v>74.548440065681447</v>
      </c>
    </row>
    <row r="143" spans="1:14" x14ac:dyDescent="0.3">
      <c r="A143" s="3">
        <v>44185</v>
      </c>
      <c r="C143" s="1">
        <v>6.15</v>
      </c>
      <c r="D143">
        <f>55*60+59</f>
        <v>3359</v>
      </c>
      <c r="E143">
        <f>9*60+6</f>
        <v>546</v>
      </c>
      <c r="F143">
        <f>9*60+16</f>
        <v>556</v>
      </c>
      <c r="G143">
        <f>9*60+26</f>
        <v>566</v>
      </c>
      <c r="H143">
        <f>9*60+8</f>
        <v>548</v>
      </c>
      <c r="I143">
        <v>115</v>
      </c>
      <c r="J143" t="s">
        <v>263</v>
      </c>
      <c r="K143" s="2" t="s">
        <v>264</v>
      </c>
      <c r="L143">
        <f>COUNTIF($C$2:C143, "&lt;&gt;")</f>
        <v>142</v>
      </c>
      <c r="N143">
        <f t="shared" si="4"/>
        <v>18.699186991869919</v>
      </c>
    </row>
    <row r="144" spans="1:14" x14ac:dyDescent="0.3">
      <c r="A144" s="3">
        <v>44186</v>
      </c>
      <c r="B144" t="s">
        <v>20</v>
      </c>
      <c r="C144" s="1">
        <v>7.04</v>
      </c>
      <c r="D144">
        <f>56*60+45</f>
        <v>3405</v>
      </c>
      <c r="E144">
        <f>8*60+3</f>
        <v>483</v>
      </c>
      <c r="F144">
        <f>8*60+27</f>
        <v>507</v>
      </c>
      <c r="G144">
        <f>7*60+50</f>
        <v>470</v>
      </c>
      <c r="H144">
        <f>8*60+6</f>
        <v>486</v>
      </c>
      <c r="I144">
        <v>143</v>
      </c>
      <c r="J144" t="s">
        <v>68</v>
      </c>
      <c r="K144" s="2" t="s">
        <v>265</v>
      </c>
      <c r="L144">
        <f>COUNTIF($C$2:C144, "&lt;&gt;")</f>
        <v>143</v>
      </c>
      <c r="N144">
        <f t="shared" si="4"/>
        <v>20.3125</v>
      </c>
    </row>
    <row r="145" spans="1:14" x14ac:dyDescent="0.3">
      <c r="A145" s="3">
        <v>44187</v>
      </c>
      <c r="B145" t="s">
        <v>29</v>
      </c>
      <c r="C145" s="1">
        <v>3.66</v>
      </c>
      <c r="D145">
        <f>26*60+50</f>
        <v>1610</v>
      </c>
      <c r="E145">
        <f>7*60+19</f>
        <v>439</v>
      </c>
      <c r="F145">
        <f>7*60+36</f>
        <v>456</v>
      </c>
      <c r="G145">
        <f>7*60+31</f>
        <v>451</v>
      </c>
      <c r="H145">
        <f>7*60+6</f>
        <v>426</v>
      </c>
      <c r="I145">
        <v>113</v>
      </c>
      <c r="J145" t="s">
        <v>174</v>
      </c>
      <c r="K145" s="2" t="s">
        <v>266</v>
      </c>
      <c r="L145">
        <f>COUNTIF($C$2:C145, "&lt;&gt;")</f>
        <v>144</v>
      </c>
      <c r="N145">
        <f t="shared" si="4"/>
        <v>30.874316939890708</v>
      </c>
    </row>
    <row r="146" spans="1:14" x14ac:dyDescent="0.3">
      <c r="A146" s="3">
        <v>44188</v>
      </c>
      <c r="B146" t="s">
        <v>33</v>
      </c>
      <c r="C146" s="1">
        <v>4.22</v>
      </c>
      <c r="D146">
        <f>32*60+7</f>
        <v>1927</v>
      </c>
      <c r="E146">
        <f>7*60+36</f>
        <v>456</v>
      </c>
      <c r="F146">
        <f>7*60+33</f>
        <v>453</v>
      </c>
      <c r="G146">
        <f>7*60+45</f>
        <v>465</v>
      </c>
      <c r="H146">
        <f>7*60+46</f>
        <v>466</v>
      </c>
      <c r="I146">
        <v>178</v>
      </c>
      <c r="J146" t="s">
        <v>123</v>
      </c>
      <c r="K146" s="2" t="s">
        <v>267</v>
      </c>
      <c r="L146">
        <f>COUNTIF($C$2:C146, "&lt;&gt;")</f>
        <v>145</v>
      </c>
      <c r="N146">
        <f t="shared" si="4"/>
        <v>42.18009478672986</v>
      </c>
    </row>
    <row r="147" spans="1:14" x14ac:dyDescent="0.3">
      <c r="A147" s="3">
        <v>44189</v>
      </c>
      <c r="B147" t="s">
        <v>102</v>
      </c>
      <c r="C147" s="1">
        <v>3.32</v>
      </c>
      <c r="D147">
        <f>27*60+47</f>
        <v>1667</v>
      </c>
      <c r="E147">
        <f>8*60+21</f>
        <v>501</v>
      </c>
      <c r="F147">
        <f>8*60+27</f>
        <v>507</v>
      </c>
      <c r="G147">
        <f>8*60+19</f>
        <v>499</v>
      </c>
      <c r="H147">
        <f>8*60+19</f>
        <v>499</v>
      </c>
      <c r="I147">
        <v>117</v>
      </c>
      <c r="J147" t="s">
        <v>104</v>
      </c>
      <c r="K147" s="2" t="s">
        <v>268</v>
      </c>
      <c r="L147">
        <f>COUNTIF($C$2:C147, "&lt;&gt;")</f>
        <v>146</v>
      </c>
      <c r="N147">
        <f t="shared" si="4"/>
        <v>35.24096385542169</v>
      </c>
    </row>
    <row r="148" spans="1:14" x14ac:dyDescent="0.3">
      <c r="A148" s="3">
        <v>44190</v>
      </c>
      <c r="B148" t="s">
        <v>269</v>
      </c>
      <c r="C148" s="1">
        <v>3.38</v>
      </c>
      <c r="D148">
        <f>30*60+2</f>
        <v>1802</v>
      </c>
      <c r="E148">
        <f>8*60+52</f>
        <v>532</v>
      </c>
      <c r="F148">
        <f>10*60+15</f>
        <v>615</v>
      </c>
      <c r="G148">
        <f>8*60+55</f>
        <v>535</v>
      </c>
      <c r="H148">
        <f>8*60+6</f>
        <v>486</v>
      </c>
      <c r="I148">
        <v>310</v>
      </c>
      <c r="J148" t="s">
        <v>269</v>
      </c>
      <c r="K148" s="2" t="s">
        <v>270</v>
      </c>
      <c r="L148">
        <f>COUNTIF($C$2:C148, "&lt;&gt;")</f>
        <v>147</v>
      </c>
      <c r="N148">
        <f t="shared" si="4"/>
        <v>91.715976331360949</v>
      </c>
    </row>
    <row r="149" spans="1:14" x14ac:dyDescent="0.3">
      <c r="A149" s="3">
        <v>44191</v>
      </c>
      <c r="B149" t="s">
        <v>33</v>
      </c>
      <c r="C149" s="1">
        <v>6.01</v>
      </c>
      <c r="D149">
        <f>57*60+41</f>
        <v>3461</v>
      </c>
      <c r="E149">
        <f>9*60+35</f>
        <v>575</v>
      </c>
      <c r="F149">
        <f>9*60+14</f>
        <v>554</v>
      </c>
      <c r="G149">
        <f>9*60+37</f>
        <v>577</v>
      </c>
      <c r="H149">
        <f>10*60+25</f>
        <v>625</v>
      </c>
      <c r="I149">
        <v>130</v>
      </c>
      <c r="J149" t="s">
        <v>64</v>
      </c>
      <c r="K149" s="2" t="s">
        <v>271</v>
      </c>
      <c r="L149">
        <f>COUNTIF($C$2:C149, "&lt;&gt;")</f>
        <v>148</v>
      </c>
      <c r="N149">
        <f t="shared" si="4"/>
        <v>21.630615640599004</v>
      </c>
    </row>
    <row r="150" spans="1:14" x14ac:dyDescent="0.3">
      <c r="A150" s="3">
        <v>44192</v>
      </c>
      <c r="B150" t="s">
        <v>102</v>
      </c>
      <c r="C150" s="1">
        <v>3.12</v>
      </c>
      <c r="D150">
        <f>23*60+37</f>
        <v>1417</v>
      </c>
      <c r="E150">
        <f>7*60+34</f>
        <v>454</v>
      </c>
      <c r="F150">
        <f>7*60+46</f>
        <v>466</v>
      </c>
      <c r="G150">
        <f>7*60+16</f>
        <v>436</v>
      </c>
      <c r="H150">
        <f>7*60+38</f>
        <v>458</v>
      </c>
      <c r="I150">
        <v>109</v>
      </c>
      <c r="J150" t="s">
        <v>104</v>
      </c>
      <c r="K150" s="2" t="s">
        <v>272</v>
      </c>
      <c r="L150">
        <f>COUNTIF($C$2:C150, "&lt;&gt;")</f>
        <v>149</v>
      </c>
      <c r="N150">
        <f t="shared" si="4"/>
        <v>34.935897435897438</v>
      </c>
    </row>
    <row r="151" spans="1:14" x14ac:dyDescent="0.3">
      <c r="A151" s="3">
        <v>44193</v>
      </c>
      <c r="B151" t="s">
        <v>273</v>
      </c>
      <c r="C151" s="1">
        <v>3.02</v>
      </c>
      <c r="D151">
        <f>27*60+59</f>
        <v>1679</v>
      </c>
      <c r="E151">
        <f>9*60+15</f>
        <v>555</v>
      </c>
      <c r="F151">
        <f>10*60+4</f>
        <v>604</v>
      </c>
      <c r="G151">
        <f>9*60+4</f>
        <v>544</v>
      </c>
      <c r="H151">
        <f>8*60+38</f>
        <v>518</v>
      </c>
      <c r="I151">
        <v>98</v>
      </c>
      <c r="J151" t="s">
        <v>274</v>
      </c>
      <c r="K151" s="2" t="s">
        <v>275</v>
      </c>
      <c r="L151">
        <f>COUNTIF($C$2:C151, "&lt;&gt;")</f>
        <v>150</v>
      </c>
      <c r="N151">
        <f t="shared" si="4"/>
        <v>32.450331125827816</v>
      </c>
    </row>
    <row r="152" spans="1:14" x14ac:dyDescent="0.3">
      <c r="A152" s="3">
        <v>44194</v>
      </c>
      <c r="B152" t="s">
        <v>29</v>
      </c>
      <c r="C152" s="1">
        <v>3.54</v>
      </c>
      <c r="D152">
        <f>25*60+4</f>
        <v>1504</v>
      </c>
      <c r="E152">
        <f>7*60+4</f>
        <v>424</v>
      </c>
      <c r="F152">
        <f>7*60+11</f>
        <v>431</v>
      </c>
      <c r="G152">
        <f>7*60+19</f>
        <v>439</v>
      </c>
      <c r="H152">
        <f>6*60+42</f>
        <v>402</v>
      </c>
      <c r="I152">
        <v>112</v>
      </c>
      <c r="J152" t="s">
        <v>174</v>
      </c>
      <c r="K152" s="2" t="s">
        <v>276</v>
      </c>
      <c r="L152">
        <f>COUNTIF($C$2:C152, "&lt;&gt;")</f>
        <v>151</v>
      </c>
      <c r="N152">
        <f t="shared" si="4"/>
        <v>31.638418079096045</v>
      </c>
    </row>
    <row r="153" spans="1:14" x14ac:dyDescent="0.3">
      <c r="A153" s="3">
        <v>44195</v>
      </c>
      <c r="B153" t="s">
        <v>33</v>
      </c>
      <c r="C153" s="1">
        <v>6.02</v>
      </c>
      <c r="D153">
        <f>56*60+23</f>
        <v>3383</v>
      </c>
      <c r="E153">
        <f>9*60+22</f>
        <v>562</v>
      </c>
      <c r="F153">
        <f>9*60+1</f>
        <v>541</v>
      </c>
      <c r="G153">
        <f>9*60+11</f>
        <v>551</v>
      </c>
      <c r="H153">
        <f>9*60+7</f>
        <v>547</v>
      </c>
      <c r="I153">
        <v>268</v>
      </c>
      <c r="J153" t="s">
        <v>123</v>
      </c>
      <c r="K153" s="2" t="s">
        <v>277</v>
      </c>
      <c r="L153">
        <f>COUNTIF($C$2:C153, "&lt;&gt;")</f>
        <v>152</v>
      </c>
      <c r="N153">
        <f t="shared" si="4"/>
        <v>44.518272425249172</v>
      </c>
    </row>
    <row r="154" spans="1:14" x14ac:dyDescent="0.3">
      <c r="A154" s="3">
        <v>44196</v>
      </c>
      <c r="B154" t="s">
        <v>278</v>
      </c>
      <c r="C154" s="1">
        <v>26.25</v>
      </c>
      <c r="D154">
        <f>3*3600+59*60+33</f>
        <v>14373</v>
      </c>
      <c r="E154">
        <f>9*60+7</f>
        <v>547</v>
      </c>
      <c r="F154">
        <f>7*60+35</f>
        <v>455</v>
      </c>
      <c r="G154">
        <f>7*60+54</f>
        <v>474</v>
      </c>
      <c r="H154">
        <f>8*60+31</f>
        <v>511</v>
      </c>
      <c r="I154">
        <v>346</v>
      </c>
      <c r="J154" t="s">
        <v>236</v>
      </c>
      <c r="K154" s="2" t="s">
        <v>279</v>
      </c>
      <c r="L154">
        <f>COUNTIF($C$2:C154, "&lt;&gt;")</f>
        <v>153</v>
      </c>
      <c r="N154">
        <f t="shared" si="4"/>
        <v>13.18095238095238</v>
      </c>
    </row>
    <row r="155" spans="1:14" x14ac:dyDescent="0.3">
      <c r="A155" s="3">
        <v>44197</v>
      </c>
      <c r="B155" t="s">
        <v>102</v>
      </c>
      <c r="C155" s="1">
        <v>3.11</v>
      </c>
      <c r="D155">
        <f>28*60+45</f>
        <v>1725</v>
      </c>
      <c r="E155">
        <f>9*60+13</f>
        <v>553</v>
      </c>
      <c r="F155">
        <f>9*60+22</f>
        <v>562</v>
      </c>
      <c r="G155">
        <f>8*60+55</f>
        <v>535</v>
      </c>
      <c r="H155">
        <f>9*60+17</f>
        <v>557</v>
      </c>
      <c r="I155">
        <v>117</v>
      </c>
      <c r="J155" t="s">
        <v>104</v>
      </c>
      <c r="K155" s="2" t="s">
        <v>280</v>
      </c>
      <c r="L155">
        <f>COUNTIF($C$2:C155, "&lt;&gt;")</f>
        <v>154</v>
      </c>
      <c r="N155">
        <f t="shared" si="4"/>
        <v>37.620578778135048</v>
      </c>
    </row>
    <row r="156" spans="1:14" x14ac:dyDescent="0.3">
      <c r="A156" s="3">
        <v>44198</v>
      </c>
      <c r="B156" t="s">
        <v>9</v>
      </c>
      <c r="C156" s="1">
        <v>5.16</v>
      </c>
      <c r="D156">
        <f>41*60+8</f>
        <v>2468</v>
      </c>
      <c r="E156">
        <f>7*60+58</f>
        <v>478</v>
      </c>
      <c r="F156">
        <f>8*60+8</f>
        <v>488</v>
      </c>
      <c r="G156">
        <f>8*60+1</f>
        <v>481</v>
      </c>
      <c r="H156">
        <f>8*60+14</f>
        <v>494</v>
      </c>
      <c r="I156">
        <v>180</v>
      </c>
      <c r="J156" t="s">
        <v>282</v>
      </c>
      <c r="K156" s="2" t="s">
        <v>281</v>
      </c>
      <c r="L156">
        <f>COUNTIF($C$2:C156, "&lt;&gt;")</f>
        <v>155</v>
      </c>
      <c r="N156">
        <f t="shared" si="4"/>
        <v>34.883720930232556</v>
      </c>
    </row>
    <row r="157" spans="1:14" x14ac:dyDescent="0.3">
      <c r="A157" s="3">
        <v>44199</v>
      </c>
      <c r="C157" s="1">
        <v>21.14</v>
      </c>
      <c r="D157">
        <f>3*3600+16*60+40</f>
        <v>11800</v>
      </c>
      <c r="E157">
        <f>9*60+18</f>
        <v>558</v>
      </c>
      <c r="F157">
        <f>9*60+14</f>
        <v>554</v>
      </c>
      <c r="G157">
        <f>9*60+23</f>
        <v>563</v>
      </c>
      <c r="H157">
        <f>9*60+29</f>
        <v>569</v>
      </c>
      <c r="I157">
        <v>554</v>
      </c>
      <c r="J157" t="s">
        <v>246</v>
      </c>
      <c r="K157" s="2" t="s">
        <v>310</v>
      </c>
      <c r="L157">
        <f>COUNTIF($C$2:C157, "&lt;&gt;")</f>
        <v>156</v>
      </c>
      <c r="N157">
        <f t="shared" si="4"/>
        <v>26.206244087038787</v>
      </c>
    </row>
    <row r="158" spans="1:14" x14ac:dyDescent="0.3">
      <c r="A158" s="3">
        <v>44200</v>
      </c>
      <c r="B158" t="s">
        <v>20</v>
      </c>
      <c r="C158" s="1">
        <v>5.13</v>
      </c>
      <c r="D158">
        <f>41*60+36</f>
        <v>2496</v>
      </c>
      <c r="E158">
        <f>8*60+6</f>
        <v>486</v>
      </c>
      <c r="F158">
        <f>8*60+36</f>
        <v>516</v>
      </c>
      <c r="G158">
        <f>8*60</f>
        <v>480</v>
      </c>
      <c r="H158">
        <f>8*60+11</f>
        <v>491</v>
      </c>
      <c r="I158">
        <v>92</v>
      </c>
      <c r="J158" t="s">
        <v>21</v>
      </c>
      <c r="K158" s="2" t="s">
        <v>311</v>
      </c>
      <c r="L158">
        <f>COUNTIF($C$2:C158, "&lt;&gt;")</f>
        <v>157</v>
      </c>
      <c r="N158">
        <f t="shared" si="4"/>
        <v>17.933723196881093</v>
      </c>
    </row>
    <row r="159" spans="1:14" x14ac:dyDescent="0.3">
      <c r="A159" s="3">
        <v>44201</v>
      </c>
      <c r="B159" t="s">
        <v>29</v>
      </c>
      <c r="C159" s="1">
        <v>3.75</v>
      </c>
      <c r="D159">
        <f>28*60+34</f>
        <v>1714</v>
      </c>
      <c r="E159">
        <f>7*60+36</f>
        <v>456</v>
      </c>
      <c r="F159">
        <f>7*60+24</f>
        <v>444</v>
      </c>
      <c r="G159">
        <f>8*60+1</f>
        <v>481</v>
      </c>
      <c r="H159">
        <f>7*60</f>
        <v>420</v>
      </c>
      <c r="I159">
        <v>113</v>
      </c>
      <c r="J159" t="s">
        <v>174</v>
      </c>
      <c r="K159" s="2" t="s">
        <v>312</v>
      </c>
      <c r="L159">
        <f>COUNTIF($C$2:C159, "&lt;&gt;")</f>
        <v>158</v>
      </c>
      <c r="N159">
        <f t="shared" si="4"/>
        <v>30.133333333333333</v>
      </c>
    </row>
    <row r="160" spans="1:14" x14ac:dyDescent="0.3">
      <c r="A160" s="3">
        <v>44202</v>
      </c>
      <c r="B160" t="s">
        <v>102</v>
      </c>
      <c r="C160" s="1">
        <v>3.11</v>
      </c>
      <c r="D160">
        <f>27*60+2</f>
        <v>1622</v>
      </c>
      <c r="E160">
        <f>8*60+41</f>
        <v>521</v>
      </c>
      <c r="F160">
        <f>8*60+57</f>
        <v>537</v>
      </c>
      <c r="G160">
        <f>8*60+27</f>
        <v>507</v>
      </c>
      <c r="H160">
        <f>8*60+39</f>
        <v>519</v>
      </c>
      <c r="I160">
        <v>134</v>
      </c>
      <c r="J160" t="s">
        <v>104</v>
      </c>
      <c r="K160" s="2" t="s">
        <v>314</v>
      </c>
      <c r="L160">
        <f>COUNTIF($C$2:C160, "&lt;&gt;")</f>
        <v>159</v>
      </c>
      <c r="N160">
        <f t="shared" si="4"/>
        <v>43.086816720257239</v>
      </c>
    </row>
    <row r="161" spans="1:14" x14ac:dyDescent="0.3">
      <c r="A161" s="3">
        <v>44203</v>
      </c>
      <c r="B161" t="s">
        <v>220</v>
      </c>
      <c r="C161" s="1">
        <v>4.03</v>
      </c>
      <c r="D161">
        <f>31*60+13</f>
        <v>1873</v>
      </c>
      <c r="E161">
        <f>7*60+45</f>
        <v>465</v>
      </c>
      <c r="F161">
        <f>7*60+47</f>
        <v>467</v>
      </c>
      <c r="G161">
        <f>7*60+43</f>
        <v>463</v>
      </c>
      <c r="H161">
        <f>7*60+39</f>
        <v>459</v>
      </c>
      <c r="I161">
        <v>79</v>
      </c>
      <c r="J161" t="s">
        <v>221</v>
      </c>
      <c r="K161" s="2" t="s">
        <v>315</v>
      </c>
      <c r="L161">
        <f>COUNTIF($C$2:C161, "&lt;&gt;")</f>
        <v>160</v>
      </c>
      <c r="N161">
        <f t="shared" si="4"/>
        <v>19.602977667493796</v>
      </c>
    </row>
    <row r="162" spans="1:14" x14ac:dyDescent="0.3">
      <c r="A162" s="3">
        <v>44204</v>
      </c>
      <c r="B162" t="s">
        <v>102</v>
      </c>
      <c r="C162" s="1">
        <v>3.11</v>
      </c>
      <c r="D162">
        <f>26*60+17</f>
        <v>1577</v>
      </c>
      <c r="E162">
        <f>8*60+26</f>
        <v>506</v>
      </c>
      <c r="F162">
        <f>8*60+31</f>
        <v>511</v>
      </c>
      <c r="G162">
        <f>8*60+20</f>
        <v>500</v>
      </c>
      <c r="H162">
        <f>8*60+28</f>
        <v>508</v>
      </c>
      <c r="I162">
        <v>125</v>
      </c>
      <c r="J162" t="s">
        <v>104</v>
      </c>
      <c r="K162" s="2" t="s">
        <v>313</v>
      </c>
      <c r="L162">
        <f>COUNTIF($C$2:C162, "&lt;&gt;")</f>
        <v>161</v>
      </c>
      <c r="N162">
        <f t="shared" ref="N162:N188" si="5">I162/C162</f>
        <v>40.19292604501608</v>
      </c>
    </row>
    <row r="163" spans="1:14" x14ac:dyDescent="0.3">
      <c r="A163" s="3">
        <v>44205</v>
      </c>
      <c r="B163" t="s">
        <v>9</v>
      </c>
      <c r="C163" s="1">
        <v>4.6900000000000004</v>
      </c>
      <c r="D163">
        <f>35*60+45</f>
        <v>2145</v>
      </c>
      <c r="E163">
        <f>7*60+37</f>
        <v>457</v>
      </c>
      <c r="F163">
        <f>7*60+48</f>
        <v>468</v>
      </c>
      <c r="G163">
        <f>7*60+42</f>
        <v>462</v>
      </c>
      <c r="H163">
        <f>7*60+33</f>
        <v>453</v>
      </c>
      <c r="I163">
        <v>16</v>
      </c>
      <c r="J163" t="s">
        <v>54</v>
      </c>
      <c r="K163" s="2" t="s">
        <v>316</v>
      </c>
      <c r="L163">
        <f>COUNTIF($C$2:C163, "&lt;&gt;")</f>
        <v>162</v>
      </c>
      <c r="N163">
        <f t="shared" si="5"/>
        <v>3.4115138592750531</v>
      </c>
    </row>
    <row r="164" spans="1:14" x14ac:dyDescent="0.3">
      <c r="A164" s="3">
        <v>44206</v>
      </c>
      <c r="C164" s="1">
        <v>17.75</v>
      </c>
      <c r="D164">
        <f>2*3600+36*60+34</f>
        <v>9394</v>
      </c>
      <c r="E164">
        <f>8*60+49</f>
        <v>529</v>
      </c>
      <c r="F164">
        <f>9*60+13</f>
        <v>553</v>
      </c>
      <c r="G164">
        <f>9*60+5</f>
        <v>545</v>
      </c>
      <c r="H164">
        <f>8*60+58</f>
        <v>538</v>
      </c>
      <c r="I164">
        <v>392</v>
      </c>
      <c r="J164" t="s">
        <v>246</v>
      </c>
      <c r="K164" s="2" t="s">
        <v>317</v>
      </c>
      <c r="L164">
        <f>COUNTIF($C$2:C164, "&lt;&gt;")</f>
        <v>163</v>
      </c>
      <c r="N164">
        <f t="shared" si="5"/>
        <v>22.08450704225352</v>
      </c>
    </row>
    <row r="165" spans="1:14" x14ac:dyDescent="0.3">
      <c r="A165" s="3">
        <v>44207</v>
      </c>
      <c r="B165" t="s">
        <v>20</v>
      </c>
      <c r="C165" s="1">
        <v>5.0599999999999996</v>
      </c>
      <c r="D165">
        <f>40*60+52</f>
        <v>2452</v>
      </c>
      <c r="E165">
        <f>8*60+4</f>
        <v>484</v>
      </c>
      <c r="F165">
        <f>8*60+29</f>
        <v>509</v>
      </c>
      <c r="G165">
        <f>7*60+15</f>
        <v>435</v>
      </c>
      <c r="H165">
        <f>8*60+19</f>
        <v>499</v>
      </c>
      <c r="I165">
        <v>118</v>
      </c>
      <c r="J165" t="s">
        <v>21</v>
      </c>
      <c r="K165" s="2" t="s">
        <v>318</v>
      </c>
      <c r="L165">
        <f>COUNTIF($C$2:C165, "&lt;&gt;")</f>
        <v>164</v>
      </c>
      <c r="N165">
        <f t="shared" si="5"/>
        <v>23.320158102766801</v>
      </c>
    </row>
    <row r="166" spans="1:14" x14ac:dyDescent="0.3">
      <c r="A166" s="3">
        <v>44208</v>
      </c>
      <c r="B166" t="s">
        <v>29</v>
      </c>
      <c r="C166" s="1">
        <v>4.01</v>
      </c>
      <c r="D166">
        <f>29*60</f>
        <v>1740</v>
      </c>
      <c r="E166">
        <f>7*60+13</f>
        <v>433</v>
      </c>
      <c r="F166">
        <f>7*60</f>
        <v>420</v>
      </c>
      <c r="G166">
        <f>7*60+31</f>
        <v>451</v>
      </c>
      <c r="H166">
        <f>7*60+4</f>
        <v>424</v>
      </c>
      <c r="I166">
        <v>113</v>
      </c>
      <c r="J166" t="s">
        <v>174</v>
      </c>
      <c r="K166" s="2" t="s">
        <v>319</v>
      </c>
      <c r="L166">
        <f>COUNTIF($C$2:C166, "&lt;&gt;")</f>
        <v>165</v>
      </c>
      <c r="N166">
        <f t="shared" si="5"/>
        <v>28.179551122194514</v>
      </c>
    </row>
    <row r="167" spans="1:14" x14ac:dyDescent="0.3">
      <c r="A167" s="3">
        <v>44209</v>
      </c>
      <c r="B167" t="s">
        <v>33</v>
      </c>
      <c r="C167" s="1">
        <v>4.25</v>
      </c>
      <c r="D167">
        <f>31*60+4</f>
        <v>1864</v>
      </c>
      <c r="E167">
        <f>7*60+18</f>
        <v>438</v>
      </c>
      <c r="F167">
        <f>6*60+51</f>
        <v>411</v>
      </c>
      <c r="G167">
        <f>7*60+38</f>
        <v>458</v>
      </c>
      <c r="H167">
        <f>7*60+33</f>
        <v>453</v>
      </c>
      <c r="I167">
        <v>178</v>
      </c>
      <c r="J167" t="s">
        <v>123</v>
      </c>
      <c r="K167" s="2" t="s">
        <v>320</v>
      </c>
      <c r="L167">
        <f>COUNTIF($C$2:C167, "&lt;&gt;")</f>
        <v>166</v>
      </c>
      <c r="N167">
        <f t="shared" si="5"/>
        <v>41.882352941176471</v>
      </c>
    </row>
    <row r="168" spans="1:14" x14ac:dyDescent="0.3">
      <c r="A168" s="3">
        <v>44210</v>
      </c>
      <c r="B168" t="s">
        <v>37</v>
      </c>
      <c r="C168" s="1">
        <v>4.0199999999999996</v>
      </c>
      <c r="D168">
        <f>32*60+11</f>
        <v>1931</v>
      </c>
      <c r="E168">
        <f>8*60</f>
        <v>480</v>
      </c>
      <c r="F168">
        <f>8*60+2</f>
        <v>482</v>
      </c>
      <c r="G168">
        <f>8*60+31</f>
        <v>511</v>
      </c>
      <c r="H168">
        <f>7*60+12</f>
        <v>432</v>
      </c>
      <c r="I168">
        <v>108</v>
      </c>
      <c r="J168" t="s">
        <v>163</v>
      </c>
      <c r="K168" s="2" t="s">
        <v>321</v>
      </c>
      <c r="L168">
        <f>COUNTIF($C$2:C168, "&lt;&gt;")</f>
        <v>167</v>
      </c>
      <c r="N168">
        <f t="shared" si="5"/>
        <v>26.865671641791046</v>
      </c>
    </row>
    <row r="169" spans="1:14" x14ac:dyDescent="0.3">
      <c r="A169" s="3">
        <v>44211</v>
      </c>
      <c r="B169" t="s">
        <v>102</v>
      </c>
      <c r="C169" s="1">
        <v>3.11</v>
      </c>
      <c r="D169">
        <f>26*60+56</f>
        <v>1616</v>
      </c>
      <c r="E169">
        <f>8*60+38</f>
        <v>518</v>
      </c>
      <c r="F169">
        <f>8*60+40</f>
        <v>520</v>
      </c>
      <c r="G169">
        <f>8*60+37</f>
        <v>517</v>
      </c>
      <c r="H169">
        <f>8*60+38</f>
        <v>518</v>
      </c>
      <c r="I169">
        <v>107</v>
      </c>
      <c r="J169" t="s">
        <v>104</v>
      </c>
      <c r="K169" s="2" t="s">
        <v>322</v>
      </c>
      <c r="L169">
        <f>COUNTIF($C$2:C169, "&lt;&gt;")</f>
        <v>168</v>
      </c>
      <c r="N169">
        <f t="shared" si="5"/>
        <v>34.40514469453376</v>
      </c>
    </row>
    <row r="170" spans="1:14" x14ac:dyDescent="0.3">
      <c r="A170" s="3">
        <v>44212</v>
      </c>
      <c r="B170" t="s">
        <v>9</v>
      </c>
      <c r="C170" s="1">
        <v>6.02</v>
      </c>
      <c r="D170">
        <f>53*60+34</f>
        <v>3214</v>
      </c>
      <c r="E170">
        <f>8*60+54</f>
        <v>534</v>
      </c>
      <c r="F170">
        <f>8*60+57</f>
        <v>537</v>
      </c>
      <c r="G170">
        <f>8*60+28</f>
        <v>508</v>
      </c>
      <c r="H170">
        <f>8*60+32</f>
        <v>512</v>
      </c>
      <c r="I170">
        <v>167</v>
      </c>
      <c r="J170" t="s">
        <v>45</v>
      </c>
      <c r="K170" s="2" t="s">
        <v>323</v>
      </c>
      <c r="L170">
        <f>COUNTIF($C$2:C170, "&lt;&gt;")</f>
        <v>169</v>
      </c>
      <c r="N170">
        <f t="shared" si="5"/>
        <v>27.740863787375417</v>
      </c>
    </row>
    <row r="171" spans="1:14" x14ac:dyDescent="0.3">
      <c r="A171" s="3">
        <v>44213</v>
      </c>
      <c r="C171" s="1">
        <v>16.690000000000001</v>
      </c>
      <c r="D171">
        <f>2*3600+25*60+5</f>
        <v>8705</v>
      </c>
      <c r="E171">
        <f>8*60+41</f>
        <v>521</v>
      </c>
      <c r="F171">
        <f>9*60+35</f>
        <v>575</v>
      </c>
      <c r="G171">
        <f>9*60+27</f>
        <v>567</v>
      </c>
      <c r="H171">
        <f>9*60+11</f>
        <v>551</v>
      </c>
      <c r="I171">
        <v>377</v>
      </c>
      <c r="J171" t="s">
        <v>246</v>
      </c>
      <c r="K171" s="2" t="s">
        <v>324</v>
      </c>
      <c r="L171">
        <f>COUNTIF($C$2:C171, "&lt;&gt;")</f>
        <v>170</v>
      </c>
      <c r="M171" t="s">
        <v>325</v>
      </c>
      <c r="N171">
        <f t="shared" si="5"/>
        <v>22.588376273217495</v>
      </c>
    </row>
    <row r="172" spans="1:14" x14ac:dyDescent="0.3">
      <c r="A172" s="3">
        <v>44214</v>
      </c>
      <c r="B172" t="s">
        <v>20</v>
      </c>
      <c r="C172" s="1">
        <v>9.75</v>
      </c>
      <c r="D172">
        <f>1*3600+25*60+19</f>
        <v>5119</v>
      </c>
      <c r="E172">
        <f>8*60+45</f>
        <v>525</v>
      </c>
      <c r="F172">
        <f>8*60+52</f>
        <v>532</v>
      </c>
      <c r="G172">
        <f>8*60+4</f>
        <v>484</v>
      </c>
      <c r="H172">
        <f>8*60+37</f>
        <v>517</v>
      </c>
      <c r="I172">
        <v>164</v>
      </c>
      <c r="J172" t="s">
        <v>21</v>
      </c>
      <c r="K172" s="2" t="s">
        <v>327</v>
      </c>
      <c r="L172">
        <f>COUNTIF($C$2:C172, "&lt;&gt;")</f>
        <v>171</v>
      </c>
      <c r="N172">
        <f t="shared" si="5"/>
        <v>16.820512820512821</v>
      </c>
    </row>
    <row r="173" spans="1:14" x14ac:dyDescent="0.3">
      <c r="A173" s="3">
        <v>44215</v>
      </c>
      <c r="B173" t="s">
        <v>29</v>
      </c>
      <c r="C173" s="1">
        <v>3.71</v>
      </c>
      <c r="D173">
        <f>25*60+22</f>
        <v>1522</v>
      </c>
      <c r="E173">
        <f>6*60+49</f>
        <v>409</v>
      </c>
      <c r="F173">
        <f>6*60+44</f>
        <v>404</v>
      </c>
      <c r="G173">
        <f>7*60</f>
        <v>420</v>
      </c>
      <c r="H173">
        <f>6*60+39</f>
        <v>399</v>
      </c>
      <c r="I173">
        <v>112</v>
      </c>
      <c r="J173" t="s">
        <v>174</v>
      </c>
      <c r="K173" s="2" t="s">
        <v>328</v>
      </c>
      <c r="L173">
        <f>COUNTIF($C$2:C173, "&lt;&gt;")</f>
        <v>172</v>
      </c>
      <c r="N173">
        <f t="shared" si="5"/>
        <v>30.188679245283019</v>
      </c>
    </row>
    <row r="174" spans="1:14" x14ac:dyDescent="0.3">
      <c r="A174" s="3">
        <v>44216</v>
      </c>
      <c r="B174" t="s">
        <v>33</v>
      </c>
      <c r="C174" s="1">
        <v>4.22</v>
      </c>
      <c r="D174">
        <f>31*60+44</f>
        <v>1904</v>
      </c>
      <c r="E174">
        <f>7*60+31</f>
        <v>451</v>
      </c>
      <c r="F174">
        <f>7*60+40</f>
        <v>460</v>
      </c>
      <c r="G174">
        <f>7*60+27</f>
        <v>447</v>
      </c>
      <c r="H174">
        <f>7*60+28</f>
        <v>448</v>
      </c>
      <c r="I174">
        <v>158</v>
      </c>
      <c r="J174" t="s">
        <v>123</v>
      </c>
      <c r="K174" s="2" t="s">
        <v>329</v>
      </c>
      <c r="L174">
        <f>COUNTIF($C$2:C174, "&lt;&gt;")</f>
        <v>173</v>
      </c>
      <c r="N174">
        <f t="shared" si="5"/>
        <v>37.440758293838861</v>
      </c>
    </row>
    <row r="175" spans="1:14" x14ac:dyDescent="0.3">
      <c r="A175" s="3">
        <v>44217</v>
      </c>
      <c r="B175" t="s">
        <v>37</v>
      </c>
      <c r="C175" s="1">
        <v>4.01</v>
      </c>
      <c r="D175">
        <f>31*60+27</f>
        <v>1887</v>
      </c>
      <c r="E175">
        <f>7*60+50</f>
        <v>470</v>
      </c>
      <c r="F175">
        <f>7*60+33</f>
        <v>453</v>
      </c>
      <c r="G175">
        <f>8*60+43</f>
        <v>523</v>
      </c>
      <c r="H175">
        <f>7*60+15</f>
        <v>435</v>
      </c>
      <c r="I175">
        <v>109</v>
      </c>
      <c r="J175" t="s">
        <v>163</v>
      </c>
      <c r="K175" s="2" t="s">
        <v>330</v>
      </c>
      <c r="L175">
        <f>COUNTIF($C$2:C175, "&lt;&gt;")</f>
        <v>174</v>
      </c>
      <c r="N175">
        <f t="shared" si="5"/>
        <v>27.182044887780549</v>
      </c>
    </row>
    <row r="176" spans="1:14" x14ac:dyDescent="0.3">
      <c r="A176" s="3">
        <v>44218</v>
      </c>
      <c r="B176" t="s">
        <v>102</v>
      </c>
      <c r="C176" s="1">
        <v>3.11</v>
      </c>
      <c r="D176">
        <f>25*60+17</f>
        <v>1517</v>
      </c>
      <c r="E176">
        <f>8*60+7</f>
        <v>487</v>
      </c>
      <c r="F176">
        <f>8*60+9</f>
        <v>489</v>
      </c>
      <c r="G176">
        <f>8*60</f>
        <v>480</v>
      </c>
      <c r="H176">
        <f>8*60+8</f>
        <v>488</v>
      </c>
      <c r="I176">
        <v>110</v>
      </c>
      <c r="J176" t="s">
        <v>104</v>
      </c>
      <c r="K176" s="2" t="s">
        <v>331</v>
      </c>
      <c r="L176">
        <f>COUNTIF($C$2:C176, "&lt;&gt;")</f>
        <v>175</v>
      </c>
      <c r="N176">
        <f t="shared" si="5"/>
        <v>35.369774919614152</v>
      </c>
    </row>
    <row r="177" spans="1:14" x14ac:dyDescent="0.3">
      <c r="A177" s="3">
        <v>44219</v>
      </c>
      <c r="B177" t="s">
        <v>9</v>
      </c>
      <c r="C177" s="1">
        <v>6.07</v>
      </c>
      <c r="D177">
        <f>49*60+49</f>
        <v>2989</v>
      </c>
      <c r="E177">
        <f>8*60+12</f>
        <v>492</v>
      </c>
      <c r="F177">
        <f>7*60+59</f>
        <v>479</v>
      </c>
      <c r="G177">
        <f>7*60+50</f>
        <v>470</v>
      </c>
      <c r="H177">
        <f>7*60+59</f>
        <v>479</v>
      </c>
      <c r="I177">
        <v>88</v>
      </c>
      <c r="J177" t="s">
        <v>94</v>
      </c>
      <c r="K177" s="2" t="s">
        <v>332</v>
      </c>
      <c r="L177">
        <f>COUNTIF($C$2:C177, "&lt;&gt;")</f>
        <v>176</v>
      </c>
      <c r="N177">
        <f t="shared" si="5"/>
        <v>14.497528830313014</v>
      </c>
    </row>
    <row r="178" spans="1:14" x14ac:dyDescent="0.3">
      <c r="A178" s="3">
        <v>44220</v>
      </c>
      <c r="C178" s="1">
        <v>22.23</v>
      </c>
      <c r="D178">
        <f>3*3600+17*60+48</f>
        <v>11868</v>
      </c>
      <c r="E178">
        <f>8*60+54</f>
        <v>534</v>
      </c>
      <c r="F178">
        <f>8*60+50</f>
        <v>530</v>
      </c>
      <c r="G178">
        <f>8*60+56</f>
        <v>536</v>
      </c>
      <c r="H178">
        <f>9*60+7</f>
        <v>547</v>
      </c>
      <c r="I178">
        <v>515</v>
      </c>
      <c r="J178" t="s">
        <v>246</v>
      </c>
      <c r="K178" s="2" t="s">
        <v>333</v>
      </c>
      <c r="L178">
        <f>COUNTIF($C$2:C178, "&lt;&gt;")</f>
        <v>177</v>
      </c>
      <c r="N178">
        <f t="shared" si="5"/>
        <v>23.166891587944217</v>
      </c>
    </row>
    <row r="179" spans="1:14" x14ac:dyDescent="0.3">
      <c r="A179" s="3">
        <v>44221</v>
      </c>
      <c r="B179" t="s">
        <v>20</v>
      </c>
      <c r="C179" s="1">
        <v>4.1100000000000003</v>
      </c>
      <c r="D179">
        <f>32*60+45</f>
        <v>1965</v>
      </c>
      <c r="E179">
        <f>7*60+57</f>
        <v>477</v>
      </c>
      <c r="F179">
        <f>8*60+36</f>
        <v>516</v>
      </c>
      <c r="G179">
        <f>7*60+56</f>
        <v>476</v>
      </c>
      <c r="H179">
        <f>7*60+47</f>
        <v>467</v>
      </c>
      <c r="I179">
        <v>63</v>
      </c>
      <c r="J179" t="s">
        <v>236</v>
      </c>
      <c r="K179" s="2" t="s">
        <v>334</v>
      </c>
      <c r="L179">
        <f>COUNTIF($C$2:C179, "&lt;&gt;")</f>
        <v>178</v>
      </c>
      <c r="N179">
        <f t="shared" si="5"/>
        <v>15.32846715328467</v>
      </c>
    </row>
    <row r="180" spans="1:14" x14ac:dyDescent="0.3">
      <c r="A180" s="3">
        <v>44222</v>
      </c>
      <c r="B180" t="s">
        <v>29</v>
      </c>
      <c r="C180" s="1">
        <v>3.7</v>
      </c>
      <c r="D180">
        <f>25*60+52</f>
        <v>1552</v>
      </c>
      <c r="E180">
        <f>6*60+59</f>
        <v>419</v>
      </c>
      <c r="F180">
        <f>7*60+14</f>
        <v>434</v>
      </c>
      <c r="G180">
        <f>7*60+10</f>
        <v>430</v>
      </c>
      <c r="H180">
        <f>6*60+46</f>
        <v>406</v>
      </c>
      <c r="I180">
        <v>125</v>
      </c>
      <c r="J180" t="s">
        <v>174</v>
      </c>
      <c r="K180" s="2" t="s">
        <v>335</v>
      </c>
      <c r="L180">
        <f>COUNTIF($C$2:C180, "&lt;&gt;")</f>
        <v>179</v>
      </c>
      <c r="N180">
        <f t="shared" si="5"/>
        <v>33.783783783783782</v>
      </c>
    </row>
    <row r="181" spans="1:14" x14ac:dyDescent="0.3">
      <c r="A181" s="3">
        <v>44223</v>
      </c>
      <c r="B181" t="s">
        <v>33</v>
      </c>
      <c r="C181" s="1">
        <v>4.24</v>
      </c>
      <c r="D181">
        <f>31*60+53</f>
        <v>1913</v>
      </c>
      <c r="E181">
        <f>7*60+31</f>
        <v>451</v>
      </c>
      <c r="F181">
        <f>7*60+26</f>
        <v>446</v>
      </c>
      <c r="G181">
        <f>7*60+42</f>
        <v>462</v>
      </c>
      <c r="H181">
        <f>7*60+51</f>
        <v>471</v>
      </c>
      <c r="I181">
        <v>178</v>
      </c>
      <c r="J181" t="s">
        <v>123</v>
      </c>
      <c r="K181" s="2" t="s">
        <v>338</v>
      </c>
      <c r="L181">
        <f>COUNTIF($C$2:C181, "&lt;&gt;")</f>
        <v>180</v>
      </c>
      <c r="N181">
        <f t="shared" si="5"/>
        <v>41.981132075471699</v>
      </c>
    </row>
    <row r="182" spans="1:14" x14ac:dyDescent="0.3">
      <c r="A182" s="3">
        <v>44224</v>
      </c>
      <c r="B182" t="s">
        <v>37</v>
      </c>
      <c r="C182" s="1">
        <v>4.01</v>
      </c>
      <c r="D182">
        <f>32*60+48</f>
        <v>1968</v>
      </c>
      <c r="E182">
        <f>8*60+10</f>
        <v>490</v>
      </c>
      <c r="F182">
        <f>8*60+20</f>
        <v>500</v>
      </c>
      <c r="G182">
        <f>8*60+59</f>
        <v>539</v>
      </c>
      <c r="H182">
        <f>7*60+45</f>
        <v>465</v>
      </c>
      <c r="I182">
        <v>111</v>
      </c>
      <c r="J182" t="s">
        <v>163</v>
      </c>
      <c r="K182" s="2" t="s">
        <v>337</v>
      </c>
      <c r="L182">
        <f>COUNTIF($C$2:C182, "&lt;&gt;")</f>
        <v>181</v>
      </c>
      <c r="N182">
        <f t="shared" si="5"/>
        <v>27.680798004987533</v>
      </c>
    </row>
    <row r="183" spans="1:14" x14ac:dyDescent="0.3">
      <c r="A183" s="3">
        <v>44225</v>
      </c>
      <c r="B183" t="s">
        <v>102</v>
      </c>
      <c r="C183" s="1">
        <v>3.11</v>
      </c>
      <c r="D183">
        <f>26*60+21</f>
        <v>1581</v>
      </c>
      <c r="E183">
        <f>8*60+27</f>
        <v>507</v>
      </c>
      <c r="F183">
        <f>8*60+13</f>
        <v>493</v>
      </c>
      <c r="G183">
        <f>8*60+21</f>
        <v>501</v>
      </c>
      <c r="H183">
        <f>8*60+54</f>
        <v>534</v>
      </c>
      <c r="I183">
        <v>116</v>
      </c>
      <c r="J183" t="s">
        <v>104</v>
      </c>
      <c r="K183" s="2" t="s">
        <v>336</v>
      </c>
      <c r="L183">
        <f>COUNTIF($C$2:C183, "&lt;&gt;")</f>
        <v>182</v>
      </c>
      <c r="N183">
        <f t="shared" si="5"/>
        <v>37.29903536977492</v>
      </c>
    </row>
    <row r="184" spans="1:14" x14ac:dyDescent="0.3">
      <c r="A184" s="3">
        <v>44226</v>
      </c>
      <c r="B184" t="s">
        <v>9</v>
      </c>
      <c r="C184" s="1">
        <v>7.41</v>
      </c>
      <c r="D184">
        <f>1*3600+1*60+54</f>
        <v>3714</v>
      </c>
      <c r="E184">
        <f>8*60+21</f>
        <v>501</v>
      </c>
      <c r="F184">
        <f>8*60</f>
        <v>480</v>
      </c>
      <c r="G184">
        <f>7*60+42</f>
        <v>462</v>
      </c>
      <c r="H184">
        <f>7*60+59</f>
        <v>479</v>
      </c>
      <c r="I184">
        <v>148</v>
      </c>
      <c r="J184" t="s">
        <v>225</v>
      </c>
      <c r="K184" s="2" t="s">
        <v>339</v>
      </c>
      <c r="L184">
        <f>COUNTIF($C$2:C184, "&lt;&gt;")</f>
        <v>183</v>
      </c>
      <c r="N184">
        <f t="shared" si="5"/>
        <v>19.973009446693656</v>
      </c>
    </row>
    <row r="185" spans="1:14" x14ac:dyDescent="0.3">
      <c r="A185" s="3">
        <v>44227</v>
      </c>
      <c r="B185" t="s">
        <v>102</v>
      </c>
      <c r="C185" s="1">
        <v>3.1</v>
      </c>
      <c r="D185">
        <f>26*60+33</f>
        <v>1593</v>
      </c>
      <c r="E185">
        <f>8*60+33</f>
        <v>513</v>
      </c>
      <c r="F185">
        <f>8*60+27</f>
        <v>507</v>
      </c>
      <c r="G185">
        <f>8*60+23</f>
        <v>503</v>
      </c>
      <c r="H185">
        <f>8*60+41</f>
        <v>521</v>
      </c>
      <c r="I185">
        <v>116</v>
      </c>
      <c r="J185" t="s">
        <v>104</v>
      </c>
      <c r="K185" s="2" t="s">
        <v>340</v>
      </c>
      <c r="L185">
        <f>COUNTIF($C$2:C185, "&lt;&gt;")</f>
        <v>184</v>
      </c>
      <c r="N185">
        <f t="shared" si="5"/>
        <v>37.41935483870968</v>
      </c>
    </row>
    <row r="186" spans="1:14" x14ac:dyDescent="0.3">
      <c r="A186" s="3">
        <v>44228</v>
      </c>
      <c r="B186" t="s">
        <v>102</v>
      </c>
      <c r="C186" s="1">
        <v>4.0199999999999996</v>
      </c>
      <c r="D186">
        <f>33*60+29</f>
        <v>2009</v>
      </c>
      <c r="E186">
        <f>8*60+19</f>
        <v>499</v>
      </c>
      <c r="F186">
        <f>8*60+23</f>
        <v>503</v>
      </c>
      <c r="G186">
        <f>8*60+24</f>
        <v>504</v>
      </c>
      <c r="H186">
        <f>7*60+57</f>
        <v>477</v>
      </c>
      <c r="I186">
        <v>130</v>
      </c>
      <c r="J186" t="s">
        <v>104</v>
      </c>
      <c r="K186" s="2" t="s">
        <v>341</v>
      </c>
      <c r="L186">
        <f>COUNTIF($C$2:C186, "&lt;&gt;")</f>
        <v>185</v>
      </c>
      <c r="N186">
        <f t="shared" si="5"/>
        <v>32.338308457711449</v>
      </c>
    </row>
    <row r="187" spans="1:14" x14ac:dyDescent="0.3">
      <c r="A187" s="3">
        <v>44229</v>
      </c>
      <c r="B187" t="s">
        <v>29</v>
      </c>
      <c r="C187" s="1">
        <v>3.68</v>
      </c>
      <c r="D187">
        <f>29*60+2</f>
        <v>1742</v>
      </c>
      <c r="E187">
        <f>7*60+53</f>
        <v>473</v>
      </c>
      <c r="F187">
        <f>7*60+49</f>
        <v>469</v>
      </c>
      <c r="G187">
        <f>9*60+16</f>
        <v>556</v>
      </c>
      <c r="H187">
        <f>7*60+14</f>
        <v>434</v>
      </c>
      <c r="I187">
        <v>113</v>
      </c>
      <c r="J187" t="s">
        <v>174</v>
      </c>
      <c r="K187" s="2" t="s">
        <v>342</v>
      </c>
      <c r="L187">
        <f>COUNTIF($C$2:C187, "&lt;&gt;")</f>
        <v>186</v>
      </c>
      <c r="N187">
        <f t="shared" si="5"/>
        <v>30.706521739130434</v>
      </c>
    </row>
    <row r="188" spans="1:14" x14ac:dyDescent="0.3">
      <c r="A188" s="3">
        <v>44230</v>
      </c>
      <c r="B188" t="s">
        <v>33</v>
      </c>
      <c r="C188" s="1">
        <v>4.21</v>
      </c>
      <c r="D188">
        <f>33*60</f>
        <v>1980</v>
      </c>
      <c r="E188">
        <f>7*60+50</f>
        <v>470</v>
      </c>
      <c r="F188">
        <f>7*60+41</f>
        <v>461</v>
      </c>
      <c r="G188">
        <f>7*60+47</f>
        <v>467</v>
      </c>
      <c r="H188">
        <f>8*60+12</f>
        <v>492</v>
      </c>
      <c r="I188">
        <v>177</v>
      </c>
      <c r="J188" t="s">
        <v>123</v>
      </c>
      <c r="K188" s="2" t="s">
        <v>343</v>
      </c>
      <c r="L188">
        <f>COUNTIF($C$2:C188, "&lt;&gt;")</f>
        <v>187</v>
      </c>
      <c r="N188">
        <f t="shared" si="5"/>
        <v>42.042755344418055</v>
      </c>
    </row>
    <row r="189" spans="1:14" x14ac:dyDescent="0.3">
      <c r="A189" s="3">
        <v>44231</v>
      </c>
      <c r="B189" t="s">
        <v>37</v>
      </c>
      <c r="C189" s="1">
        <v>4.0199999999999996</v>
      </c>
      <c r="D189">
        <f>32*60+1</f>
        <v>1921</v>
      </c>
      <c r="E189">
        <f>7*60+58</f>
        <v>478</v>
      </c>
      <c r="F189">
        <f>7*60+44</f>
        <v>464</v>
      </c>
      <c r="G189">
        <f>8*60+43</f>
        <v>523</v>
      </c>
      <c r="H189">
        <f>8*60+19</f>
        <v>499</v>
      </c>
      <c r="I189">
        <v>109</v>
      </c>
      <c r="J189" t="s">
        <v>163</v>
      </c>
      <c r="K189" s="2" t="s">
        <v>344</v>
      </c>
      <c r="L189">
        <f>COUNTIF($C$2:C189, "&lt;&gt;")</f>
        <v>188</v>
      </c>
      <c r="N189">
        <f>I187/C187</f>
        <v>30.706521739130434</v>
      </c>
    </row>
    <row r="190" spans="1:14" x14ac:dyDescent="0.3">
      <c r="A190" s="3">
        <v>44232</v>
      </c>
      <c r="B190" t="s">
        <v>102</v>
      </c>
      <c r="C190" s="1">
        <v>3.11</v>
      </c>
      <c r="D190">
        <f>24*60+24</f>
        <v>1464</v>
      </c>
      <c r="E190">
        <f>7*60+49</f>
        <v>469</v>
      </c>
      <c r="F190">
        <f>8*60+9</f>
        <v>489</v>
      </c>
      <c r="G190">
        <f>7*60+41</f>
        <v>461</v>
      </c>
      <c r="H190">
        <f>7*60+42</f>
        <v>462</v>
      </c>
      <c r="I190">
        <v>124</v>
      </c>
      <c r="J190" t="s">
        <v>104</v>
      </c>
      <c r="K190" s="2" t="s">
        <v>345</v>
      </c>
      <c r="L190">
        <f>COUNTIF($C$2:C190, "&lt;&gt;")</f>
        <v>189</v>
      </c>
      <c r="N190">
        <f t="shared" ref="N190:N253" si="6">I190/C190</f>
        <v>39.871382636655952</v>
      </c>
    </row>
    <row r="191" spans="1:14" x14ac:dyDescent="0.3">
      <c r="A191" s="3">
        <v>44233</v>
      </c>
      <c r="B191" t="s">
        <v>9</v>
      </c>
      <c r="C191" s="1">
        <v>6.02</v>
      </c>
      <c r="D191">
        <f>48*60+34</f>
        <v>2914</v>
      </c>
      <c r="E191">
        <f>8*60+4</f>
        <v>484</v>
      </c>
      <c r="F191">
        <f>8*60+24</f>
        <v>504</v>
      </c>
      <c r="G191">
        <f>8*60</f>
        <v>480</v>
      </c>
      <c r="H191">
        <f>7*60+56</f>
        <v>476</v>
      </c>
      <c r="I191">
        <v>96</v>
      </c>
      <c r="J191" t="s">
        <v>225</v>
      </c>
      <c r="K191" s="2" t="s">
        <v>346</v>
      </c>
      <c r="L191">
        <f>COUNTIF($C$2:C191, "&lt;&gt;")</f>
        <v>190</v>
      </c>
      <c r="N191">
        <f t="shared" si="6"/>
        <v>15.946843853820599</v>
      </c>
    </row>
    <row r="192" spans="1:14" x14ac:dyDescent="0.3">
      <c r="A192" s="3">
        <v>44234</v>
      </c>
      <c r="C192" s="1">
        <v>8.15</v>
      </c>
      <c r="D192">
        <f>1*3600+13*60+50</f>
        <v>4430</v>
      </c>
      <c r="E192">
        <f>9*60+3</f>
        <v>543</v>
      </c>
      <c r="F192">
        <f>9*60+28</f>
        <v>568</v>
      </c>
      <c r="G192">
        <f>9*60+28</f>
        <v>568</v>
      </c>
      <c r="H192">
        <f>9*60+19</f>
        <v>559</v>
      </c>
      <c r="I192">
        <v>141</v>
      </c>
      <c r="J192" t="s">
        <v>263</v>
      </c>
      <c r="K192" s="2" t="s">
        <v>347</v>
      </c>
      <c r="L192">
        <f>COUNTIF($C$2:C192, "&lt;&gt;")</f>
        <v>191</v>
      </c>
      <c r="N192">
        <f t="shared" si="6"/>
        <v>17.300613496932513</v>
      </c>
    </row>
    <row r="193" spans="1:14" x14ac:dyDescent="0.3">
      <c r="A193" s="3">
        <v>44235</v>
      </c>
      <c r="B193" t="s">
        <v>20</v>
      </c>
      <c r="C193" s="1">
        <v>9.01</v>
      </c>
      <c r="D193">
        <f>1*3600+16*60+57</f>
        <v>4617</v>
      </c>
      <c r="E193">
        <f>8*60+32</f>
        <v>512</v>
      </c>
      <c r="F193">
        <f>8*60+4</f>
        <v>484</v>
      </c>
      <c r="G193">
        <f>8*60+10</f>
        <v>490</v>
      </c>
      <c r="H193">
        <f>8*60+34</f>
        <v>514</v>
      </c>
      <c r="I193">
        <v>194</v>
      </c>
      <c r="J193" t="s">
        <v>236</v>
      </c>
      <c r="K193" s="2" t="s">
        <v>348</v>
      </c>
      <c r="L193">
        <f>COUNTIF($C$2:C193, "&lt;&gt;")</f>
        <v>192</v>
      </c>
      <c r="N193">
        <f t="shared" si="6"/>
        <v>21.531631520532741</v>
      </c>
    </row>
    <row r="194" spans="1:14" x14ac:dyDescent="0.3">
      <c r="A194" s="3">
        <v>44236</v>
      </c>
      <c r="B194" t="s">
        <v>29</v>
      </c>
      <c r="C194" s="1">
        <v>3.72</v>
      </c>
      <c r="D194">
        <f>28*60+59</f>
        <v>1739</v>
      </c>
      <c r="E194">
        <f>7*60+47</f>
        <v>467</v>
      </c>
      <c r="F194">
        <f>7*60+51</f>
        <v>471</v>
      </c>
      <c r="G194">
        <f>7*60+55</f>
        <v>475</v>
      </c>
      <c r="H194">
        <f>7*60+49</f>
        <v>469</v>
      </c>
      <c r="I194">
        <v>102</v>
      </c>
      <c r="J194" t="s">
        <v>174</v>
      </c>
      <c r="K194" s="2" t="s">
        <v>350</v>
      </c>
      <c r="L194">
        <f>COUNTIF($C$2:C194, "&lt;&gt;")</f>
        <v>193</v>
      </c>
      <c r="N194">
        <f t="shared" si="6"/>
        <v>27.419354838709676</v>
      </c>
    </row>
    <row r="195" spans="1:14" x14ac:dyDescent="0.3">
      <c r="A195" s="3">
        <v>44237</v>
      </c>
      <c r="B195" t="s">
        <v>33</v>
      </c>
      <c r="C195" s="1">
        <v>4.2300000000000004</v>
      </c>
      <c r="D195">
        <f>35*60</f>
        <v>2100</v>
      </c>
      <c r="E195">
        <f>8*60+16</f>
        <v>496</v>
      </c>
      <c r="F195">
        <f>7*60+23</f>
        <v>443</v>
      </c>
      <c r="G195">
        <f>8*60+1</f>
        <v>481</v>
      </c>
      <c r="H195">
        <f>8*60+53</f>
        <v>533</v>
      </c>
      <c r="I195">
        <v>210</v>
      </c>
      <c r="J195" t="s">
        <v>123</v>
      </c>
      <c r="K195" s="2" t="s">
        <v>349</v>
      </c>
      <c r="L195">
        <f>COUNTIF($C$2:C195, "&lt;&gt;")</f>
        <v>194</v>
      </c>
      <c r="N195">
        <f t="shared" si="6"/>
        <v>49.645390070921984</v>
      </c>
    </row>
    <row r="196" spans="1:14" x14ac:dyDescent="0.3">
      <c r="A196" s="3">
        <v>44238</v>
      </c>
      <c r="B196" t="s">
        <v>37</v>
      </c>
      <c r="C196" s="1">
        <v>4.03</v>
      </c>
      <c r="D196">
        <f>31*60+36</f>
        <v>1896</v>
      </c>
      <c r="E196">
        <f>7*60+50</f>
        <v>470</v>
      </c>
      <c r="F196">
        <f>8*60+22</f>
        <v>502</v>
      </c>
      <c r="G196">
        <f>8*60+25</f>
        <v>505</v>
      </c>
      <c r="H196">
        <f>7*60+20</f>
        <v>440</v>
      </c>
      <c r="I196">
        <v>131</v>
      </c>
      <c r="J196" t="s">
        <v>163</v>
      </c>
      <c r="K196" s="2" t="s">
        <v>352</v>
      </c>
      <c r="L196">
        <f>COUNTIF($C$2:C196, "&lt;&gt;")</f>
        <v>195</v>
      </c>
      <c r="N196">
        <f t="shared" si="6"/>
        <v>32.506203473945405</v>
      </c>
    </row>
    <row r="197" spans="1:14" x14ac:dyDescent="0.3">
      <c r="A197" s="3">
        <v>44239</v>
      </c>
      <c r="B197" t="s">
        <v>102</v>
      </c>
      <c r="C197" s="1">
        <v>3.12</v>
      </c>
      <c r="D197">
        <f>26*60+34</f>
        <v>1594</v>
      </c>
      <c r="E197">
        <f>8*60+30</f>
        <v>510</v>
      </c>
      <c r="F197">
        <f>8*60+19</f>
        <v>499</v>
      </c>
      <c r="G197">
        <f>8*60+22</f>
        <v>502</v>
      </c>
      <c r="H197">
        <f>8*60+48</f>
        <v>528</v>
      </c>
      <c r="I197">
        <v>109</v>
      </c>
      <c r="J197" t="s">
        <v>104</v>
      </c>
      <c r="K197" s="2" t="s">
        <v>353</v>
      </c>
      <c r="L197">
        <f>COUNTIF($C$2:C197, "&lt;&gt;")</f>
        <v>196</v>
      </c>
      <c r="N197">
        <f t="shared" si="6"/>
        <v>34.935897435897438</v>
      </c>
    </row>
    <row r="198" spans="1:14" x14ac:dyDescent="0.3">
      <c r="A198" s="3">
        <v>44240</v>
      </c>
      <c r="B198" t="s">
        <v>351</v>
      </c>
      <c r="C198" s="1">
        <v>26.42</v>
      </c>
      <c r="D198">
        <f>3*3600+46*60+1</f>
        <v>13561</v>
      </c>
      <c r="E198">
        <f>8*60+33</f>
        <v>513</v>
      </c>
      <c r="F198">
        <f>7*60+48</f>
        <v>468</v>
      </c>
      <c r="G198">
        <f>7*60+56</f>
        <v>476</v>
      </c>
      <c r="H198">
        <f>8*60+4</f>
        <v>484</v>
      </c>
      <c r="I198">
        <v>305</v>
      </c>
      <c r="J198" t="s">
        <v>351</v>
      </c>
      <c r="K198" s="2" t="s">
        <v>354</v>
      </c>
      <c r="L198">
        <f>COUNTIF($C$2:C198, "&lt;&gt;")</f>
        <v>197</v>
      </c>
      <c r="N198">
        <f t="shared" si="6"/>
        <v>11.544284632853898</v>
      </c>
    </row>
    <row r="199" spans="1:14" x14ac:dyDescent="0.3">
      <c r="A199" s="3">
        <v>44241</v>
      </c>
      <c r="B199" t="s">
        <v>102</v>
      </c>
      <c r="C199" s="1">
        <v>3.72</v>
      </c>
      <c r="D199">
        <f>35*60+5</f>
        <v>2105</v>
      </c>
      <c r="E199">
        <f>9*60+25</f>
        <v>565</v>
      </c>
      <c r="F199">
        <f>9*60+18</f>
        <v>558</v>
      </c>
      <c r="G199">
        <f>9*60+17</f>
        <v>557</v>
      </c>
      <c r="H199">
        <f>9*60+33</f>
        <v>573</v>
      </c>
      <c r="I199">
        <v>141</v>
      </c>
      <c r="J199" t="s">
        <v>104</v>
      </c>
      <c r="K199" s="2" t="s">
        <v>355</v>
      </c>
      <c r="L199">
        <f>COUNTIF($C$2:C199, "&lt;&gt;")</f>
        <v>198</v>
      </c>
      <c r="N199">
        <f t="shared" si="6"/>
        <v>37.903225806451609</v>
      </c>
    </row>
    <row r="200" spans="1:14" x14ac:dyDescent="0.3">
      <c r="A200" s="3">
        <v>44242</v>
      </c>
      <c r="B200" t="s">
        <v>20</v>
      </c>
      <c r="C200" s="1">
        <v>4.03</v>
      </c>
      <c r="D200">
        <f>32*60+53</f>
        <v>1973</v>
      </c>
      <c r="E200">
        <f>8*60+9</f>
        <v>489</v>
      </c>
      <c r="F200">
        <f>8*60+37</f>
        <v>517</v>
      </c>
      <c r="G200">
        <f>8*60+5</f>
        <v>485</v>
      </c>
      <c r="H200">
        <f>8*60</f>
        <v>480</v>
      </c>
      <c r="I200">
        <v>85</v>
      </c>
      <c r="J200" t="s">
        <v>236</v>
      </c>
      <c r="K200" s="2" t="s">
        <v>356</v>
      </c>
      <c r="L200">
        <f>COUNTIF($C$2:C200, "&lt;&gt;")</f>
        <v>199</v>
      </c>
      <c r="N200">
        <f t="shared" si="6"/>
        <v>21.091811414392058</v>
      </c>
    </row>
    <row r="201" spans="1:14" x14ac:dyDescent="0.3">
      <c r="A201" s="3">
        <v>44243</v>
      </c>
      <c r="B201" t="s">
        <v>29</v>
      </c>
      <c r="C201" s="1">
        <v>3.73</v>
      </c>
      <c r="D201">
        <f>27*60+19</f>
        <v>1639</v>
      </c>
      <c r="E201">
        <f>7*60+19</f>
        <v>439</v>
      </c>
      <c r="F201">
        <f>7*60+26</f>
        <v>446</v>
      </c>
      <c r="G201">
        <f>7*60+49</f>
        <v>469</v>
      </c>
      <c r="H201">
        <f>7*60+2</f>
        <v>422</v>
      </c>
      <c r="I201">
        <v>113</v>
      </c>
      <c r="J201" t="s">
        <v>174</v>
      </c>
      <c r="K201" s="2" t="s">
        <v>357</v>
      </c>
      <c r="L201">
        <f>COUNTIF($C$2:C201, "&lt;&gt;")</f>
        <v>200</v>
      </c>
      <c r="N201">
        <f t="shared" si="6"/>
        <v>30.294906166219839</v>
      </c>
    </row>
    <row r="202" spans="1:14" x14ac:dyDescent="0.3">
      <c r="A202" s="3">
        <v>44244</v>
      </c>
      <c r="B202" t="s">
        <v>102</v>
      </c>
      <c r="C202" s="1">
        <v>3.13</v>
      </c>
      <c r="D202">
        <f>26*60+44</f>
        <v>1604</v>
      </c>
      <c r="E202">
        <f>8*60+32</f>
        <v>512</v>
      </c>
      <c r="F202">
        <f>8*60+23</f>
        <v>503</v>
      </c>
      <c r="G202">
        <f>8*60+31</f>
        <v>511</v>
      </c>
      <c r="H202">
        <f>8*60+42</f>
        <v>522</v>
      </c>
      <c r="I202">
        <v>117</v>
      </c>
      <c r="J202" t="s">
        <v>104</v>
      </c>
      <c r="K202" s="2" t="s">
        <v>358</v>
      </c>
      <c r="L202">
        <f>COUNTIF($C$2:C202, "&lt;&gt;")</f>
        <v>201</v>
      </c>
      <c r="N202">
        <f t="shared" si="6"/>
        <v>37.380191693290733</v>
      </c>
    </row>
    <row r="203" spans="1:14" x14ac:dyDescent="0.3">
      <c r="A203" s="3">
        <v>44245</v>
      </c>
      <c r="B203" t="s">
        <v>102</v>
      </c>
      <c r="C203" s="1">
        <v>3.12</v>
      </c>
      <c r="D203">
        <f>27*60+43</f>
        <v>1663</v>
      </c>
      <c r="E203">
        <f>8*60+53</f>
        <v>533</v>
      </c>
      <c r="F203">
        <f>9*60+2</f>
        <v>542</v>
      </c>
      <c r="G203">
        <f>8*60+46</f>
        <v>526</v>
      </c>
      <c r="H203">
        <f>9*60+10</f>
        <v>550</v>
      </c>
      <c r="I203">
        <v>112</v>
      </c>
      <c r="J203" t="s">
        <v>104</v>
      </c>
      <c r="K203" s="2" t="s">
        <v>359</v>
      </c>
      <c r="L203">
        <f>COUNTIF($C$2:C203, "&lt;&gt;")</f>
        <v>202</v>
      </c>
      <c r="N203">
        <f t="shared" si="6"/>
        <v>35.897435897435898</v>
      </c>
    </row>
    <row r="204" spans="1:14" x14ac:dyDescent="0.3">
      <c r="A204" s="3">
        <v>44246</v>
      </c>
      <c r="B204" t="s">
        <v>102</v>
      </c>
      <c r="C204" s="1">
        <v>3.11</v>
      </c>
      <c r="D204">
        <f>26*60+5</f>
        <v>1565</v>
      </c>
      <c r="E204">
        <f>8*60+22</f>
        <v>502</v>
      </c>
      <c r="F204">
        <f>8*60+10</f>
        <v>490</v>
      </c>
      <c r="G204">
        <f>8*60+17</f>
        <v>497</v>
      </c>
      <c r="H204">
        <f>8*60+27</f>
        <v>507</v>
      </c>
      <c r="I204">
        <v>118</v>
      </c>
      <c r="J204" t="s">
        <v>104</v>
      </c>
      <c r="K204" s="2" t="s">
        <v>360</v>
      </c>
      <c r="L204">
        <f>COUNTIF($C$2:C204, "&lt;&gt;")</f>
        <v>203</v>
      </c>
      <c r="N204">
        <f t="shared" si="6"/>
        <v>37.942122186495176</v>
      </c>
    </row>
    <row r="205" spans="1:14" x14ac:dyDescent="0.3">
      <c r="A205" s="3">
        <v>44247</v>
      </c>
      <c r="B205" t="s">
        <v>33</v>
      </c>
      <c r="C205" s="1">
        <v>6.38</v>
      </c>
      <c r="D205">
        <f>51*60+38</f>
        <v>3098</v>
      </c>
      <c r="E205">
        <f>8*60+5</f>
        <v>485</v>
      </c>
      <c r="F205">
        <f>8*60+7</f>
        <v>487</v>
      </c>
      <c r="G205">
        <f>8*60+41</f>
        <v>521</v>
      </c>
      <c r="H205">
        <f>7*60+55</f>
        <v>475</v>
      </c>
      <c r="I205">
        <v>161</v>
      </c>
      <c r="J205" t="s">
        <v>64</v>
      </c>
      <c r="K205" s="2" t="s">
        <v>361</v>
      </c>
      <c r="L205">
        <f>COUNTIF($C$2:C205, "&lt;&gt;")</f>
        <v>204</v>
      </c>
      <c r="N205">
        <f t="shared" si="6"/>
        <v>25.23510971786834</v>
      </c>
    </row>
    <row r="206" spans="1:14" x14ac:dyDescent="0.3">
      <c r="A206" s="3">
        <v>44248</v>
      </c>
      <c r="B206" t="s">
        <v>116</v>
      </c>
      <c r="C206" s="1">
        <v>5.0599999999999996</v>
      </c>
      <c r="D206">
        <f>47*60+3</f>
        <v>2823</v>
      </c>
      <c r="E206">
        <f>9*60+17</f>
        <v>557</v>
      </c>
      <c r="F206">
        <f>10*60+33</f>
        <v>633</v>
      </c>
      <c r="G206">
        <f>9*60+35</f>
        <v>575</v>
      </c>
      <c r="H206">
        <f>9*60+41</f>
        <v>581</v>
      </c>
      <c r="I206">
        <v>95</v>
      </c>
      <c r="J206" t="s">
        <v>362</v>
      </c>
      <c r="K206" s="2" t="s">
        <v>363</v>
      </c>
      <c r="L206">
        <f>COUNTIF($C$2:C206, "&lt;&gt;")</f>
        <v>205</v>
      </c>
      <c r="N206">
        <f t="shared" si="6"/>
        <v>18.774703557312254</v>
      </c>
    </row>
    <row r="207" spans="1:14" x14ac:dyDescent="0.3">
      <c r="A207" s="3">
        <v>44249</v>
      </c>
      <c r="B207" t="s">
        <v>20</v>
      </c>
      <c r="C207" s="1">
        <v>5.1100000000000003</v>
      </c>
      <c r="D207">
        <f>39*60+8</f>
        <v>2348</v>
      </c>
      <c r="E207">
        <f>7*60+39</f>
        <v>459</v>
      </c>
      <c r="F207">
        <f>8*60+14</f>
        <v>494</v>
      </c>
      <c r="G207">
        <f>7*60+27</f>
        <v>447</v>
      </c>
      <c r="H207">
        <f>7*60+42</f>
        <v>462</v>
      </c>
      <c r="I207">
        <v>93</v>
      </c>
      <c r="J207" t="s">
        <v>21</v>
      </c>
      <c r="K207" s="2" t="s">
        <v>364</v>
      </c>
      <c r="L207">
        <f>COUNTIF($C$2:C207, "&lt;&gt;")</f>
        <v>206</v>
      </c>
      <c r="N207">
        <f t="shared" si="6"/>
        <v>18.199608610567513</v>
      </c>
    </row>
    <row r="208" spans="1:14" x14ac:dyDescent="0.3">
      <c r="A208" s="3">
        <v>44250</v>
      </c>
      <c r="B208" t="s">
        <v>29</v>
      </c>
      <c r="C208" s="1">
        <v>3.73</v>
      </c>
      <c r="D208">
        <f>26*60+1</f>
        <v>1561</v>
      </c>
      <c r="E208">
        <f>6*60+58</f>
        <v>418</v>
      </c>
      <c r="F208">
        <f>7*60+21</f>
        <v>441</v>
      </c>
      <c r="G208">
        <f>7*60+17</f>
        <v>437</v>
      </c>
      <c r="H208">
        <f>6*60+39</f>
        <v>399</v>
      </c>
      <c r="I208">
        <v>113</v>
      </c>
      <c r="J208" t="s">
        <v>174</v>
      </c>
      <c r="K208" s="2" t="s">
        <v>365</v>
      </c>
      <c r="L208">
        <f>COUNTIF($C$2:C208, "&lt;&gt;")</f>
        <v>207</v>
      </c>
      <c r="N208">
        <f t="shared" si="6"/>
        <v>30.294906166219839</v>
      </c>
    </row>
    <row r="209" spans="1:14" x14ac:dyDescent="0.3">
      <c r="A209" s="3">
        <v>44251</v>
      </c>
      <c r="B209" t="s">
        <v>33</v>
      </c>
      <c r="C209" s="1">
        <v>4.2</v>
      </c>
      <c r="D209">
        <f>34*60+41</f>
        <v>2081</v>
      </c>
      <c r="E209">
        <f>8*60+15</f>
        <v>495</v>
      </c>
      <c r="F209">
        <f>8*60+9</f>
        <v>489</v>
      </c>
      <c r="G209">
        <f>8*60+10</f>
        <v>490</v>
      </c>
      <c r="H209">
        <f>8*60+23</f>
        <v>503</v>
      </c>
      <c r="I209">
        <v>178</v>
      </c>
      <c r="J209" t="s">
        <v>123</v>
      </c>
      <c r="K209" s="2" t="s">
        <v>367</v>
      </c>
      <c r="L209">
        <f>COUNTIF($C$2:C209, "&lt;&gt;")</f>
        <v>208</v>
      </c>
      <c r="N209">
        <f t="shared" si="6"/>
        <v>42.38095238095238</v>
      </c>
    </row>
    <row r="210" spans="1:14" x14ac:dyDescent="0.3">
      <c r="A210" s="3">
        <v>44252</v>
      </c>
      <c r="B210" t="s">
        <v>37</v>
      </c>
      <c r="C210" s="1">
        <v>4.0199999999999996</v>
      </c>
      <c r="D210">
        <f>29*60+16</f>
        <v>1756</v>
      </c>
      <c r="E210">
        <f>7*60+16</f>
        <v>436</v>
      </c>
      <c r="F210">
        <f>7*60+39</f>
        <v>459</v>
      </c>
      <c r="G210">
        <f>7*60+15</f>
        <v>435</v>
      </c>
      <c r="H210">
        <f>7*60+2</f>
        <v>422</v>
      </c>
      <c r="I210">
        <v>103</v>
      </c>
      <c r="J210" t="s">
        <v>163</v>
      </c>
      <c r="K210" s="2" t="s">
        <v>366</v>
      </c>
      <c r="L210">
        <f>COUNTIF($C$2:C210, "&lt;&gt;")</f>
        <v>209</v>
      </c>
      <c r="N210">
        <f t="shared" si="6"/>
        <v>25.621890547263686</v>
      </c>
    </row>
    <row r="211" spans="1:14" x14ac:dyDescent="0.3">
      <c r="A211" s="3">
        <v>44253</v>
      </c>
      <c r="B211" t="s">
        <v>102</v>
      </c>
      <c r="C211" s="1">
        <v>5.33</v>
      </c>
      <c r="D211">
        <f>46*60+3</f>
        <v>2763</v>
      </c>
      <c r="E211">
        <f>8*60+38</f>
        <v>518</v>
      </c>
      <c r="F211">
        <f>8*60+28</f>
        <v>508</v>
      </c>
      <c r="G211">
        <f>8*60+24</f>
        <v>504</v>
      </c>
      <c r="H211">
        <f>8*60+13</f>
        <v>493</v>
      </c>
      <c r="I211">
        <v>141</v>
      </c>
      <c r="J211" t="s">
        <v>104</v>
      </c>
      <c r="K211" s="2" t="s">
        <v>368</v>
      </c>
      <c r="L211">
        <f>COUNTIF($C$2:C211, "&lt;&gt;")</f>
        <v>210</v>
      </c>
      <c r="N211">
        <f t="shared" si="6"/>
        <v>26.454033771106943</v>
      </c>
    </row>
    <row r="212" spans="1:14" x14ac:dyDescent="0.3">
      <c r="A212" s="3">
        <v>44254</v>
      </c>
      <c r="B212" t="s">
        <v>33</v>
      </c>
      <c r="C212" s="1">
        <v>6.02</v>
      </c>
      <c r="D212">
        <f>50*60+37</f>
        <v>3037</v>
      </c>
      <c r="E212">
        <f>8*60+24</f>
        <v>504</v>
      </c>
      <c r="F212">
        <f>8*60+38</f>
        <v>518</v>
      </c>
      <c r="G212">
        <f>8*60+46</f>
        <v>526</v>
      </c>
      <c r="H212">
        <f>8*60+28</f>
        <v>508</v>
      </c>
      <c r="I212">
        <v>134</v>
      </c>
      <c r="J212" t="s">
        <v>64</v>
      </c>
      <c r="K212" s="2" t="s">
        <v>369</v>
      </c>
      <c r="L212">
        <f>COUNTIF($C$2:C212, "&lt;&gt;")</f>
        <v>211</v>
      </c>
      <c r="N212">
        <f t="shared" si="6"/>
        <v>22.259136212624586</v>
      </c>
    </row>
    <row r="213" spans="1:14" x14ac:dyDescent="0.3">
      <c r="A213" s="3">
        <v>44255</v>
      </c>
      <c r="B213" t="s">
        <v>102</v>
      </c>
      <c r="C213" s="1">
        <v>3.16</v>
      </c>
      <c r="D213">
        <f>25*60+42</f>
        <v>1542</v>
      </c>
      <c r="E213">
        <f>8*60+7</f>
        <v>487</v>
      </c>
      <c r="F213">
        <f>8*60+14</f>
        <v>494</v>
      </c>
      <c r="G213">
        <f>8*60+2</f>
        <v>482</v>
      </c>
      <c r="H213">
        <f>8*60+14</f>
        <v>494</v>
      </c>
      <c r="I213">
        <v>108</v>
      </c>
      <c r="J213" t="s">
        <v>104</v>
      </c>
      <c r="K213" s="2" t="s">
        <v>372</v>
      </c>
      <c r="L213">
        <f>COUNTIF($C$2:C213, "&lt;&gt;")</f>
        <v>212</v>
      </c>
      <c r="N213">
        <f t="shared" si="6"/>
        <v>34.177215189873415</v>
      </c>
    </row>
    <row r="214" spans="1:14" x14ac:dyDescent="0.3">
      <c r="A214" s="3">
        <v>44256</v>
      </c>
      <c r="B214" t="s">
        <v>20</v>
      </c>
      <c r="C214" s="1">
        <v>10.18</v>
      </c>
      <c r="D214">
        <f>1*3600+23*60+44</f>
        <v>5024</v>
      </c>
      <c r="E214">
        <f>8*60+13</f>
        <v>493</v>
      </c>
      <c r="F214">
        <f>8*60+21</f>
        <v>501</v>
      </c>
      <c r="G214">
        <f>7*60+58</f>
        <v>478</v>
      </c>
      <c r="H214">
        <f>8*60+19</f>
        <v>499</v>
      </c>
      <c r="I214">
        <v>183</v>
      </c>
      <c r="J214" t="s">
        <v>21</v>
      </c>
      <c r="K214" s="2" t="s">
        <v>371</v>
      </c>
      <c r="L214">
        <f>COUNTIF($C$2:C214, "&lt;&gt;")</f>
        <v>213</v>
      </c>
      <c r="N214">
        <f t="shared" si="6"/>
        <v>17.976424361493123</v>
      </c>
    </row>
    <row r="215" spans="1:14" x14ac:dyDescent="0.3">
      <c r="A215" s="3">
        <v>44257</v>
      </c>
      <c r="B215" t="s">
        <v>29</v>
      </c>
      <c r="C215" s="1">
        <v>4.05</v>
      </c>
      <c r="D215">
        <f>29*60+21</f>
        <v>1761</v>
      </c>
      <c r="E215">
        <f>7*60+14</f>
        <v>434</v>
      </c>
      <c r="F215">
        <f>7*60+28</f>
        <v>448</v>
      </c>
      <c r="G215">
        <f>7*60+19</f>
        <v>439</v>
      </c>
      <c r="H215">
        <f>6*60+56</f>
        <v>416</v>
      </c>
      <c r="I215">
        <v>107</v>
      </c>
      <c r="J215" t="s">
        <v>174</v>
      </c>
      <c r="K215" s="2" t="s">
        <v>370</v>
      </c>
      <c r="L215">
        <f>COUNTIF($C$2:C215, "&lt;&gt;")</f>
        <v>214</v>
      </c>
      <c r="N215">
        <f t="shared" si="6"/>
        <v>26.419753086419753</v>
      </c>
    </row>
    <row r="216" spans="1:14" x14ac:dyDescent="0.3">
      <c r="A216" s="3">
        <v>44258</v>
      </c>
      <c r="B216" t="s">
        <v>33</v>
      </c>
      <c r="C216" s="1">
        <v>7.01</v>
      </c>
      <c r="D216">
        <f>1*3600</f>
        <v>3600</v>
      </c>
      <c r="E216">
        <f>8*60+33</f>
        <v>513</v>
      </c>
      <c r="F216">
        <f>9*60+6</f>
        <v>546</v>
      </c>
      <c r="G216">
        <f>9*60+18</f>
        <v>558</v>
      </c>
      <c r="H216">
        <f>8*60+5</f>
        <v>485</v>
      </c>
      <c r="I216">
        <v>282</v>
      </c>
      <c r="J216" t="s">
        <v>201</v>
      </c>
      <c r="K216" s="2" t="s">
        <v>373</v>
      </c>
      <c r="L216">
        <f>COUNTIF($C$2:C216, "&lt;&gt;")</f>
        <v>215</v>
      </c>
      <c r="N216">
        <f t="shared" si="6"/>
        <v>40.22824536376605</v>
      </c>
    </row>
    <row r="217" spans="1:14" x14ac:dyDescent="0.3">
      <c r="A217" s="3">
        <v>44259</v>
      </c>
      <c r="B217" t="s">
        <v>374</v>
      </c>
      <c r="C217" s="1">
        <v>3.11</v>
      </c>
      <c r="D217">
        <f>27*60+20</f>
        <v>1640</v>
      </c>
      <c r="E217">
        <f>8*60+46</f>
        <v>526</v>
      </c>
      <c r="F217">
        <f>8*60+21</f>
        <v>501</v>
      </c>
      <c r="G217">
        <f>8*60+26</f>
        <v>506</v>
      </c>
      <c r="H217">
        <f>9*60+7</f>
        <v>547</v>
      </c>
      <c r="I217">
        <v>64</v>
      </c>
      <c r="J217" t="s">
        <v>375</v>
      </c>
      <c r="K217" s="2" t="s">
        <v>376</v>
      </c>
      <c r="L217">
        <f>COUNTIF($C$2:C217, "&lt;&gt;")</f>
        <v>216</v>
      </c>
      <c r="M217" t="s">
        <v>380</v>
      </c>
      <c r="N217">
        <f t="shared" si="6"/>
        <v>20.578778135048232</v>
      </c>
    </row>
    <row r="218" spans="1:14" x14ac:dyDescent="0.3">
      <c r="A218" s="3">
        <v>44260</v>
      </c>
      <c r="B218" t="s">
        <v>102</v>
      </c>
      <c r="C218" s="1">
        <v>3.16</v>
      </c>
      <c r="D218">
        <f>27*60+32</f>
        <v>1652</v>
      </c>
      <c r="E218">
        <f>8*60+42</f>
        <v>522</v>
      </c>
      <c r="F218">
        <f>8*60+21</f>
        <v>501</v>
      </c>
      <c r="G218">
        <f>8*60+51</f>
        <v>531</v>
      </c>
      <c r="H218">
        <f>8*60+56</f>
        <v>536</v>
      </c>
      <c r="I218">
        <v>118</v>
      </c>
      <c r="J218" t="s">
        <v>104</v>
      </c>
      <c r="K218" s="2" t="s">
        <v>379</v>
      </c>
      <c r="L218">
        <f>COUNTIF($C$2:C218, "&lt;&gt;")</f>
        <v>217</v>
      </c>
      <c r="N218">
        <f t="shared" si="6"/>
        <v>37.341772151898731</v>
      </c>
    </row>
    <row r="219" spans="1:14" x14ac:dyDescent="0.3">
      <c r="A219" s="3">
        <v>44261</v>
      </c>
      <c r="B219" t="s">
        <v>9</v>
      </c>
      <c r="C219" s="1">
        <v>3.9</v>
      </c>
      <c r="D219">
        <f>32*60+28</f>
        <v>1948</v>
      </c>
      <c r="E219">
        <f>8*60+19</f>
        <v>499</v>
      </c>
      <c r="F219">
        <f>8*60+27</f>
        <v>507</v>
      </c>
      <c r="G219">
        <f>8*60+31</f>
        <v>511</v>
      </c>
      <c r="H219">
        <f>8*60+37</f>
        <v>517</v>
      </c>
      <c r="I219">
        <v>65</v>
      </c>
      <c r="J219" t="s">
        <v>377</v>
      </c>
      <c r="K219" s="2" t="s">
        <v>378</v>
      </c>
      <c r="L219">
        <f>COUNTIF($C$2:C219, "&lt;&gt;")</f>
        <v>218</v>
      </c>
      <c r="N219">
        <f t="shared" si="6"/>
        <v>16.666666666666668</v>
      </c>
    </row>
    <row r="220" spans="1:14" x14ac:dyDescent="0.3">
      <c r="A220" s="3">
        <v>44262</v>
      </c>
      <c r="B220" t="s">
        <v>102</v>
      </c>
      <c r="C220" s="1">
        <v>3.21</v>
      </c>
      <c r="D220">
        <f>28*60+43</f>
        <v>1723</v>
      </c>
      <c r="E220">
        <f>8*60+56</f>
        <v>536</v>
      </c>
      <c r="F220">
        <f>8*60+53</f>
        <v>533</v>
      </c>
      <c r="G220">
        <f>8*60+38</f>
        <v>518</v>
      </c>
      <c r="H220">
        <f>9*60+13</f>
        <v>553</v>
      </c>
      <c r="I220">
        <v>118</v>
      </c>
      <c r="J220" t="s">
        <v>104</v>
      </c>
      <c r="K220" s="2" t="s">
        <v>384</v>
      </c>
      <c r="L220">
        <f>COUNTIF($C$2:C220, "&lt;&gt;")</f>
        <v>219</v>
      </c>
      <c r="N220">
        <f t="shared" si="6"/>
        <v>36.760124610591902</v>
      </c>
    </row>
    <row r="221" spans="1:14" x14ac:dyDescent="0.3">
      <c r="A221" s="3">
        <v>44263</v>
      </c>
      <c r="B221" t="s">
        <v>20</v>
      </c>
      <c r="C221" s="1">
        <v>5.0199999999999996</v>
      </c>
      <c r="D221">
        <f>43*60+57</f>
        <v>2637</v>
      </c>
      <c r="E221">
        <f>8*60+45</f>
        <v>525</v>
      </c>
      <c r="F221">
        <f>9*60+25</f>
        <v>565</v>
      </c>
      <c r="G221">
        <f>8*60+46</f>
        <v>526</v>
      </c>
      <c r="H221">
        <f>8*60+33</f>
        <v>513</v>
      </c>
      <c r="I221">
        <v>108</v>
      </c>
      <c r="J221" t="s">
        <v>21</v>
      </c>
      <c r="K221" s="2" t="s">
        <v>381</v>
      </c>
      <c r="L221">
        <f>COUNTIF($C$2:C221, "&lt;&gt;")</f>
        <v>220</v>
      </c>
      <c r="N221">
        <f t="shared" si="6"/>
        <v>21.513944223107572</v>
      </c>
    </row>
    <row r="222" spans="1:14" x14ac:dyDescent="0.3">
      <c r="A222" s="3">
        <v>44264</v>
      </c>
      <c r="B222" t="s">
        <v>29</v>
      </c>
      <c r="C222" s="1">
        <v>3.74</v>
      </c>
      <c r="D222">
        <f>27*60+34</f>
        <v>1654</v>
      </c>
      <c r="E222">
        <f>7*60+21</f>
        <v>441</v>
      </c>
      <c r="F222">
        <f>7*60+16</f>
        <v>436</v>
      </c>
      <c r="G222">
        <f>7*60+42</f>
        <v>462</v>
      </c>
      <c r="H222">
        <f>7*60+14</f>
        <v>434</v>
      </c>
      <c r="I222">
        <v>112</v>
      </c>
      <c r="J222" t="s">
        <v>174</v>
      </c>
      <c r="K222" s="2" t="s">
        <v>382</v>
      </c>
      <c r="L222">
        <f>COUNTIF($C$2:C222, "&lt;&gt;")</f>
        <v>221</v>
      </c>
      <c r="N222">
        <f t="shared" si="6"/>
        <v>29.946524064171122</v>
      </c>
    </row>
    <row r="223" spans="1:14" x14ac:dyDescent="0.3">
      <c r="A223" s="3">
        <v>44265</v>
      </c>
      <c r="B223" t="s">
        <v>33</v>
      </c>
      <c r="C223" s="1">
        <v>6.55</v>
      </c>
      <c r="D223">
        <f>58*60+31</f>
        <v>3511</v>
      </c>
      <c r="E223">
        <f>8*60+56</f>
        <v>536</v>
      </c>
      <c r="F223">
        <f>8*60+33</f>
        <v>513</v>
      </c>
      <c r="G223">
        <f>9*60+39</f>
        <v>579</v>
      </c>
      <c r="H223">
        <f>10*60+3</f>
        <v>603</v>
      </c>
      <c r="I223">
        <v>264</v>
      </c>
      <c r="J223" t="s">
        <v>201</v>
      </c>
      <c r="K223" s="2" t="s">
        <v>383</v>
      </c>
      <c r="L223">
        <f>COUNTIF($C$2:C223, "&lt;&gt;")</f>
        <v>222</v>
      </c>
      <c r="N223">
        <f t="shared" si="6"/>
        <v>40.305343511450381</v>
      </c>
    </row>
    <row r="224" spans="1:14" x14ac:dyDescent="0.3">
      <c r="A224" s="3">
        <v>44266</v>
      </c>
      <c r="B224" t="s">
        <v>37</v>
      </c>
      <c r="C224" s="1">
        <v>4.0199999999999996</v>
      </c>
      <c r="D224">
        <f>31*60+51</f>
        <v>1911</v>
      </c>
      <c r="E224">
        <f>7*60+55</f>
        <v>475</v>
      </c>
      <c r="F224">
        <f>7*60+49</f>
        <v>469</v>
      </c>
      <c r="G224">
        <f>8*60+4</f>
        <v>484</v>
      </c>
      <c r="H224">
        <f>8*60+5</f>
        <v>485</v>
      </c>
      <c r="I224">
        <v>101</v>
      </c>
      <c r="J224" t="s">
        <v>163</v>
      </c>
      <c r="K224" s="2" t="s">
        <v>385</v>
      </c>
      <c r="L224">
        <f>COUNTIF($C$2:C224, "&lt;&gt;")</f>
        <v>223</v>
      </c>
      <c r="N224">
        <f t="shared" si="6"/>
        <v>25.124378109452739</v>
      </c>
    </row>
    <row r="225" spans="1:14" x14ac:dyDescent="0.3">
      <c r="A225" s="3">
        <v>44267</v>
      </c>
      <c r="B225" t="s">
        <v>102</v>
      </c>
      <c r="C225" s="1">
        <v>3.14</v>
      </c>
      <c r="D225">
        <f>28*60+28</f>
        <v>1708</v>
      </c>
      <c r="E225">
        <f>9*60+4</f>
        <v>544</v>
      </c>
      <c r="F225">
        <f>8*60+28</f>
        <v>508</v>
      </c>
      <c r="G225">
        <f>9*60+15</f>
        <v>555</v>
      </c>
      <c r="H225">
        <f>9*60+30</f>
        <v>570</v>
      </c>
      <c r="I225">
        <v>108</v>
      </c>
      <c r="J225" t="s">
        <v>104</v>
      </c>
      <c r="K225" s="2" t="s">
        <v>386</v>
      </c>
      <c r="L225">
        <f>COUNTIF($C$2:C225, "&lt;&gt;")</f>
        <v>224</v>
      </c>
      <c r="N225">
        <f t="shared" si="6"/>
        <v>34.394904458598724</v>
      </c>
    </row>
    <row r="226" spans="1:14" x14ac:dyDescent="0.3">
      <c r="A226" s="3">
        <v>44268</v>
      </c>
      <c r="B226" t="s">
        <v>9</v>
      </c>
      <c r="C226" s="1">
        <v>4.45</v>
      </c>
      <c r="D226">
        <f>37*60+53</f>
        <v>2273</v>
      </c>
      <c r="E226">
        <f>8*60+30</f>
        <v>510</v>
      </c>
      <c r="F226">
        <f>8*60+25</f>
        <v>505</v>
      </c>
      <c r="G226">
        <f>8*60+37</f>
        <v>517</v>
      </c>
      <c r="H226">
        <f>8*60+36</f>
        <v>516</v>
      </c>
      <c r="I226">
        <v>33</v>
      </c>
      <c r="J226" t="s">
        <v>54</v>
      </c>
      <c r="K226" s="2" t="s">
        <v>387</v>
      </c>
      <c r="L226">
        <f>COUNTIF($C$2:C226, "&lt;&gt;")</f>
        <v>225</v>
      </c>
      <c r="N226">
        <f t="shared" si="6"/>
        <v>7.4157303370786511</v>
      </c>
    </row>
    <row r="227" spans="1:14" x14ac:dyDescent="0.3">
      <c r="A227" s="3">
        <v>44269</v>
      </c>
      <c r="B227" t="s">
        <v>390</v>
      </c>
      <c r="C227" s="1">
        <v>13.11</v>
      </c>
      <c r="D227">
        <f>1*3600+44*60+1</f>
        <v>6241</v>
      </c>
      <c r="E227">
        <f>ROUND(D227/C227,0)</f>
        <v>476</v>
      </c>
      <c r="F227">
        <f>7*60+42</f>
        <v>462</v>
      </c>
      <c r="G227">
        <f>8*60+10</f>
        <v>490</v>
      </c>
      <c r="H227">
        <f>8*60+5</f>
        <v>485</v>
      </c>
      <c r="I227">
        <v>197</v>
      </c>
      <c r="J227" t="s">
        <v>54</v>
      </c>
      <c r="K227" s="2" t="s">
        <v>391</v>
      </c>
      <c r="L227">
        <f>COUNTIF($C$2:C227, "&lt;&gt;")</f>
        <v>226</v>
      </c>
      <c r="N227">
        <f t="shared" si="6"/>
        <v>15.026697177726927</v>
      </c>
    </row>
    <row r="228" spans="1:14" x14ac:dyDescent="0.3">
      <c r="A228" s="3">
        <v>44270</v>
      </c>
      <c r="B228" t="s">
        <v>20</v>
      </c>
      <c r="C228" s="1">
        <v>3.14</v>
      </c>
      <c r="D228">
        <f>29*60+20</f>
        <v>1760</v>
      </c>
      <c r="E228">
        <f>9*60+20</f>
        <v>560</v>
      </c>
      <c r="F228">
        <f>9*60+23</f>
        <v>563</v>
      </c>
      <c r="G228">
        <f>9*60+14</f>
        <v>554</v>
      </c>
      <c r="H228">
        <f>9*60+24</f>
        <v>564</v>
      </c>
      <c r="I228">
        <v>95</v>
      </c>
      <c r="J228" t="s">
        <v>389</v>
      </c>
      <c r="K228" s="2" t="s">
        <v>388</v>
      </c>
      <c r="L228">
        <f>COUNTIF($C$2:C228, "&lt;&gt;")</f>
        <v>227</v>
      </c>
      <c r="N228">
        <f t="shared" si="6"/>
        <v>30.254777070063692</v>
      </c>
    </row>
    <row r="229" spans="1:14" x14ac:dyDescent="0.3">
      <c r="A229" s="3">
        <v>44271</v>
      </c>
      <c r="B229" t="s">
        <v>29</v>
      </c>
      <c r="C229" s="1">
        <v>3.12</v>
      </c>
      <c r="D229">
        <f>25*60+32</f>
        <v>1532</v>
      </c>
      <c r="E229">
        <f>8*60+10</f>
        <v>490</v>
      </c>
      <c r="F229">
        <f>8*60+31</f>
        <v>511</v>
      </c>
      <c r="G229">
        <f>7*60+58</f>
        <v>478</v>
      </c>
      <c r="H229">
        <f>7*60+47</f>
        <v>467</v>
      </c>
      <c r="I229">
        <v>144</v>
      </c>
      <c r="J229" t="s">
        <v>30</v>
      </c>
      <c r="K229" s="2" t="s">
        <v>392</v>
      </c>
      <c r="L229">
        <f>COUNTIF($C$2:C229, "&lt;&gt;")</f>
        <v>228</v>
      </c>
      <c r="N229">
        <f t="shared" si="6"/>
        <v>46.153846153846153</v>
      </c>
    </row>
    <row r="230" spans="1:14" x14ac:dyDescent="0.3">
      <c r="A230" s="3">
        <v>44272</v>
      </c>
      <c r="C230" s="1">
        <v>3.17</v>
      </c>
      <c r="D230">
        <f>27*60+32</f>
        <v>1652</v>
      </c>
      <c r="E230">
        <f>8*60+41</f>
        <v>521</v>
      </c>
      <c r="F230">
        <f>8*60+34</f>
        <v>514</v>
      </c>
      <c r="G230">
        <f>8*60+38</f>
        <v>518</v>
      </c>
      <c r="H230">
        <f>8*60+50</f>
        <v>530</v>
      </c>
      <c r="I230">
        <v>129</v>
      </c>
      <c r="J230" t="s">
        <v>389</v>
      </c>
      <c r="K230" s="2" t="s">
        <v>393</v>
      </c>
      <c r="L230">
        <f>COUNTIF($C$2:C230, "&lt;&gt;")</f>
        <v>229</v>
      </c>
      <c r="N230">
        <f t="shared" si="6"/>
        <v>40.694006309148264</v>
      </c>
    </row>
    <row r="231" spans="1:14" x14ac:dyDescent="0.3">
      <c r="A231" s="3">
        <v>44273</v>
      </c>
      <c r="B231" t="s">
        <v>37</v>
      </c>
      <c r="C231" s="1">
        <v>3.11</v>
      </c>
      <c r="D231">
        <f>27*60+16</f>
        <v>1636</v>
      </c>
      <c r="E231">
        <f>8*60+45</f>
        <v>525</v>
      </c>
      <c r="F231">
        <f>8*60+23</f>
        <v>503</v>
      </c>
      <c r="G231">
        <f>8*60+53</f>
        <v>533</v>
      </c>
      <c r="H231">
        <f>8*60+53</f>
        <v>533</v>
      </c>
      <c r="I231">
        <v>89</v>
      </c>
      <c r="J231" t="s">
        <v>38</v>
      </c>
      <c r="K231" s="2" t="s">
        <v>394</v>
      </c>
      <c r="L231">
        <f>COUNTIF($C$2:C231, "&lt;&gt;")</f>
        <v>230</v>
      </c>
      <c r="M231" t="s">
        <v>431</v>
      </c>
      <c r="N231">
        <f t="shared" si="6"/>
        <v>28.617363344051448</v>
      </c>
    </row>
    <row r="232" spans="1:14" x14ac:dyDescent="0.3">
      <c r="A232" s="3">
        <v>44274</v>
      </c>
      <c r="B232" t="s">
        <v>102</v>
      </c>
      <c r="C232" s="1">
        <v>3.11</v>
      </c>
      <c r="D232">
        <f>29*60+12</f>
        <v>1752</v>
      </c>
      <c r="E232">
        <f>9*60+22</f>
        <v>562</v>
      </c>
      <c r="F232">
        <f>9*60+9</f>
        <v>549</v>
      </c>
      <c r="G232">
        <f>9*60+46</f>
        <v>586</v>
      </c>
      <c r="H232">
        <f>9*60+13</f>
        <v>553</v>
      </c>
      <c r="I232">
        <v>138</v>
      </c>
      <c r="J232" t="s">
        <v>104</v>
      </c>
      <c r="K232" s="2" t="s">
        <v>395</v>
      </c>
      <c r="L232">
        <f>COUNTIF($C$2:C232, "&lt;&gt;")</f>
        <v>231</v>
      </c>
      <c r="N232">
        <f t="shared" si="6"/>
        <v>44.372990353697752</v>
      </c>
    </row>
    <row r="233" spans="1:14" x14ac:dyDescent="0.3">
      <c r="A233" s="3">
        <v>44275</v>
      </c>
      <c r="C233" s="1">
        <v>3.5</v>
      </c>
      <c r="D233">
        <f>35*60+52</f>
        <v>2152</v>
      </c>
      <c r="E233">
        <f>10*60+14</f>
        <v>614</v>
      </c>
      <c r="F233">
        <f>9*60+50</f>
        <v>590</v>
      </c>
      <c r="G233">
        <f>10*60+22</f>
        <v>622</v>
      </c>
      <c r="H233">
        <f>10*60+33</f>
        <v>633</v>
      </c>
      <c r="I233">
        <v>56</v>
      </c>
      <c r="J233" t="s">
        <v>399</v>
      </c>
      <c r="K233" s="2" t="s">
        <v>400</v>
      </c>
      <c r="L233">
        <f>COUNTIF($C$2:C233, "&lt;&gt;")</f>
        <v>232</v>
      </c>
      <c r="N233">
        <f t="shared" si="6"/>
        <v>16</v>
      </c>
    </row>
    <row r="234" spans="1:14" x14ac:dyDescent="0.3">
      <c r="A234" s="3">
        <v>44276</v>
      </c>
      <c r="B234" t="s">
        <v>402</v>
      </c>
      <c r="C234" s="1">
        <v>3.12</v>
      </c>
      <c r="D234">
        <f>30*60+29</f>
        <v>1829</v>
      </c>
      <c r="E234">
        <f>9*60+45</f>
        <v>585</v>
      </c>
      <c r="F234">
        <f>9*60+56</f>
        <v>596</v>
      </c>
      <c r="G234">
        <f>9*60+43</f>
        <v>583</v>
      </c>
      <c r="H234">
        <f>9*60+37</f>
        <v>577</v>
      </c>
      <c r="I234">
        <v>108</v>
      </c>
      <c r="J234" t="s">
        <v>94</v>
      </c>
      <c r="K234" s="2" t="s">
        <v>403</v>
      </c>
      <c r="L234">
        <f>COUNTIF($C$2:C234, "&lt;&gt;")</f>
        <v>233</v>
      </c>
      <c r="N234">
        <f t="shared" si="6"/>
        <v>34.615384615384613</v>
      </c>
    </row>
    <row r="235" spans="1:14" x14ac:dyDescent="0.3">
      <c r="A235" s="3">
        <v>44277</v>
      </c>
      <c r="B235" t="s">
        <v>20</v>
      </c>
      <c r="C235" s="1">
        <v>3.11</v>
      </c>
      <c r="D235">
        <f>25*60+51</f>
        <v>1551</v>
      </c>
      <c r="E235">
        <f>8*60+17</f>
        <v>497</v>
      </c>
      <c r="F235">
        <f>8*60+9</f>
        <v>489</v>
      </c>
      <c r="G235">
        <f>8*60+15</f>
        <v>495</v>
      </c>
      <c r="H235">
        <f>8*60+33</f>
        <v>513</v>
      </c>
      <c r="I235">
        <v>95</v>
      </c>
      <c r="J235" t="s">
        <v>389</v>
      </c>
      <c r="K235" s="2" t="s">
        <v>401</v>
      </c>
      <c r="L235">
        <f>COUNTIF($C$2:C235, "&lt;&gt;")</f>
        <v>234</v>
      </c>
      <c r="N235">
        <f t="shared" si="6"/>
        <v>30.54662379421222</v>
      </c>
    </row>
    <row r="236" spans="1:14" x14ac:dyDescent="0.3">
      <c r="A236" s="3">
        <v>44278</v>
      </c>
      <c r="B236" t="s">
        <v>29</v>
      </c>
      <c r="C236" s="1">
        <v>3.12</v>
      </c>
      <c r="D236">
        <f>23*60+23</f>
        <v>1403</v>
      </c>
      <c r="E236">
        <f>7*60+29</f>
        <v>449</v>
      </c>
      <c r="F236">
        <f>7*60+32</f>
        <v>452</v>
      </c>
      <c r="G236">
        <f>7*60+24</f>
        <v>444</v>
      </c>
      <c r="H236">
        <f>7*60+22</f>
        <v>442</v>
      </c>
      <c r="I236">
        <v>68</v>
      </c>
      <c r="J236" t="s">
        <v>30</v>
      </c>
      <c r="K236" s="2" t="s">
        <v>406</v>
      </c>
      <c r="L236">
        <f>COUNTIF($C$2:C236, "&lt;&gt;")</f>
        <v>235</v>
      </c>
      <c r="N236">
        <f t="shared" si="6"/>
        <v>21.794871794871796</v>
      </c>
    </row>
    <row r="237" spans="1:14" x14ac:dyDescent="0.3">
      <c r="A237" s="3">
        <v>44279</v>
      </c>
      <c r="B237" t="s">
        <v>33</v>
      </c>
      <c r="C237" s="1">
        <v>3.12</v>
      </c>
      <c r="D237">
        <f>27*60+56</f>
        <v>1676</v>
      </c>
      <c r="E237">
        <f>8*60+57</f>
        <v>537</v>
      </c>
      <c r="F237">
        <f>8*60+44</f>
        <v>524</v>
      </c>
      <c r="G237">
        <f>9*60+3</f>
        <v>543</v>
      </c>
      <c r="H237">
        <f>8*60+53</f>
        <v>533</v>
      </c>
      <c r="I237">
        <v>95</v>
      </c>
      <c r="J237" t="s">
        <v>34</v>
      </c>
      <c r="K237" s="2" t="s">
        <v>408</v>
      </c>
      <c r="L237">
        <f>COUNTIF($C$2:C237, "&lt;&gt;")</f>
        <v>236</v>
      </c>
      <c r="N237">
        <f t="shared" si="6"/>
        <v>30.448717948717949</v>
      </c>
    </row>
    <row r="238" spans="1:14" x14ac:dyDescent="0.3">
      <c r="A238" s="3">
        <v>44280</v>
      </c>
      <c r="B238" t="s">
        <v>37</v>
      </c>
      <c r="C238" s="1">
        <v>3.13</v>
      </c>
      <c r="D238">
        <f>24*60+27</f>
        <v>1467</v>
      </c>
      <c r="E238">
        <f>7*60+48</f>
        <v>468</v>
      </c>
      <c r="F238">
        <f>8*60+20</f>
        <v>500</v>
      </c>
      <c r="G238">
        <f>7*60+32</f>
        <v>452</v>
      </c>
      <c r="H238">
        <f>7*60+20</f>
        <v>440</v>
      </c>
      <c r="I238">
        <v>69</v>
      </c>
      <c r="J238" t="s">
        <v>38</v>
      </c>
      <c r="K238" s="2" t="s">
        <v>407</v>
      </c>
      <c r="L238">
        <f>COUNTIF($C$2:C238, "&lt;&gt;")</f>
        <v>237</v>
      </c>
      <c r="N238">
        <f t="shared" si="6"/>
        <v>22.044728434504794</v>
      </c>
    </row>
    <row r="239" spans="1:14" x14ac:dyDescent="0.3">
      <c r="A239" s="3">
        <v>44281</v>
      </c>
      <c r="B239" t="s">
        <v>102</v>
      </c>
      <c r="C239" s="1">
        <v>3.13</v>
      </c>
      <c r="D239">
        <f>30*60+28</f>
        <v>1828</v>
      </c>
      <c r="E239">
        <f>9*60+43</f>
        <v>583</v>
      </c>
      <c r="F239">
        <f>9*60+48</f>
        <v>588</v>
      </c>
      <c r="G239">
        <f>9*60+38</f>
        <v>578</v>
      </c>
      <c r="H239">
        <f>9*60+43</f>
        <v>583</v>
      </c>
      <c r="I239">
        <v>108</v>
      </c>
      <c r="J239" t="s">
        <v>104</v>
      </c>
      <c r="K239" s="2" t="s">
        <v>409</v>
      </c>
      <c r="L239">
        <f>COUNTIF($C$2:C239, "&lt;&gt;")</f>
        <v>238</v>
      </c>
      <c r="N239">
        <f t="shared" si="6"/>
        <v>34.504792332268373</v>
      </c>
    </row>
    <row r="240" spans="1:14" x14ac:dyDescent="0.3">
      <c r="A240" s="3">
        <v>44282</v>
      </c>
      <c r="B240" t="s">
        <v>9</v>
      </c>
      <c r="C240" s="1">
        <v>3.21</v>
      </c>
      <c r="D240">
        <f>26*60+32</f>
        <v>1592</v>
      </c>
      <c r="E240">
        <f>8*60+15</f>
        <v>495</v>
      </c>
      <c r="F240">
        <f>8*60+4</f>
        <v>484</v>
      </c>
      <c r="G240">
        <f>8*60+14</f>
        <v>494</v>
      </c>
      <c r="H240">
        <f>8*60+30</f>
        <v>510</v>
      </c>
      <c r="I240">
        <v>72</v>
      </c>
      <c r="J240" t="s">
        <v>12</v>
      </c>
      <c r="K240" s="2" t="s">
        <v>412</v>
      </c>
      <c r="L240">
        <f>COUNTIF($C$2:C240, "&lt;&gt;")</f>
        <v>239</v>
      </c>
      <c r="M240" t="s">
        <v>410</v>
      </c>
      <c r="N240">
        <f t="shared" si="6"/>
        <v>22.429906542056074</v>
      </c>
    </row>
    <row r="241" spans="1:14" x14ac:dyDescent="0.3">
      <c r="A241" s="3">
        <v>44283</v>
      </c>
      <c r="B241" t="s">
        <v>102</v>
      </c>
      <c r="C241" s="1">
        <v>3.23</v>
      </c>
      <c r="D241">
        <f>30*60+16</f>
        <v>1816</v>
      </c>
      <c r="E241">
        <f>9*60+21</f>
        <v>561</v>
      </c>
      <c r="F241">
        <f>9*60+1</f>
        <v>541</v>
      </c>
      <c r="G241">
        <f>9*60+8</f>
        <v>548</v>
      </c>
      <c r="H241">
        <f>9*60+42</f>
        <v>582</v>
      </c>
      <c r="I241">
        <v>151</v>
      </c>
      <c r="J241" t="s">
        <v>104</v>
      </c>
      <c r="K241" s="2" t="s">
        <v>411</v>
      </c>
      <c r="L241">
        <f>COUNTIF($C$2:C241, "&lt;&gt;")</f>
        <v>240</v>
      </c>
      <c r="N241">
        <f t="shared" si="6"/>
        <v>46.749226006191954</v>
      </c>
    </row>
    <row r="242" spans="1:14" x14ac:dyDescent="0.3">
      <c r="A242" s="3">
        <v>44284</v>
      </c>
      <c r="B242" t="s">
        <v>20</v>
      </c>
      <c r="C242" s="1">
        <v>3.14</v>
      </c>
      <c r="D242">
        <f>32*60+15</f>
        <v>1935</v>
      </c>
      <c r="E242">
        <f>10*60+16</f>
        <v>616</v>
      </c>
      <c r="F242">
        <f>10*60+3</f>
        <v>603</v>
      </c>
      <c r="G242">
        <f>10*60+2</f>
        <v>602</v>
      </c>
      <c r="H242">
        <f>10*60+41</f>
        <v>641</v>
      </c>
      <c r="I242">
        <v>72</v>
      </c>
      <c r="J242" t="s">
        <v>389</v>
      </c>
      <c r="K242" s="2" t="s">
        <v>413</v>
      </c>
      <c r="L242">
        <f>COUNTIF($C$2:C242, "&lt;&gt;")</f>
        <v>241</v>
      </c>
      <c r="N242">
        <f t="shared" si="6"/>
        <v>22.929936305732483</v>
      </c>
    </row>
    <row r="243" spans="1:14" x14ac:dyDescent="0.3">
      <c r="A243" s="3">
        <v>44285</v>
      </c>
      <c r="B243" t="s">
        <v>29</v>
      </c>
      <c r="C243" s="1">
        <v>3.11</v>
      </c>
      <c r="D243">
        <f>24*60+15</f>
        <v>1455</v>
      </c>
      <c r="E243">
        <f>7*60+47</f>
        <v>467</v>
      </c>
      <c r="F243">
        <f>7*60+32</f>
        <v>452</v>
      </c>
      <c r="G243">
        <f>7*60+56</f>
        <v>476</v>
      </c>
      <c r="H243">
        <f>7*60+44</f>
        <v>464</v>
      </c>
      <c r="I243">
        <v>72</v>
      </c>
      <c r="J243" t="s">
        <v>30</v>
      </c>
      <c r="K243" s="2" t="s">
        <v>414</v>
      </c>
      <c r="L243">
        <f>COUNTIF($C$2:C243, "&lt;&gt;")</f>
        <v>242</v>
      </c>
      <c r="N243">
        <f t="shared" si="6"/>
        <v>23.15112540192926</v>
      </c>
    </row>
    <row r="244" spans="1:14" x14ac:dyDescent="0.3">
      <c r="A244" s="3">
        <v>44286</v>
      </c>
      <c r="B244" t="s">
        <v>33</v>
      </c>
      <c r="C244" s="1">
        <v>3.12</v>
      </c>
      <c r="D244">
        <f>28*60+35</f>
        <v>1715</v>
      </c>
      <c r="E244">
        <f>9*60+10</f>
        <v>550</v>
      </c>
      <c r="F244">
        <f>8*60+53</f>
        <v>533</v>
      </c>
      <c r="G244">
        <f>8*60+58</f>
        <v>538</v>
      </c>
      <c r="H244">
        <f>9*60+28</f>
        <v>568</v>
      </c>
      <c r="I244">
        <v>95</v>
      </c>
      <c r="J244" t="s">
        <v>34</v>
      </c>
      <c r="K244" s="2" t="s">
        <v>415</v>
      </c>
      <c r="L244">
        <f>COUNTIF($C$2:C244, "&lt;&gt;")</f>
        <v>243</v>
      </c>
      <c r="N244">
        <f t="shared" si="6"/>
        <v>30.448717948717949</v>
      </c>
    </row>
    <row r="245" spans="1:14" x14ac:dyDescent="0.3">
      <c r="A245" s="3">
        <v>44287</v>
      </c>
      <c r="B245" t="s">
        <v>37</v>
      </c>
      <c r="C245" s="1">
        <v>3.12</v>
      </c>
      <c r="D245">
        <f>24*60+43</f>
        <v>1483</v>
      </c>
      <c r="E245">
        <f>7*60+55</f>
        <v>475</v>
      </c>
      <c r="F245">
        <f>8*60+20</f>
        <v>500</v>
      </c>
      <c r="G245">
        <f>7*60+41</f>
        <v>461</v>
      </c>
      <c r="H245">
        <f>7*60+53</f>
        <v>473</v>
      </c>
      <c r="I245">
        <v>72</v>
      </c>
      <c r="J245" t="s">
        <v>38</v>
      </c>
      <c r="K245" s="2" t="s">
        <v>416</v>
      </c>
      <c r="L245">
        <f>COUNTIF($C$2:C245, "&lt;&gt;")</f>
        <v>244</v>
      </c>
      <c r="N245">
        <f t="shared" si="6"/>
        <v>23.076923076923077</v>
      </c>
    </row>
    <row r="246" spans="1:14" x14ac:dyDescent="0.3">
      <c r="A246" s="3">
        <v>44288</v>
      </c>
      <c r="B246" t="s">
        <v>102</v>
      </c>
      <c r="C246" s="1">
        <v>3.11</v>
      </c>
      <c r="D246">
        <f>27*60+53</f>
        <v>1673</v>
      </c>
      <c r="E246">
        <f>8*60+57</f>
        <v>537</v>
      </c>
      <c r="F246">
        <f>8*60+38</f>
        <v>518</v>
      </c>
      <c r="G246">
        <f>8*60+52</f>
        <v>532</v>
      </c>
      <c r="H246">
        <f>9*60+16</f>
        <v>556</v>
      </c>
      <c r="I246">
        <v>121</v>
      </c>
      <c r="J246" t="s">
        <v>104</v>
      </c>
      <c r="K246" s="2" t="s">
        <v>417</v>
      </c>
      <c r="L246">
        <f>COUNTIF($C$2:C246, "&lt;&gt;")</f>
        <v>245</v>
      </c>
      <c r="N246">
        <f t="shared" si="6"/>
        <v>38.906752411575567</v>
      </c>
    </row>
    <row r="247" spans="1:14" x14ac:dyDescent="0.3">
      <c r="A247" s="3">
        <v>44289</v>
      </c>
      <c r="C247" s="1">
        <v>3.15</v>
      </c>
      <c r="D247">
        <f>25*60+45</f>
        <v>1545</v>
      </c>
      <c r="E247">
        <f>8*60+10</f>
        <v>490</v>
      </c>
      <c r="F247">
        <f>8*60+17</f>
        <v>497</v>
      </c>
      <c r="G247">
        <f>7*60+51</f>
        <v>471</v>
      </c>
      <c r="H247">
        <f>8*60+22</f>
        <v>502</v>
      </c>
      <c r="I247">
        <v>26</v>
      </c>
      <c r="J247" t="s">
        <v>48</v>
      </c>
      <c r="K247" s="2" t="s">
        <v>418</v>
      </c>
      <c r="L247">
        <f>COUNTIF($C$2:C247, "&lt;&gt;")</f>
        <v>246</v>
      </c>
      <c r="N247">
        <f t="shared" si="6"/>
        <v>8.2539682539682548</v>
      </c>
    </row>
    <row r="248" spans="1:14" x14ac:dyDescent="0.3">
      <c r="A248" s="3">
        <v>44290</v>
      </c>
      <c r="B248" t="s">
        <v>419</v>
      </c>
      <c r="C248" s="1">
        <v>3.12</v>
      </c>
      <c r="D248">
        <f>28*60+8</f>
        <v>1688</v>
      </c>
      <c r="E248">
        <f>9*60+1</f>
        <v>541</v>
      </c>
      <c r="F248">
        <f>9*60+4</f>
        <v>544</v>
      </c>
      <c r="G248">
        <f>8*60+43</f>
        <v>523</v>
      </c>
      <c r="H248">
        <f>9*60+16</f>
        <v>556</v>
      </c>
      <c r="I248">
        <v>56</v>
      </c>
      <c r="J248" t="s">
        <v>94</v>
      </c>
      <c r="K248" s="2" t="s">
        <v>422</v>
      </c>
      <c r="L248">
        <f>COUNTIF($C$2:C248, "&lt;&gt;")</f>
        <v>247</v>
      </c>
      <c r="N248">
        <f t="shared" si="6"/>
        <v>17.948717948717949</v>
      </c>
    </row>
    <row r="249" spans="1:14" x14ac:dyDescent="0.3">
      <c r="A249" s="3">
        <v>44291</v>
      </c>
      <c r="B249" t="s">
        <v>20</v>
      </c>
      <c r="C249" s="1">
        <v>3.13</v>
      </c>
      <c r="D249">
        <f>30*60+53</f>
        <v>1853</v>
      </c>
      <c r="E249">
        <f>9*60+52</f>
        <v>592</v>
      </c>
      <c r="F249">
        <f>9*60+46</f>
        <v>586</v>
      </c>
      <c r="G249">
        <f>9*60+49</f>
        <v>589</v>
      </c>
      <c r="H249">
        <f>9*60+59</f>
        <v>599</v>
      </c>
      <c r="I249">
        <v>64</v>
      </c>
      <c r="J249" t="s">
        <v>389</v>
      </c>
      <c r="K249" s="2" t="s">
        <v>423</v>
      </c>
      <c r="L249">
        <f>COUNTIF($C$2:C249, "&lt;&gt;")</f>
        <v>248</v>
      </c>
      <c r="N249">
        <f t="shared" si="6"/>
        <v>20.447284345047922</v>
      </c>
    </row>
    <row r="250" spans="1:14" x14ac:dyDescent="0.3">
      <c r="A250" s="3">
        <v>44292</v>
      </c>
      <c r="B250" t="s">
        <v>420</v>
      </c>
      <c r="C250" s="1">
        <v>3.21</v>
      </c>
      <c r="D250">
        <f>29*60+6</f>
        <v>1746</v>
      </c>
      <c r="E250">
        <f>9*60+3</f>
        <v>543</v>
      </c>
      <c r="F250">
        <f>9*60+2</f>
        <v>542</v>
      </c>
      <c r="G250">
        <f>9*60+8</f>
        <v>548</v>
      </c>
      <c r="H250">
        <f>9*60+10</f>
        <v>550</v>
      </c>
      <c r="I250">
        <v>157</v>
      </c>
      <c r="J250" t="s">
        <v>421</v>
      </c>
      <c r="K250" s="2" t="s">
        <v>424</v>
      </c>
      <c r="L250">
        <f>COUNTIF($C$2:C250, "&lt;&gt;")</f>
        <v>249</v>
      </c>
      <c r="N250">
        <f t="shared" si="6"/>
        <v>48.909657320872277</v>
      </c>
    </row>
    <row r="251" spans="1:14" x14ac:dyDescent="0.3">
      <c r="A251" s="3">
        <v>44293</v>
      </c>
      <c r="B251" t="s">
        <v>33</v>
      </c>
      <c r="C251" s="1">
        <v>3.11</v>
      </c>
      <c r="D251">
        <f>25*60+47</f>
        <v>1547</v>
      </c>
      <c r="E251">
        <f>8*60+16</f>
        <v>496</v>
      </c>
      <c r="F251">
        <f>7*60+40</f>
        <v>460</v>
      </c>
      <c r="G251">
        <f>8*60+21</f>
        <v>501</v>
      </c>
      <c r="H251">
        <f>8*60+40</f>
        <v>520</v>
      </c>
      <c r="I251">
        <v>75</v>
      </c>
      <c r="J251" t="s">
        <v>34</v>
      </c>
      <c r="K251" s="2" t="s">
        <v>428</v>
      </c>
      <c r="L251">
        <f>COUNTIF($C$2:C251, "&lt;&gt;")</f>
        <v>250</v>
      </c>
      <c r="N251">
        <f t="shared" si="6"/>
        <v>24.115755627009648</v>
      </c>
    </row>
    <row r="252" spans="1:14" x14ac:dyDescent="0.3">
      <c r="A252" s="3">
        <v>44294</v>
      </c>
      <c r="B252" t="s">
        <v>37</v>
      </c>
      <c r="C252" s="1">
        <v>3.12</v>
      </c>
      <c r="D252">
        <f>25*60+32</f>
        <v>1532</v>
      </c>
      <c r="E252">
        <f>8*60+11</f>
        <v>491</v>
      </c>
      <c r="F252">
        <f>8*60+6</f>
        <v>486</v>
      </c>
      <c r="G252">
        <f>8*60+18</f>
        <v>498</v>
      </c>
      <c r="H252">
        <f>8*60+8</f>
        <v>488</v>
      </c>
      <c r="I252">
        <v>69</v>
      </c>
      <c r="J252" t="s">
        <v>38</v>
      </c>
      <c r="K252" s="2" t="s">
        <v>427</v>
      </c>
      <c r="L252">
        <f>COUNTIF($C$2:C252, "&lt;&gt;")</f>
        <v>251</v>
      </c>
      <c r="N252">
        <f t="shared" si="6"/>
        <v>22.115384615384613</v>
      </c>
    </row>
    <row r="253" spans="1:14" x14ac:dyDescent="0.3">
      <c r="A253" s="3">
        <v>44295</v>
      </c>
      <c r="C253" s="1">
        <v>3.13</v>
      </c>
      <c r="D253">
        <f>27*60+4</f>
        <v>1624</v>
      </c>
      <c r="E253">
        <f>8*60+41</f>
        <v>521</v>
      </c>
      <c r="F253">
        <f>8*60+30</f>
        <v>510</v>
      </c>
      <c r="G253">
        <f>8*60+35</f>
        <v>515</v>
      </c>
      <c r="H253">
        <f>8*60+49</f>
        <v>529</v>
      </c>
      <c r="I253">
        <v>79</v>
      </c>
      <c r="J253" t="s">
        <v>48</v>
      </c>
      <c r="K253" s="2" t="s">
        <v>425</v>
      </c>
      <c r="L253">
        <f>COUNTIF($C$2:C253, "&lt;&gt;")</f>
        <v>252</v>
      </c>
      <c r="N253">
        <f t="shared" si="6"/>
        <v>25.23961661341853</v>
      </c>
    </row>
    <row r="254" spans="1:14" x14ac:dyDescent="0.3">
      <c r="A254" s="3">
        <v>44296</v>
      </c>
      <c r="B254" t="s">
        <v>426</v>
      </c>
      <c r="C254" s="1">
        <v>11.02</v>
      </c>
      <c r="D254">
        <f>1*3600+46*60+14</f>
        <v>6374</v>
      </c>
      <c r="E254">
        <f>9*60+38</f>
        <v>578</v>
      </c>
      <c r="F254">
        <f>9*60+35</f>
        <v>575</v>
      </c>
      <c r="G254">
        <f>8*60+47</f>
        <v>527</v>
      </c>
      <c r="H254">
        <f>9*60+46</f>
        <v>586</v>
      </c>
      <c r="I254">
        <v>760</v>
      </c>
      <c r="J254" t="s">
        <v>429</v>
      </c>
      <c r="K254" s="2" t="s">
        <v>430</v>
      </c>
      <c r="L254">
        <f>COUNTIF($C$2:C254, "&lt;&gt;")</f>
        <v>253</v>
      </c>
      <c r="N254">
        <f t="shared" ref="N254:N317" si="7">I254/C254</f>
        <v>68.965517241379317</v>
      </c>
    </row>
    <row r="255" spans="1:14" x14ac:dyDescent="0.3">
      <c r="A255" s="3">
        <v>44297</v>
      </c>
      <c r="B255" t="s">
        <v>9</v>
      </c>
      <c r="C255" s="1">
        <v>5.37</v>
      </c>
      <c r="D255">
        <f>44*60+15</f>
        <v>2655</v>
      </c>
      <c r="E255">
        <f>8*60+14</f>
        <v>494</v>
      </c>
      <c r="F255">
        <f>8*60+3</f>
        <v>483</v>
      </c>
      <c r="G255">
        <f>8*60+23</f>
        <v>503</v>
      </c>
      <c r="H255">
        <f>8*60+35</f>
        <v>515</v>
      </c>
      <c r="I255">
        <v>224</v>
      </c>
      <c r="J255" t="s">
        <v>282</v>
      </c>
      <c r="K255" s="2" t="s">
        <v>433</v>
      </c>
      <c r="L255">
        <f>COUNTIF($C$2:C255, "&lt;&gt;")</f>
        <v>254</v>
      </c>
      <c r="N255">
        <f t="shared" si="7"/>
        <v>41.713221601489757</v>
      </c>
    </row>
    <row r="256" spans="1:14" x14ac:dyDescent="0.3">
      <c r="A256" s="3">
        <v>44298</v>
      </c>
      <c r="B256" t="s">
        <v>20</v>
      </c>
      <c r="C256" s="1">
        <v>3.13</v>
      </c>
      <c r="D256">
        <f>30*60+35</f>
        <v>1835</v>
      </c>
      <c r="E256">
        <f>9*60+46</f>
        <v>586</v>
      </c>
      <c r="F256">
        <f>9*60+58</f>
        <v>598</v>
      </c>
      <c r="G256">
        <f>9*60+40</f>
        <v>580</v>
      </c>
      <c r="H256">
        <f>9*60+52</f>
        <v>592</v>
      </c>
      <c r="I256">
        <v>55</v>
      </c>
      <c r="J256" t="s">
        <v>389</v>
      </c>
      <c r="K256" s="2" t="s">
        <v>432</v>
      </c>
      <c r="L256">
        <f>COUNTIF($C$2:C256, "&lt;&gt;")</f>
        <v>255</v>
      </c>
      <c r="N256">
        <f t="shared" si="7"/>
        <v>17.571884984025559</v>
      </c>
    </row>
    <row r="257" spans="1:14" x14ac:dyDescent="0.3">
      <c r="A257" s="3">
        <v>44299</v>
      </c>
      <c r="B257" t="s">
        <v>420</v>
      </c>
      <c r="C257" s="1">
        <v>3.11</v>
      </c>
      <c r="D257">
        <f>27*60+22</f>
        <v>1642</v>
      </c>
      <c r="E257">
        <f>8*60+47</f>
        <v>527</v>
      </c>
      <c r="F257">
        <f>8*60+48</f>
        <v>528</v>
      </c>
      <c r="G257">
        <f>8*60+45</f>
        <v>525</v>
      </c>
      <c r="H257">
        <f>8*60+50</f>
        <v>530</v>
      </c>
      <c r="I257">
        <v>154</v>
      </c>
      <c r="J257" t="s">
        <v>421</v>
      </c>
      <c r="K257" s="2" t="s">
        <v>434</v>
      </c>
      <c r="L257">
        <f>COUNTIF($C$2:C257, "&lt;&gt;")</f>
        <v>256</v>
      </c>
      <c r="N257">
        <f t="shared" si="7"/>
        <v>49.517684887459808</v>
      </c>
    </row>
    <row r="258" spans="1:14" x14ac:dyDescent="0.3">
      <c r="A258" s="3">
        <v>44300</v>
      </c>
      <c r="B258" t="s">
        <v>33</v>
      </c>
      <c r="C258" s="1">
        <v>3.13</v>
      </c>
      <c r="D258">
        <f>24*60+30</f>
        <v>1470</v>
      </c>
      <c r="E258">
        <f>7*60+48</f>
        <v>468</v>
      </c>
      <c r="F258">
        <f>7*60+31</f>
        <v>451</v>
      </c>
      <c r="G258">
        <f>8*60+16</f>
        <v>496</v>
      </c>
      <c r="H258">
        <f>7*60+42</f>
        <v>462</v>
      </c>
      <c r="I258">
        <v>129</v>
      </c>
      <c r="J258" t="s">
        <v>435</v>
      </c>
      <c r="K258" s="2" t="s">
        <v>436</v>
      </c>
      <c r="L258">
        <f>COUNTIF($C$2:C258, "&lt;&gt;")</f>
        <v>257</v>
      </c>
      <c r="N258">
        <f t="shared" si="7"/>
        <v>41.214057507987221</v>
      </c>
    </row>
    <row r="259" spans="1:14" x14ac:dyDescent="0.3">
      <c r="A259" s="3">
        <v>44301</v>
      </c>
      <c r="B259" t="s">
        <v>37</v>
      </c>
      <c r="C259" s="1">
        <v>3.11</v>
      </c>
      <c r="D259">
        <f>28*60+37</f>
        <v>1717</v>
      </c>
      <c r="E259">
        <f>9*60+10</f>
        <v>550</v>
      </c>
      <c r="F259">
        <f>9*60+5</f>
        <v>545</v>
      </c>
      <c r="G259">
        <f>9*60+15</f>
        <v>555</v>
      </c>
      <c r="H259">
        <f>9*60+8</f>
        <v>548</v>
      </c>
      <c r="I259">
        <v>56</v>
      </c>
      <c r="J259" t="s">
        <v>38</v>
      </c>
      <c r="K259" s="2" t="s">
        <v>437</v>
      </c>
      <c r="L259">
        <f>COUNTIF($C$2:C259, "&lt;&gt;")</f>
        <v>258</v>
      </c>
      <c r="N259">
        <f t="shared" si="7"/>
        <v>18.006430868167204</v>
      </c>
    </row>
    <row r="260" spans="1:14" x14ac:dyDescent="0.3">
      <c r="A260" s="3">
        <v>44302</v>
      </c>
      <c r="B260" t="s">
        <v>102</v>
      </c>
      <c r="C260" s="1">
        <v>3.12</v>
      </c>
      <c r="D260">
        <f>29*60+8</f>
        <v>1748</v>
      </c>
      <c r="E260">
        <f>9*60+19</f>
        <v>559</v>
      </c>
      <c r="F260">
        <f>8*60+59</f>
        <v>539</v>
      </c>
      <c r="G260">
        <f>9*60+21</f>
        <v>561</v>
      </c>
      <c r="H260">
        <f>9*60+31</f>
        <v>571</v>
      </c>
      <c r="I260">
        <v>121</v>
      </c>
      <c r="J260" t="s">
        <v>104</v>
      </c>
      <c r="K260" s="2" t="s">
        <v>442</v>
      </c>
      <c r="L260">
        <f>COUNTIF($C$2:C260, "&lt;&gt;")</f>
        <v>259</v>
      </c>
      <c r="N260">
        <f t="shared" si="7"/>
        <v>38.782051282051277</v>
      </c>
    </row>
    <row r="261" spans="1:14" x14ac:dyDescent="0.3">
      <c r="A261" s="3">
        <v>44303</v>
      </c>
      <c r="B261" t="s">
        <v>9</v>
      </c>
      <c r="C261" s="1">
        <v>7.37</v>
      </c>
      <c r="D261">
        <f>1*3600+28</f>
        <v>3628</v>
      </c>
      <c r="E261">
        <f>8*60+12</f>
        <v>492</v>
      </c>
      <c r="F261">
        <f>8*60+31</f>
        <v>511</v>
      </c>
      <c r="G261">
        <f>7*60+48</f>
        <v>468</v>
      </c>
      <c r="H261">
        <f>7*60+44</f>
        <v>464</v>
      </c>
      <c r="I261">
        <v>174</v>
      </c>
      <c r="J261" t="s">
        <v>439</v>
      </c>
      <c r="K261" s="2" t="s">
        <v>440</v>
      </c>
      <c r="L261">
        <f>COUNTIF($C$2:C261, "&lt;&gt;")</f>
        <v>260</v>
      </c>
      <c r="N261">
        <f t="shared" si="7"/>
        <v>23.609226594301219</v>
      </c>
    </row>
    <row r="262" spans="1:14" x14ac:dyDescent="0.3">
      <c r="A262" s="3">
        <v>44304</v>
      </c>
      <c r="B262" t="s">
        <v>102</v>
      </c>
      <c r="C262" s="1">
        <v>3.12</v>
      </c>
      <c r="D262">
        <f>29*60+34</f>
        <v>1774</v>
      </c>
      <c r="E262">
        <f>9*60+28</f>
        <v>568</v>
      </c>
      <c r="F262">
        <f>9*60+19</f>
        <v>559</v>
      </c>
      <c r="G262">
        <f>9*60+27</f>
        <v>567</v>
      </c>
      <c r="H262">
        <f>9*60+40</f>
        <v>580</v>
      </c>
      <c r="I262">
        <v>121</v>
      </c>
      <c r="J262" t="s">
        <v>104</v>
      </c>
      <c r="K262" s="2" t="s">
        <v>438</v>
      </c>
      <c r="L262">
        <f>COUNTIF($C$2:C262, "&lt;&gt;")</f>
        <v>261</v>
      </c>
      <c r="N262">
        <f t="shared" si="7"/>
        <v>38.782051282051277</v>
      </c>
    </row>
    <row r="263" spans="1:14" x14ac:dyDescent="0.3">
      <c r="A263" s="3">
        <v>44305</v>
      </c>
      <c r="B263" t="s">
        <v>20</v>
      </c>
      <c r="C263" s="1">
        <v>4</v>
      </c>
      <c r="D263">
        <f>37*60+19</f>
        <v>2239</v>
      </c>
      <c r="E263">
        <f>9*60+19</f>
        <v>559</v>
      </c>
      <c r="F263">
        <f>9*60+40</f>
        <v>580</v>
      </c>
      <c r="G263">
        <f>8*60+53</f>
        <v>533</v>
      </c>
      <c r="H263">
        <f>9*60+32</f>
        <v>572</v>
      </c>
      <c r="I263">
        <v>220</v>
      </c>
      <c r="J263" t="s">
        <v>236</v>
      </c>
      <c r="K263" s="2" t="s">
        <v>441</v>
      </c>
      <c r="L263">
        <f>COUNTIF($C$2:C263, "&lt;&gt;")</f>
        <v>262</v>
      </c>
      <c r="N263">
        <f t="shared" si="7"/>
        <v>55</v>
      </c>
    </row>
    <row r="264" spans="1:14" x14ac:dyDescent="0.3">
      <c r="A264" s="3">
        <v>44306</v>
      </c>
      <c r="B264" t="s">
        <v>420</v>
      </c>
      <c r="C264" s="1">
        <v>3.11</v>
      </c>
      <c r="D264">
        <f>24*60+46</f>
        <v>1486</v>
      </c>
      <c r="E264">
        <f>7*60+57</f>
        <v>477</v>
      </c>
      <c r="F264">
        <f>8*60+8</f>
        <v>488</v>
      </c>
      <c r="G264">
        <f>8*60</f>
        <v>480</v>
      </c>
      <c r="H264">
        <f>7*60+51</f>
        <v>471</v>
      </c>
      <c r="I264">
        <v>115</v>
      </c>
      <c r="J264" t="s">
        <v>421</v>
      </c>
      <c r="K264" s="2" t="s">
        <v>444</v>
      </c>
      <c r="L264">
        <f>COUNTIF($C$2:C264, "&lt;&gt;")</f>
        <v>263</v>
      </c>
      <c r="N264">
        <f t="shared" si="7"/>
        <v>36.977491961414792</v>
      </c>
    </row>
    <row r="265" spans="1:14" x14ac:dyDescent="0.3">
      <c r="A265" s="3">
        <v>44307</v>
      </c>
      <c r="B265" t="s">
        <v>33</v>
      </c>
      <c r="C265" s="1">
        <v>3.12</v>
      </c>
      <c r="D265">
        <f>24*60+36</f>
        <v>1476</v>
      </c>
      <c r="E265">
        <f>7*60+52</f>
        <v>472</v>
      </c>
      <c r="F265">
        <f>7*60+40</f>
        <v>460</v>
      </c>
      <c r="G265">
        <f>7*60+45</f>
        <v>465</v>
      </c>
      <c r="H265">
        <f>8*60+11</f>
        <v>491</v>
      </c>
      <c r="I265">
        <v>110</v>
      </c>
      <c r="J265" t="s">
        <v>34</v>
      </c>
      <c r="K265" s="2" t="s">
        <v>443</v>
      </c>
      <c r="L265">
        <f>COUNTIF($C$2:C265, "&lt;&gt;")</f>
        <v>264</v>
      </c>
      <c r="N265">
        <f t="shared" si="7"/>
        <v>35.256410256410255</v>
      </c>
    </row>
    <row r="266" spans="1:14" x14ac:dyDescent="0.3">
      <c r="A266" s="3">
        <v>44308</v>
      </c>
      <c r="B266" t="s">
        <v>37</v>
      </c>
      <c r="C266" s="1">
        <v>3.12</v>
      </c>
      <c r="D266">
        <f>25*60+35</f>
        <v>1535</v>
      </c>
      <c r="E266">
        <f>8*60+11</f>
        <v>491</v>
      </c>
      <c r="F266">
        <f>8*60+7</f>
        <v>487</v>
      </c>
      <c r="G266">
        <f>8*60+9</f>
        <v>489</v>
      </c>
      <c r="H266">
        <f>8*60+13</f>
        <v>493</v>
      </c>
      <c r="I266">
        <v>157</v>
      </c>
      <c r="J266" t="s">
        <v>38</v>
      </c>
      <c r="K266" s="2" t="s">
        <v>446</v>
      </c>
      <c r="L266">
        <f>COUNTIF($C$2:C266, "&lt;&gt;")</f>
        <v>265</v>
      </c>
      <c r="N266">
        <f t="shared" si="7"/>
        <v>50.320512820512818</v>
      </c>
    </row>
    <row r="267" spans="1:14" x14ac:dyDescent="0.3">
      <c r="A267" s="3">
        <v>44309</v>
      </c>
      <c r="B267" t="s">
        <v>102</v>
      </c>
      <c r="C267" s="1">
        <v>3.19</v>
      </c>
      <c r="D267">
        <f>28*60+39</f>
        <v>1719</v>
      </c>
      <c r="E267">
        <f>8*60+58</f>
        <v>538</v>
      </c>
      <c r="F267">
        <f>8*60+50</f>
        <v>530</v>
      </c>
      <c r="G267">
        <f>9*60+2</f>
        <v>542</v>
      </c>
      <c r="H267">
        <f>9*60+8</f>
        <v>548</v>
      </c>
      <c r="I267">
        <v>115</v>
      </c>
      <c r="J267" t="s">
        <v>104</v>
      </c>
      <c r="K267" s="2" t="s">
        <v>445</v>
      </c>
      <c r="L267">
        <f>COUNTIF($C$2:C267, "&lt;&gt;")</f>
        <v>266</v>
      </c>
      <c r="N267">
        <f t="shared" si="7"/>
        <v>36.050156739811911</v>
      </c>
    </row>
    <row r="268" spans="1:14" x14ac:dyDescent="0.3">
      <c r="A268" s="3">
        <v>44310</v>
      </c>
      <c r="B268" t="s">
        <v>447</v>
      </c>
      <c r="C268" s="1">
        <v>10.24</v>
      </c>
      <c r="D268">
        <f>1*3600+38*60+36</f>
        <v>5916</v>
      </c>
      <c r="E268">
        <f>9*60+38</f>
        <v>578</v>
      </c>
      <c r="F268">
        <f>9*60+5</f>
        <v>545</v>
      </c>
      <c r="G268">
        <f>8*60+47</f>
        <v>527</v>
      </c>
      <c r="H268">
        <f>9*60+34</f>
        <v>574</v>
      </c>
      <c r="I268">
        <v>647</v>
      </c>
      <c r="J268" t="s">
        <v>429</v>
      </c>
      <c r="K268" s="2" t="s">
        <v>449</v>
      </c>
      <c r="L268">
        <f>COUNTIF($C$2:C268, "&lt;&gt;")</f>
        <v>267</v>
      </c>
      <c r="N268">
        <f t="shared" si="7"/>
        <v>63.18359375</v>
      </c>
    </row>
    <row r="269" spans="1:14" x14ac:dyDescent="0.3">
      <c r="A269" s="3">
        <v>44311</v>
      </c>
      <c r="B269" t="s">
        <v>448</v>
      </c>
      <c r="C269" s="1">
        <v>3.11</v>
      </c>
      <c r="D269">
        <f>20*60+56</f>
        <v>1256</v>
      </c>
      <c r="E269">
        <f>6*60+44</f>
        <v>404</v>
      </c>
      <c r="F269">
        <f>6*60+41</f>
        <v>401</v>
      </c>
      <c r="G269">
        <f>7*60+10</f>
        <v>430</v>
      </c>
      <c r="H269">
        <f>6*60+58</f>
        <v>418</v>
      </c>
      <c r="I269">
        <v>74</v>
      </c>
      <c r="J269" t="s">
        <v>243</v>
      </c>
      <c r="K269" s="2" t="s">
        <v>450</v>
      </c>
      <c r="L269">
        <f>COUNTIF($C$2:C269, "&lt;&gt;")</f>
        <v>268</v>
      </c>
      <c r="M269" s="10" t="s">
        <v>451</v>
      </c>
      <c r="N269">
        <f t="shared" si="7"/>
        <v>23.79421221864952</v>
      </c>
    </row>
    <row r="270" spans="1:14" x14ac:dyDescent="0.3">
      <c r="A270" s="3">
        <v>44312</v>
      </c>
      <c r="B270" t="s">
        <v>20</v>
      </c>
      <c r="C270" s="1">
        <v>3.14</v>
      </c>
      <c r="D270">
        <f>29*60+46</f>
        <v>1786</v>
      </c>
      <c r="E270">
        <f>9*60+28</f>
        <v>568</v>
      </c>
      <c r="F270">
        <f>9*60+31</f>
        <v>571</v>
      </c>
      <c r="G270">
        <f>9*60+38</f>
        <v>578</v>
      </c>
      <c r="H270">
        <f>9*60+26</f>
        <v>566</v>
      </c>
      <c r="I270">
        <v>59</v>
      </c>
      <c r="J270" t="s">
        <v>389</v>
      </c>
      <c r="K270" s="2" t="s">
        <v>453</v>
      </c>
      <c r="L270">
        <f>COUNTIF($C$2:C270, "&lt;&gt;")</f>
        <v>269</v>
      </c>
      <c r="N270">
        <f t="shared" si="7"/>
        <v>18.789808917197451</v>
      </c>
    </row>
    <row r="271" spans="1:14" x14ac:dyDescent="0.3">
      <c r="A271" s="3">
        <v>44313</v>
      </c>
      <c r="B271" t="s">
        <v>420</v>
      </c>
      <c r="C271" s="1">
        <v>3.16</v>
      </c>
      <c r="D271">
        <f>27*60+33</f>
        <v>1653</v>
      </c>
      <c r="E271">
        <f>8*60+42</f>
        <v>522</v>
      </c>
      <c r="F271">
        <f>8*60+21</f>
        <v>501</v>
      </c>
      <c r="G271">
        <f>8*60+47</f>
        <v>527</v>
      </c>
      <c r="H271">
        <f>9*60+9</f>
        <v>549</v>
      </c>
      <c r="I271">
        <v>164</v>
      </c>
      <c r="J271" t="s">
        <v>421</v>
      </c>
      <c r="K271" s="2" t="s">
        <v>454</v>
      </c>
      <c r="L271">
        <f>COUNTIF($C$2:C271, "&lt;&gt;")</f>
        <v>270</v>
      </c>
      <c r="N271">
        <f t="shared" si="7"/>
        <v>51.898734177215189</v>
      </c>
    </row>
    <row r="272" spans="1:14" x14ac:dyDescent="0.3">
      <c r="A272" s="3">
        <v>44314</v>
      </c>
      <c r="B272" t="s">
        <v>33</v>
      </c>
      <c r="C272" s="1">
        <v>3.11</v>
      </c>
      <c r="D272">
        <f>27*60+41</f>
        <v>1661</v>
      </c>
      <c r="E272">
        <f>8*60+53</f>
        <v>533</v>
      </c>
      <c r="F272">
        <f>8*60+46</f>
        <v>526</v>
      </c>
      <c r="G272">
        <f>8*60+59</f>
        <v>539</v>
      </c>
      <c r="H272">
        <f>9*60+7</f>
        <v>547</v>
      </c>
      <c r="I272">
        <v>66</v>
      </c>
      <c r="J272" t="s">
        <v>34</v>
      </c>
      <c r="K272" s="2" t="s">
        <v>456</v>
      </c>
      <c r="L272">
        <f>COUNTIF($C$2:C272, "&lt;&gt;")</f>
        <v>271</v>
      </c>
      <c r="N272">
        <f t="shared" si="7"/>
        <v>21.221864951768488</v>
      </c>
    </row>
    <row r="273" spans="1:14" x14ac:dyDescent="0.3">
      <c r="A273" s="3">
        <v>44315</v>
      </c>
      <c r="B273" t="s">
        <v>102</v>
      </c>
      <c r="C273" s="1">
        <v>3.12</v>
      </c>
      <c r="D273">
        <f>29*60+36</f>
        <v>1776</v>
      </c>
      <c r="E273">
        <f>9*60+29</f>
        <v>569</v>
      </c>
      <c r="F273">
        <f>9*60+27</f>
        <v>567</v>
      </c>
      <c r="G273">
        <f>9*60+22</f>
        <v>562</v>
      </c>
      <c r="H273">
        <f>9*60+35</f>
        <v>575</v>
      </c>
      <c r="I273">
        <v>109</v>
      </c>
      <c r="J273" t="s">
        <v>104</v>
      </c>
      <c r="K273" s="2" t="s">
        <v>452</v>
      </c>
      <c r="L273">
        <f>COUNTIF($C$2:C273, "&lt;&gt;")</f>
        <v>272</v>
      </c>
      <c r="N273">
        <f t="shared" si="7"/>
        <v>34.935897435897438</v>
      </c>
    </row>
    <row r="274" spans="1:14" x14ac:dyDescent="0.3">
      <c r="A274" s="3">
        <v>44316</v>
      </c>
      <c r="B274" t="s">
        <v>102</v>
      </c>
      <c r="C274" s="1">
        <v>3.12</v>
      </c>
      <c r="D274">
        <f>29*60+57</f>
        <v>1797</v>
      </c>
      <c r="E274">
        <f>9*60+35</f>
        <v>575</v>
      </c>
      <c r="F274">
        <f>9*60+26</f>
        <v>566</v>
      </c>
      <c r="G274">
        <f>9*60+41</f>
        <v>581</v>
      </c>
      <c r="H274">
        <f>9*60+34</f>
        <v>574</v>
      </c>
      <c r="I274">
        <v>108</v>
      </c>
      <c r="J274" t="s">
        <v>104</v>
      </c>
      <c r="K274" s="2" t="s">
        <v>455</v>
      </c>
      <c r="L274">
        <f>COUNTIF($C$2:C274, "&lt;&gt;")</f>
        <v>273</v>
      </c>
      <c r="N274">
        <f t="shared" si="7"/>
        <v>34.615384615384613</v>
      </c>
    </row>
    <row r="275" spans="1:14" x14ac:dyDescent="0.3">
      <c r="A275" s="3">
        <v>44317</v>
      </c>
      <c r="B275" t="s">
        <v>9</v>
      </c>
      <c r="C275" s="1">
        <v>6.03</v>
      </c>
      <c r="D275">
        <f>53*60+4</f>
        <v>3184</v>
      </c>
      <c r="E275">
        <f>8*60+48</f>
        <v>528</v>
      </c>
      <c r="F275">
        <f>8*60+58</f>
        <v>538</v>
      </c>
      <c r="G275">
        <f>9*60+1</f>
        <v>541</v>
      </c>
      <c r="H275">
        <f>9*60+21</f>
        <v>561</v>
      </c>
      <c r="I275">
        <v>403</v>
      </c>
      <c r="J275" t="s">
        <v>261</v>
      </c>
      <c r="K275" s="2" t="s">
        <v>466</v>
      </c>
      <c r="L275">
        <f>COUNTIF($C$2:C275, "&lt;&gt;")</f>
        <v>274</v>
      </c>
      <c r="N275">
        <f t="shared" si="7"/>
        <v>66.83250414593698</v>
      </c>
    </row>
    <row r="276" spans="1:14" x14ac:dyDescent="0.3">
      <c r="A276" s="3">
        <v>44318</v>
      </c>
      <c r="B276" t="s">
        <v>102</v>
      </c>
      <c r="C276" s="1">
        <v>3.12</v>
      </c>
      <c r="D276">
        <f>28*60+6</f>
        <v>1686</v>
      </c>
      <c r="E276">
        <f>9*60</f>
        <v>540</v>
      </c>
      <c r="F276">
        <f>8*60+56</f>
        <v>536</v>
      </c>
      <c r="G276">
        <f>8*60+55</f>
        <v>535</v>
      </c>
      <c r="H276">
        <f>9*60+6</f>
        <v>546</v>
      </c>
      <c r="I276">
        <v>108</v>
      </c>
      <c r="J276" t="s">
        <v>104</v>
      </c>
      <c r="K276" s="2" t="s">
        <v>467</v>
      </c>
      <c r="L276">
        <f>COUNTIF($C$2:C276, "&lt;&gt;")</f>
        <v>275</v>
      </c>
      <c r="N276">
        <f t="shared" si="7"/>
        <v>34.615384615384613</v>
      </c>
    </row>
    <row r="277" spans="1:14" x14ac:dyDescent="0.3">
      <c r="A277" s="3">
        <v>44319</v>
      </c>
      <c r="B277" t="s">
        <v>20</v>
      </c>
      <c r="C277" s="1">
        <v>3.11</v>
      </c>
      <c r="D277">
        <f>27*60+26</f>
        <v>1646</v>
      </c>
      <c r="E277">
        <f>8*60+49</f>
        <v>529</v>
      </c>
      <c r="F277">
        <f>9*60+35</f>
        <v>575</v>
      </c>
      <c r="G277">
        <f>8*60+43</f>
        <v>523</v>
      </c>
      <c r="H277">
        <f>8*60+13</f>
        <v>493</v>
      </c>
      <c r="I277">
        <v>111</v>
      </c>
      <c r="J277" t="s">
        <v>389</v>
      </c>
      <c r="K277" s="2" t="s">
        <v>468</v>
      </c>
      <c r="L277">
        <f>COUNTIF($C$2:C277, "&lt;&gt;")</f>
        <v>276</v>
      </c>
      <c r="N277">
        <f t="shared" si="7"/>
        <v>35.69131832797428</v>
      </c>
    </row>
    <row r="278" spans="1:14" x14ac:dyDescent="0.3">
      <c r="A278" s="3">
        <v>44320</v>
      </c>
      <c r="B278" t="s">
        <v>420</v>
      </c>
      <c r="C278" s="1">
        <v>3.13</v>
      </c>
      <c r="D278">
        <f>25*60+9</f>
        <v>1509</v>
      </c>
      <c r="E278">
        <f>8*60+2</f>
        <v>482</v>
      </c>
      <c r="F278">
        <f>8*60+32</f>
        <v>512</v>
      </c>
      <c r="G278">
        <f>7*60+56</f>
        <v>476</v>
      </c>
      <c r="H278">
        <f>7*60+44</f>
        <v>464</v>
      </c>
      <c r="I278">
        <v>158</v>
      </c>
      <c r="J278" t="s">
        <v>421</v>
      </c>
      <c r="K278" s="2" t="s">
        <v>470</v>
      </c>
      <c r="L278">
        <f>COUNTIF($C$2:C278, "&lt;&gt;")</f>
        <v>277</v>
      </c>
      <c r="N278">
        <f t="shared" si="7"/>
        <v>50.47923322683706</v>
      </c>
    </row>
    <row r="279" spans="1:14" x14ac:dyDescent="0.3">
      <c r="A279" s="3">
        <v>44321</v>
      </c>
      <c r="B279" t="s">
        <v>33</v>
      </c>
      <c r="C279" s="1">
        <v>3.12</v>
      </c>
      <c r="D279">
        <f>22*60+57</f>
        <v>1377</v>
      </c>
      <c r="E279">
        <f>7*60+21</f>
        <v>441</v>
      </c>
      <c r="F279">
        <f>7*60+4</f>
        <v>424</v>
      </c>
      <c r="G279">
        <f>7*60+20</f>
        <v>440</v>
      </c>
      <c r="H279">
        <f>7*60+34</f>
        <v>454</v>
      </c>
      <c r="I279">
        <v>66</v>
      </c>
      <c r="J279" t="s">
        <v>34</v>
      </c>
      <c r="K279" s="2" t="s">
        <v>471</v>
      </c>
      <c r="L279">
        <f>COUNTIF($C$2:C279, "&lt;&gt;")</f>
        <v>278</v>
      </c>
      <c r="N279">
        <f t="shared" si="7"/>
        <v>21.153846153846153</v>
      </c>
    </row>
    <row r="280" spans="1:14" x14ac:dyDescent="0.3">
      <c r="A280" s="3">
        <v>44322</v>
      </c>
      <c r="B280" t="s">
        <v>37</v>
      </c>
      <c r="C280" s="1">
        <v>3.13</v>
      </c>
      <c r="D280">
        <f>22*60+48</f>
        <v>1368</v>
      </c>
      <c r="E280">
        <f>7*60+17</f>
        <v>437</v>
      </c>
      <c r="F280">
        <f>7*60+42</f>
        <v>462</v>
      </c>
      <c r="G280">
        <f>7*60+14</f>
        <v>434</v>
      </c>
      <c r="H280">
        <f>7*60</f>
        <v>420</v>
      </c>
      <c r="I280">
        <v>63</v>
      </c>
      <c r="J280" t="s">
        <v>38</v>
      </c>
      <c r="K280" s="2" t="s">
        <v>473</v>
      </c>
      <c r="L280">
        <f>COUNTIF($C$2:C280, "&lt;&gt;")</f>
        <v>279</v>
      </c>
      <c r="N280">
        <f t="shared" si="7"/>
        <v>20.12779552715655</v>
      </c>
    </row>
    <row r="281" spans="1:14" x14ac:dyDescent="0.3">
      <c r="A281" s="3">
        <v>44323</v>
      </c>
      <c r="C281" s="1">
        <v>4.26</v>
      </c>
      <c r="D281">
        <f>36*60+27</f>
        <v>2187</v>
      </c>
      <c r="E281">
        <f>8*60+33</f>
        <v>513</v>
      </c>
      <c r="F281">
        <f>8*60+56</f>
        <v>536</v>
      </c>
      <c r="G281">
        <f>8*60+35</f>
        <v>515</v>
      </c>
      <c r="H281">
        <f>8*60+24</f>
        <v>504</v>
      </c>
      <c r="I281">
        <v>123</v>
      </c>
      <c r="J281" t="s">
        <v>472</v>
      </c>
      <c r="K281" s="2" t="s">
        <v>474</v>
      </c>
      <c r="L281">
        <f>COUNTIF($C$2:C281, "&lt;&gt;")</f>
        <v>280</v>
      </c>
      <c r="N281">
        <f t="shared" si="7"/>
        <v>28.87323943661972</v>
      </c>
    </row>
    <row r="282" spans="1:14" x14ac:dyDescent="0.3">
      <c r="A282" s="3">
        <v>44324</v>
      </c>
      <c r="B282" t="s">
        <v>33</v>
      </c>
      <c r="C282" s="1">
        <v>10.59</v>
      </c>
      <c r="D282">
        <f>1*3600+36*60+38</f>
        <v>5798</v>
      </c>
      <c r="E282">
        <f>9*60+7</f>
        <v>547</v>
      </c>
      <c r="F282">
        <f>9*60+33</f>
        <v>573</v>
      </c>
      <c r="G282">
        <f>8*60+56</f>
        <v>536</v>
      </c>
      <c r="H282">
        <f>8*60+32</f>
        <v>512</v>
      </c>
      <c r="I282">
        <v>368</v>
      </c>
      <c r="J282" t="s">
        <v>64</v>
      </c>
      <c r="K282" s="2" t="s">
        <v>478</v>
      </c>
      <c r="L282">
        <f>COUNTIF($C$2:C282, "&lt;&gt;")</f>
        <v>281</v>
      </c>
      <c r="N282">
        <f t="shared" si="7"/>
        <v>34.749763928234181</v>
      </c>
    </row>
    <row r="283" spans="1:14" x14ac:dyDescent="0.3">
      <c r="A283" s="3">
        <v>44325</v>
      </c>
      <c r="B283" t="s">
        <v>476</v>
      </c>
      <c r="C283" s="1">
        <v>5.01</v>
      </c>
      <c r="D283">
        <f>47*60+19</f>
        <v>2839</v>
      </c>
      <c r="E283">
        <f>9*60+26</f>
        <v>566</v>
      </c>
      <c r="F283">
        <f>10*60+17</f>
        <v>617</v>
      </c>
      <c r="G283">
        <f>9*60+16</f>
        <v>556</v>
      </c>
      <c r="H283">
        <f>9*60+25</f>
        <v>565</v>
      </c>
      <c r="I283">
        <v>144</v>
      </c>
      <c r="J283" t="s">
        <v>231</v>
      </c>
      <c r="K283" s="2" t="s">
        <v>477</v>
      </c>
      <c r="L283">
        <f>COUNTIF($C$2:C283, "&lt;&gt;")</f>
        <v>282</v>
      </c>
      <c r="N283">
        <f t="shared" si="7"/>
        <v>28.742514970059883</v>
      </c>
    </row>
    <row r="284" spans="1:14" x14ac:dyDescent="0.3">
      <c r="A284" s="3">
        <v>44326</v>
      </c>
      <c r="C284" s="1">
        <v>4.3600000000000003</v>
      </c>
      <c r="D284">
        <f>32*60+15</f>
        <v>1935</v>
      </c>
      <c r="E284">
        <f>7*60+24</f>
        <v>444</v>
      </c>
      <c r="F284">
        <f>7*60+41</f>
        <v>461</v>
      </c>
      <c r="G284">
        <f>7*60+41</f>
        <v>461</v>
      </c>
      <c r="H284">
        <f>7*60+17</f>
        <v>437</v>
      </c>
      <c r="I284">
        <v>72</v>
      </c>
      <c r="J284" t="s">
        <v>475</v>
      </c>
      <c r="K284" s="2" t="s">
        <v>479</v>
      </c>
      <c r="L284">
        <f>COUNTIF($C$2:C284, "&lt;&gt;")</f>
        <v>283</v>
      </c>
      <c r="N284">
        <f t="shared" si="7"/>
        <v>16.513761467889907</v>
      </c>
    </row>
    <row r="285" spans="1:14" x14ac:dyDescent="0.3">
      <c r="A285" s="3">
        <v>44327</v>
      </c>
      <c r="B285" t="s">
        <v>420</v>
      </c>
      <c r="C285" s="1">
        <v>3.11</v>
      </c>
      <c r="D285">
        <f>27*60+30</f>
        <v>1650</v>
      </c>
      <c r="E285">
        <f>8*60+49</f>
        <v>529</v>
      </c>
      <c r="F285">
        <f>8*60+16</f>
        <v>496</v>
      </c>
      <c r="G285">
        <f>8*60+59</f>
        <v>539</v>
      </c>
      <c r="H285">
        <f>9*60+16</f>
        <v>556</v>
      </c>
      <c r="I285">
        <v>148</v>
      </c>
      <c r="J285" t="s">
        <v>421</v>
      </c>
      <c r="K285" s="2" t="s">
        <v>480</v>
      </c>
      <c r="L285">
        <f>COUNTIF($C$2:C285, "&lt;&gt;")</f>
        <v>284</v>
      </c>
      <c r="N285">
        <f t="shared" si="7"/>
        <v>47.588424437299039</v>
      </c>
    </row>
    <row r="286" spans="1:14" x14ac:dyDescent="0.3">
      <c r="A286" s="3">
        <v>44328</v>
      </c>
      <c r="B286" t="s">
        <v>33</v>
      </c>
      <c r="C286" s="1">
        <v>3.12</v>
      </c>
      <c r="D286">
        <f>23*60+11</f>
        <v>1391</v>
      </c>
      <c r="E286">
        <f>7*60+26</f>
        <v>446</v>
      </c>
      <c r="F286">
        <f>6*60+57</f>
        <v>417</v>
      </c>
      <c r="G286">
        <f>7*60+44</f>
        <v>464</v>
      </c>
      <c r="H286">
        <f>7*60+42</f>
        <v>462</v>
      </c>
      <c r="I286">
        <v>84</v>
      </c>
      <c r="J286" t="s">
        <v>34</v>
      </c>
      <c r="K286" s="2" t="s">
        <v>481</v>
      </c>
      <c r="L286">
        <f>COUNTIF($C$2:C286, "&lt;&gt;")</f>
        <v>285</v>
      </c>
      <c r="N286">
        <f t="shared" si="7"/>
        <v>26.923076923076923</v>
      </c>
    </row>
    <row r="287" spans="1:14" x14ac:dyDescent="0.3">
      <c r="A287" s="3">
        <v>44329</v>
      </c>
      <c r="B287" t="s">
        <v>37</v>
      </c>
      <c r="C287" s="1">
        <v>3.11</v>
      </c>
      <c r="D287">
        <f>28*60+38</f>
        <v>1718</v>
      </c>
      <c r="E287">
        <f>9*60+11</f>
        <v>551</v>
      </c>
      <c r="F287">
        <f>9*60+35</f>
        <v>575</v>
      </c>
      <c r="G287">
        <f>8*60+50</f>
        <v>530</v>
      </c>
      <c r="H287">
        <f>9*60+14</f>
        <v>554</v>
      </c>
      <c r="I287">
        <v>68</v>
      </c>
      <c r="J287" t="s">
        <v>38</v>
      </c>
      <c r="K287" s="2" t="s">
        <v>483</v>
      </c>
      <c r="L287">
        <f>COUNTIF($C$2:C287, "&lt;&gt;")</f>
        <v>286</v>
      </c>
      <c r="N287">
        <f t="shared" si="7"/>
        <v>21.864951768488748</v>
      </c>
    </row>
    <row r="288" spans="1:14" x14ac:dyDescent="0.3">
      <c r="A288" s="3">
        <v>44330</v>
      </c>
      <c r="B288" t="s">
        <v>102</v>
      </c>
      <c r="C288" s="1">
        <v>3.11</v>
      </c>
      <c r="D288">
        <f>28*60+29</f>
        <v>1709</v>
      </c>
      <c r="E288">
        <f>9*60+8</f>
        <v>548</v>
      </c>
      <c r="F288">
        <f>9*60+30</f>
        <v>570</v>
      </c>
      <c r="G288">
        <f>8*60+57</f>
        <v>537</v>
      </c>
      <c r="H288">
        <f>9*60</f>
        <v>540</v>
      </c>
      <c r="I288">
        <v>112</v>
      </c>
      <c r="J288" t="s">
        <v>104</v>
      </c>
      <c r="K288" s="2" t="s">
        <v>482</v>
      </c>
      <c r="L288">
        <f>COUNTIF($C$2:C288, "&lt;&gt;")</f>
        <v>287</v>
      </c>
      <c r="N288">
        <f t="shared" si="7"/>
        <v>36.012861736334408</v>
      </c>
    </row>
    <row r="289" spans="1:14" x14ac:dyDescent="0.3">
      <c r="A289" s="3">
        <v>44331</v>
      </c>
      <c r="B289" t="s">
        <v>9</v>
      </c>
      <c r="C289" s="1">
        <v>5.6</v>
      </c>
      <c r="D289">
        <f>48*60+55</f>
        <v>2935</v>
      </c>
      <c r="E289">
        <f>8*60+44</f>
        <v>524</v>
      </c>
      <c r="F289">
        <f>8*60+41</f>
        <v>521</v>
      </c>
      <c r="G289">
        <f>8*60+22</f>
        <v>502</v>
      </c>
      <c r="H289">
        <f>8*60+38</f>
        <v>518</v>
      </c>
      <c r="I289">
        <v>133</v>
      </c>
      <c r="J289" t="s">
        <v>472</v>
      </c>
      <c r="K289" s="2" t="s">
        <v>484</v>
      </c>
      <c r="L289">
        <f>COUNTIF($C$2:C289, "&lt;&gt;")</f>
        <v>288</v>
      </c>
      <c r="N289">
        <f t="shared" si="7"/>
        <v>23.75</v>
      </c>
    </row>
    <row r="290" spans="1:14" x14ac:dyDescent="0.3">
      <c r="A290" s="3">
        <v>44332</v>
      </c>
      <c r="B290" t="s">
        <v>485</v>
      </c>
      <c r="C290" s="1">
        <v>3.53</v>
      </c>
      <c r="D290">
        <f>34*60+4</f>
        <v>2044</v>
      </c>
      <c r="E290">
        <f>9*60+39</f>
        <v>579</v>
      </c>
      <c r="F290">
        <f>9*60+16</f>
        <v>556</v>
      </c>
      <c r="G290">
        <f>9*60+44</f>
        <v>584</v>
      </c>
      <c r="H290">
        <f>9*60+52</f>
        <v>592</v>
      </c>
      <c r="I290">
        <v>20</v>
      </c>
      <c r="J290" t="s">
        <v>94</v>
      </c>
      <c r="K290" s="2" t="s">
        <v>486</v>
      </c>
      <c r="L290">
        <f>COUNTIF($C$2:C290, "&lt;&gt;")</f>
        <v>289</v>
      </c>
      <c r="N290">
        <f t="shared" si="7"/>
        <v>5.6657223796034</v>
      </c>
    </row>
    <row r="291" spans="1:14" x14ac:dyDescent="0.3">
      <c r="A291" s="3">
        <v>44333</v>
      </c>
      <c r="B291" t="s">
        <v>20</v>
      </c>
      <c r="C291" s="1">
        <v>3.15</v>
      </c>
      <c r="D291">
        <f>27*60+24</f>
        <v>1644</v>
      </c>
      <c r="E291">
        <f>8*60+41</f>
        <v>521</v>
      </c>
      <c r="F291">
        <f>9*60+5</f>
        <v>545</v>
      </c>
      <c r="G291">
        <f>9*60+8</f>
        <v>548</v>
      </c>
      <c r="H291">
        <f>7*60+48</f>
        <v>468</v>
      </c>
      <c r="I291">
        <v>59</v>
      </c>
      <c r="J291" t="s">
        <v>389</v>
      </c>
      <c r="K291" s="2" t="s">
        <v>487</v>
      </c>
      <c r="L291">
        <f>COUNTIF($C$2:C291, "&lt;&gt;")</f>
        <v>290</v>
      </c>
      <c r="N291">
        <f t="shared" si="7"/>
        <v>18.730158730158731</v>
      </c>
    </row>
    <row r="292" spans="1:14" x14ac:dyDescent="0.3">
      <c r="A292" s="3">
        <v>44334</v>
      </c>
      <c r="B292" t="s">
        <v>420</v>
      </c>
      <c r="C292" s="1">
        <v>5.0199999999999996</v>
      </c>
      <c r="D292">
        <f>39*60+2</f>
        <v>2342</v>
      </c>
      <c r="E292">
        <f>7*60+46</f>
        <v>466</v>
      </c>
      <c r="F292">
        <f>7*60+58</f>
        <v>478</v>
      </c>
      <c r="G292">
        <f>7*60+41</f>
        <v>461</v>
      </c>
      <c r="H292">
        <f>7*60+35</f>
        <v>455</v>
      </c>
      <c r="I292">
        <v>247</v>
      </c>
      <c r="J292" t="s">
        <v>489</v>
      </c>
      <c r="K292" s="2" t="s">
        <v>488</v>
      </c>
      <c r="L292">
        <f>COUNTIF($C$2:C292, "&lt;&gt;")</f>
        <v>291</v>
      </c>
      <c r="N292">
        <f t="shared" si="7"/>
        <v>49.203187250996017</v>
      </c>
    </row>
    <row r="293" spans="1:14" x14ac:dyDescent="0.3">
      <c r="A293" s="3">
        <v>44335</v>
      </c>
      <c r="B293" t="s">
        <v>33</v>
      </c>
      <c r="C293" s="1">
        <v>3.11</v>
      </c>
      <c r="D293">
        <f>22*60+34</f>
        <v>1354</v>
      </c>
      <c r="E293">
        <f>7*60+14</f>
        <v>434</v>
      </c>
      <c r="F293">
        <f>6*60+51</f>
        <v>411</v>
      </c>
      <c r="G293">
        <f>7*60+12</f>
        <v>432</v>
      </c>
      <c r="H293">
        <f>7*60+38</f>
        <v>458</v>
      </c>
      <c r="I293">
        <v>65</v>
      </c>
      <c r="J293" t="s">
        <v>34</v>
      </c>
      <c r="K293" s="2" t="s">
        <v>490</v>
      </c>
      <c r="L293">
        <f>COUNTIF($C$2:C293, "&lt;&gt;")</f>
        <v>292</v>
      </c>
      <c r="N293">
        <f t="shared" si="7"/>
        <v>20.90032154340836</v>
      </c>
    </row>
    <row r="294" spans="1:14" x14ac:dyDescent="0.3">
      <c r="A294" s="3">
        <v>44336</v>
      </c>
      <c r="B294" t="s">
        <v>37</v>
      </c>
      <c r="C294" s="1">
        <v>3.15</v>
      </c>
      <c r="D294">
        <f>25*60+7</f>
        <v>1507</v>
      </c>
      <c r="E294">
        <f>7*60+57</f>
        <v>477</v>
      </c>
      <c r="F294">
        <f>7*60+39</f>
        <v>459</v>
      </c>
      <c r="G294">
        <f>7*60+37</f>
        <v>457</v>
      </c>
      <c r="H294">
        <f>8*60+45</f>
        <v>525</v>
      </c>
      <c r="I294">
        <v>70</v>
      </c>
      <c r="J294" t="s">
        <v>38</v>
      </c>
      <c r="K294" s="2" t="s">
        <v>491</v>
      </c>
      <c r="L294">
        <f>COUNTIF($C$2:C294, "&lt;&gt;")</f>
        <v>293</v>
      </c>
      <c r="N294">
        <f t="shared" si="7"/>
        <v>22.222222222222221</v>
      </c>
    </row>
    <row r="295" spans="1:14" x14ac:dyDescent="0.3">
      <c r="A295" s="3">
        <v>44337</v>
      </c>
      <c r="B295" t="s">
        <v>498</v>
      </c>
      <c r="C295" s="1">
        <v>3.11</v>
      </c>
      <c r="D295">
        <f>26*60+40</f>
        <v>1600</v>
      </c>
      <c r="E295">
        <f>8*60+33</f>
        <v>513</v>
      </c>
      <c r="F295">
        <f>8*60+37</f>
        <v>517</v>
      </c>
      <c r="G295">
        <f>8*60+36</f>
        <v>516</v>
      </c>
      <c r="H295">
        <f>8*60+29</f>
        <v>509</v>
      </c>
      <c r="I295">
        <v>54</v>
      </c>
      <c r="J295" t="s">
        <v>496</v>
      </c>
      <c r="K295" s="2" t="s">
        <v>497</v>
      </c>
      <c r="L295">
        <f>COUNTIF($C$2:C295, "&lt;&gt;")</f>
        <v>294</v>
      </c>
      <c r="N295">
        <f t="shared" si="7"/>
        <v>17.363344051446948</v>
      </c>
    </row>
    <row r="296" spans="1:14" x14ac:dyDescent="0.3">
      <c r="A296" s="3">
        <v>44338</v>
      </c>
      <c r="B296" t="s">
        <v>494</v>
      </c>
      <c r="C296" s="1">
        <v>16.170000000000002</v>
      </c>
      <c r="D296">
        <f>2*3600+36*60+4</f>
        <v>9364</v>
      </c>
      <c r="E296">
        <f>9*60+39</f>
        <v>579</v>
      </c>
      <c r="F296">
        <f>8*60+46</f>
        <v>526</v>
      </c>
      <c r="G296">
        <f>8*60+36</f>
        <v>516</v>
      </c>
      <c r="H296">
        <f>9*60+19</f>
        <v>559</v>
      </c>
      <c r="I296">
        <v>1108</v>
      </c>
      <c r="J296" t="s">
        <v>429</v>
      </c>
      <c r="K296" s="2" t="s">
        <v>495</v>
      </c>
      <c r="L296">
        <f>COUNTIF($C$2:C296, "&lt;&gt;")</f>
        <v>295</v>
      </c>
      <c r="N296">
        <f t="shared" si="7"/>
        <v>68.521954236239949</v>
      </c>
    </row>
    <row r="297" spans="1:14" x14ac:dyDescent="0.3">
      <c r="A297" s="3">
        <v>44339</v>
      </c>
      <c r="B297" t="s">
        <v>102</v>
      </c>
      <c r="C297" s="1">
        <v>3.13</v>
      </c>
      <c r="D297">
        <f>30*60+51</f>
        <v>1851</v>
      </c>
      <c r="E297">
        <f>9*60+51</f>
        <v>591</v>
      </c>
      <c r="F297">
        <f>9*60+51</f>
        <v>591</v>
      </c>
      <c r="G297">
        <f>9*60+34</f>
        <v>574</v>
      </c>
      <c r="H297">
        <f>10*60+15</f>
        <v>615</v>
      </c>
      <c r="I297">
        <v>108</v>
      </c>
      <c r="J297" t="s">
        <v>104</v>
      </c>
      <c r="K297" s="2" t="s">
        <v>493</v>
      </c>
      <c r="L297">
        <f>COUNTIF($C$2:C297, "&lt;&gt;")</f>
        <v>296</v>
      </c>
      <c r="N297">
        <f t="shared" si="7"/>
        <v>34.504792332268373</v>
      </c>
    </row>
    <row r="298" spans="1:14" x14ac:dyDescent="0.3">
      <c r="A298" s="3">
        <v>44340</v>
      </c>
      <c r="B298" t="s">
        <v>20</v>
      </c>
      <c r="C298" s="1">
        <v>3.32</v>
      </c>
      <c r="D298">
        <f>32*60+35</f>
        <v>1955</v>
      </c>
      <c r="E298">
        <f>9*60+47</f>
        <v>587</v>
      </c>
      <c r="F298">
        <f>10*60+2</f>
        <v>602</v>
      </c>
      <c r="G298">
        <f>9*60+32</f>
        <v>572</v>
      </c>
      <c r="H298">
        <f>10*60+25</f>
        <v>625</v>
      </c>
      <c r="I298">
        <v>72</v>
      </c>
      <c r="J298" t="s">
        <v>389</v>
      </c>
      <c r="K298" s="2" t="s">
        <v>492</v>
      </c>
      <c r="L298">
        <f>COUNTIF($C$2:C298, "&lt;&gt;")</f>
        <v>297</v>
      </c>
      <c r="N298">
        <f t="shared" si="7"/>
        <v>21.686746987951807</v>
      </c>
    </row>
    <row r="299" spans="1:14" x14ac:dyDescent="0.3">
      <c r="A299" s="3">
        <v>44341</v>
      </c>
      <c r="B299" t="s">
        <v>420</v>
      </c>
      <c r="C299" s="1">
        <v>3.18</v>
      </c>
      <c r="D299">
        <f>26*60+13</f>
        <v>1573</v>
      </c>
      <c r="E299">
        <f>8*60+13</f>
        <v>493</v>
      </c>
      <c r="F299">
        <f>8*60+9</f>
        <v>489</v>
      </c>
      <c r="G299">
        <f>8*60+25</f>
        <v>505</v>
      </c>
      <c r="H299">
        <f>8*60+11</f>
        <v>491</v>
      </c>
      <c r="I299">
        <v>155</v>
      </c>
      <c r="J299" t="s">
        <v>421</v>
      </c>
      <c r="K299" s="2" t="s">
        <v>499</v>
      </c>
      <c r="L299">
        <f>COUNTIF($C$2:C299, "&lt;&gt;")</f>
        <v>298</v>
      </c>
      <c r="N299">
        <f t="shared" si="7"/>
        <v>48.742138364779869</v>
      </c>
    </row>
    <row r="300" spans="1:14" x14ac:dyDescent="0.3">
      <c r="A300" s="3">
        <v>44342</v>
      </c>
      <c r="B300" t="s">
        <v>33</v>
      </c>
      <c r="C300" s="1">
        <v>3.12</v>
      </c>
      <c r="D300">
        <f>23*60+8</f>
        <v>1388</v>
      </c>
      <c r="E300">
        <f>7*60+24</f>
        <v>444</v>
      </c>
      <c r="F300">
        <f>7*60+18</f>
        <v>438</v>
      </c>
      <c r="G300">
        <f>7*60+8</f>
        <v>428</v>
      </c>
      <c r="H300">
        <f>7*60+45</f>
        <v>465</v>
      </c>
      <c r="I300">
        <v>129</v>
      </c>
      <c r="J300" t="s">
        <v>435</v>
      </c>
      <c r="K300" s="2" t="s">
        <v>501</v>
      </c>
      <c r="L300">
        <f>COUNTIF($C$2:C300, "&lt;&gt;")</f>
        <v>299</v>
      </c>
      <c r="N300">
        <f t="shared" si="7"/>
        <v>41.346153846153847</v>
      </c>
    </row>
    <row r="301" spans="1:14" x14ac:dyDescent="0.3">
      <c r="A301" s="3">
        <v>44343</v>
      </c>
      <c r="B301" t="s">
        <v>37</v>
      </c>
      <c r="C301" s="1">
        <v>3.13</v>
      </c>
      <c r="D301">
        <f>24*60+1</f>
        <v>1441</v>
      </c>
      <c r="E301">
        <f>7*60+39</f>
        <v>459</v>
      </c>
      <c r="F301">
        <f>8*60+15</f>
        <v>495</v>
      </c>
      <c r="G301">
        <f>7*60+31</f>
        <v>451</v>
      </c>
      <c r="H301">
        <f>7*60+15</f>
        <v>435</v>
      </c>
      <c r="I301">
        <v>71</v>
      </c>
      <c r="J301" t="s">
        <v>38</v>
      </c>
      <c r="K301" s="2" t="s">
        <v>500</v>
      </c>
      <c r="L301">
        <f>COUNTIF($C$2:C301, "&lt;&gt;")</f>
        <v>300</v>
      </c>
      <c r="N301">
        <f t="shared" si="7"/>
        <v>22.683706070287542</v>
      </c>
    </row>
    <row r="302" spans="1:14" x14ac:dyDescent="0.3">
      <c r="A302" s="3">
        <v>44344</v>
      </c>
      <c r="C302" s="1">
        <v>10.02</v>
      </c>
      <c r="D302">
        <f>1*3600+34*60+12</f>
        <v>5652</v>
      </c>
      <c r="E302">
        <f>9*60+24</f>
        <v>564</v>
      </c>
      <c r="F302">
        <f>9*60+10</f>
        <v>550</v>
      </c>
      <c r="G302">
        <f>8*60+57</f>
        <v>537</v>
      </c>
      <c r="H302">
        <f>9*60+24</f>
        <v>564</v>
      </c>
      <c r="I302">
        <v>489</v>
      </c>
      <c r="J302" t="s">
        <v>502</v>
      </c>
      <c r="K302" s="2" t="s">
        <v>503</v>
      </c>
      <c r="L302">
        <f>COUNTIF($C$2:C302, "&lt;&gt;")</f>
        <v>301</v>
      </c>
      <c r="N302">
        <f t="shared" si="7"/>
        <v>48.802395209580837</v>
      </c>
    </row>
    <row r="303" spans="1:14" x14ac:dyDescent="0.3">
      <c r="A303" s="3">
        <v>44345</v>
      </c>
      <c r="B303" t="s">
        <v>9</v>
      </c>
      <c r="C303" s="1">
        <v>6.05</v>
      </c>
      <c r="D303">
        <f>48*60+4</f>
        <v>2884</v>
      </c>
      <c r="E303">
        <f>7*60+56</f>
        <v>476</v>
      </c>
      <c r="F303">
        <f>8*60+29</f>
        <v>509</v>
      </c>
      <c r="G303">
        <f>8*60+20</f>
        <v>500</v>
      </c>
      <c r="H303">
        <f>8*60+7</f>
        <v>487</v>
      </c>
      <c r="I303">
        <v>402</v>
      </c>
      <c r="J303" t="s">
        <v>261</v>
      </c>
      <c r="K303" s="2" t="s">
        <v>507</v>
      </c>
      <c r="L303">
        <f>COUNTIF($C$2:C303, "&lt;&gt;")</f>
        <v>302</v>
      </c>
      <c r="N303">
        <f t="shared" si="7"/>
        <v>66.446280991735534</v>
      </c>
    </row>
    <row r="304" spans="1:14" x14ac:dyDescent="0.3">
      <c r="A304" s="3">
        <v>44346</v>
      </c>
      <c r="B304" t="s">
        <v>102</v>
      </c>
      <c r="C304" s="1">
        <v>3.14</v>
      </c>
      <c r="D304">
        <f>27*60+17</f>
        <v>1637</v>
      </c>
      <c r="E304">
        <f>8*60+41</f>
        <v>521</v>
      </c>
      <c r="F304">
        <f>9*60+7</f>
        <v>547</v>
      </c>
      <c r="G304">
        <f>9*60+3</f>
        <v>543</v>
      </c>
      <c r="H304">
        <f>8*60+8</f>
        <v>488</v>
      </c>
      <c r="I304">
        <v>118</v>
      </c>
      <c r="J304" t="s">
        <v>104</v>
      </c>
      <c r="K304" s="2" t="s">
        <v>506</v>
      </c>
      <c r="L304">
        <f>COUNTIF($C$2:C304, "&lt;&gt;")</f>
        <v>303</v>
      </c>
      <c r="N304">
        <f t="shared" si="7"/>
        <v>37.579617834394902</v>
      </c>
    </row>
    <row r="305" spans="1:14" x14ac:dyDescent="0.3">
      <c r="A305" s="3">
        <v>44347</v>
      </c>
      <c r="B305" t="s">
        <v>20</v>
      </c>
      <c r="C305" s="1">
        <v>3.16</v>
      </c>
      <c r="D305">
        <f>28*60+16</f>
        <v>1696</v>
      </c>
      <c r="E305">
        <f>8*60+55</f>
        <v>535</v>
      </c>
      <c r="F305">
        <f>9*60+21</f>
        <v>561</v>
      </c>
      <c r="G305">
        <f>8*60+42</f>
        <v>522</v>
      </c>
      <c r="H305">
        <f>8*60+57</f>
        <v>537</v>
      </c>
      <c r="I305">
        <v>69</v>
      </c>
      <c r="J305" t="s">
        <v>389</v>
      </c>
      <c r="K305" s="2" t="s">
        <v>505</v>
      </c>
      <c r="L305">
        <f>COUNTIF($C$2:C305, "&lt;&gt;")</f>
        <v>304</v>
      </c>
      <c r="N305">
        <f t="shared" si="7"/>
        <v>21.835443037974681</v>
      </c>
    </row>
    <row r="306" spans="1:14" x14ac:dyDescent="0.3">
      <c r="A306" s="3">
        <v>44348</v>
      </c>
      <c r="B306" t="s">
        <v>420</v>
      </c>
      <c r="C306" s="1">
        <v>3.12</v>
      </c>
      <c r="D306">
        <f>23*60+46</f>
        <v>1426</v>
      </c>
      <c r="E306">
        <f>7*60+37</f>
        <v>457</v>
      </c>
      <c r="F306">
        <f>7*60+48</f>
        <v>468</v>
      </c>
      <c r="G306">
        <f>7*60+40</f>
        <v>460</v>
      </c>
      <c r="H306">
        <f>7*60+24</f>
        <v>444</v>
      </c>
      <c r="I306">
        <v>165</v>
      </c>
      <c r="J306" t="s">
        <v>421</v>
      </c>
      <c r="K306" s="2" t="s">
        <v>504</v>
      </c>
      <c r="L306">
        <f>COUNTIF($C$2:C306, "&lt;&gt;")</f>
        <v>305</v>
      </c>
      <c r="N306">
        <f t="shared" si="7"/>
        <v>52.88461538461538</v>
      </c>
    </row>
    <row r="307" spans="1:14" x14ac:dyDescent="0.3">
      <c r="A307" s="3">
        <v>44349</v>
      </c>
      <c r="B307" t="s">
        <v>33</v>
      </c>
      <c r="C307" s="1">
        <v>3.11</v>
      </c>
      <c r="D307">
        <f>22*60+36</f>
        <v>1356</v>
      </c>
      <c r="E307">
        <f>7*60+15</f>
        <v>435</v>
      </c>
      <c r="F307">
        <f>7*60+3</f>
        <v>423</v>
      </c>
      <c r="G307">
        <f>7*60+31</f>
        <v>451</v>
      </c>
      <c r="H307">
        <f>7*60+3</f>
        <v>423</v>
      </c>
      <c r="I307">
        <v>66</v>
      </c>
      <c r="J307" t="s">
        <v>34</v>
      </c>
      <c r="K307" s="2" t="s">
        <v>509</v>
      </c>
      <c r="L307">
        <f>COUNTIF($C$2:C307, "&lt;&gt;")</f>
        <v>306</v>
      </c>
      <c r="N307">
        <f t="shared" si="7"/>
        <v>21.221864951768488</v>
      </c>
    </row>
    <row r="308" spans="1:14" x14ac:dyDescent="0.3">
      <c r="A308" s="3">
        <v>44350</v>
      </c>
      <c r="B308" t="s">
        <v>511</v>
      </c>
      <c r="C308" s="1">
        <v>3.11</v>
      </c>
      <c r="D308">
        <f>20*60+2</f>
        <v>1202</v>
      </c>
      <c r="E308">
        <f>6*60+26</f>
        <v>386</v>
      </c>
      <c r="F308">
        <f>5*60+54</f>
        <v>354</v>
      </c>
      <c r="G308">
        <f>5*60+13</f>
        <v>313</v>
      </c>
      <c r="H308">
        <f>7*60+47</f>
        <v>467</v>
      </c>
      <c r="I308">
        <v>43</v>
      </c>
      <c r="J308" t="s">
        <v>514</v>
      </c>
      <c r="K308" s="2" t="s">
        <v>513</v>
      </c>
      <c r="L308">
        <f>COUNTIF($C$2:C308, "&lt;&gt;")</f>
        <v>307</v>
      </c>
      <c r="M308" t="s">
        <v>161</v>
      </c>
      <c r="N308">
        <f t="shared" si="7"/>
        <v>13.826366559485532</v>
      </c>
    </row>
    <row r="309" spans="1:14" x14ac:dyDescent="0.3">
      <c r="A309" s="3">
        <v>44351</v>
      </c>
      <c r="B309" t="s">
        <v>102</v>
      </c>
      <c r="C309" s="1">
        <v>3.14</v>
      </c>
      <c r="D309">
        <f>30*60+56</f>
        <v>1856</v>
      </c>
      <c r="E309">
        <f>9*60+51</f>
        <v>591</v>
      </c>
      <c r="F309">
        <f>10*60+19</f>
        <v>619</v>
      </c>
      <c r="G309">
        <f>9*60+37</f>
        <v>577</v>
      </c>
      <c r="H309">
        <f>9*60+33</f>
        <v>573</v>
      </c>
      <c r="I309">
        <v>125</v>
      </c>
      <c r="J309" t="s">
        <v>104</v>
      </c>
      <c r="K309" s="2" t="s">
        <v>515</v>
      </c>
      <c r="L309">
        <f>COUNTIF($C$2:C309, "&lt;&gt;")</f>
        <v>308</v>
      </c>
      <c r="N309">
        <f t="shared" si="7"/>
        <v>39.808917197452224</v>
      </c>
    </row>
    <row r="310" spans="1:14" x14ac:dyDescent="0.3">
      <c r="A310" s="3">
        <v>44352</v>
      </c>
      <c r="B310" t="s">
        <v>512</v>
      </c>
      <c r="C310" s="1">
        <v>3.11</v>
      </c>
      <c r="D310">
        <f>29*60+27</f>
        <v>1767</v>
      </c>
      <c r="E310">
        <f>9*60+27</f>
        <v>567</v>
      </c>
      <c r="F310">
        <f>9*60+22</f>
        <v>562</v>
      </c>
      <c r="G310">
        <f>9*60+13</f>
        <v>553</v>
      </c>
      <c r="H310">
        <f>9*60+43</f>
        <v>583</v>
      </c>
      <c r="I310">
        <v>205</v>
      </c>
      <c r="J310" t="s">
        <v>429</v>
      </c>
      <c r="K310" s="2" t="s">
        <v>516</v>
      </c>
      <c r="L310">
        <f>COUNTIF($C$2:C310, "&lt;&gt;")</f>
        <v>309</v>
      </c>
      <c r="N310">
        <f t="shared" si="7"/>
        <v>65.916398713826368</v>
      </c>
    </row>
    <row r="311" spans="1:14" x14ac:dyDescent="0.3">
      <c r="A311" s="3">
        <v>44353</v>
      </c>
      <c r="B311" t="s">
        <v>522</v>
      </c>
      <c r="C311" s="1">
        <v>5.5</v>
      </c>
      <c r="D311">
        <f>53*60+39</f>
        <v>3219</v>
      </c>
      <c r="E311">
        <f>9*60+44</f>
        <v>584</v>
      </c>
      <c r="F311">
        <f>7*60+46</f>
        <v>466</v>
      </c>
      <c r="G311">
        <f>8*60+43</f>
        <v>523</v>
      </c>
      <c r="H311">
        <f>10*60+18</f>
        <v>618</v>
      </c>
      <c r="I311">
        <v>138</v>
      </c>
      <c r="J311" t="s">
        <v>510</v>
      </c>
      <c r="K311" s="2" t="s">
        <v>517</v>
      </c>
      <c r="L311">
        <f>COUNTIF($C$2:C311, "&lt;&gt;")</f>
        <v>310</v>
      </c>
      <c r="N311">
        <f t="shared" si="7"/>
        <v>25.09090909090909</v>
      </c>
    </row>
    <row r="312" spans="1:14" x14ac:dyDescent="0.3">
      <c r="A312" s="3">
        <v>44354</v>
      </c>
      <c r="B312" t="s">
        <v>20</v>
      </c>
      <c r="C312" s="1">
        <v>3.11</v>
      </c>
      <c r="D312">
        <f>28*60+6</f>
        <v>1686</v>
      </c>
      <c r="E312">
        <f>9*60+2</f>
        <v>542</v>
      </c>
      <c r="F312">
        <f>8*60+47</f>
        <v>527</v>
      </c>
      <c r="G312">
        <f>9*60+42</f>
        <v>582</v>
      </c>
      <c r="H312">
        <f>8*60+26</f>
        <v>506</v>
      </c>
      <c r="I312">
        <v>62</v>
      </c>
      <c r="J312" t="s">
        <v>389</v>
      </c>
      <c r="K312" s="2" t="s">
        <v>518</v>
      </c>
      <c r="L312">
        <f>COUNTIF($C$2:C312, "&lt;&gt;")</f>
        <v>311</v>
      </c>
      <c r="N312">
        <f t="shared" si="7"/>
        <v>19.935691318327976</v>
      </c>
    </row>
    <row r="313" spans="1:14" x14ac:dyDescent="0.3">
      <c r="A313" s="3">
        <v>44355</v>
      </c>
      <c r="B313" t="s">
        <v>420</v>
      </c>
      <c r="C313" s="1">
        <v>3.12</v>
      </c>
      <c r="D313">
        <f>29*60+56</f>
        <v>1796</v>
      </c>
      <c r="E313">
        <f>9*60+34</f>
        <v>574</v>
      </c>
      <c r="F313">
        <f>9*60+49</f>
        <v>589</v>
      </c>
      <c r="G313">
        <f>9*60+40</f>
        <v>580</v>
      </c>
      <c r="H313">
        <f>9*60+15</f>
        <v>555</v>
      </c>
      <c r="I313">
        <v>175</v>
      </c>
      <c r="J313" t="s">
        <v>421</v>
      </c>
      <c r="K313" s="2" t="s">
        <v>521</v>
      </c>
      <c r="L313">
        <f>COUNTIF($C$2:C313, "&lt;&gt;")</f>
        <v>312</v>
      </c>
      <c r="N313">
        <f t="shared" si="7"/>
        <v>56.089743589743591</v>
      </c>
    </row>
    <row r="314" spans="1:14" x14ac:dyDescent="0.3">
      <c r="A314" s="3">
        <v>44356</v>
      </c>
      <c r="B314" t="s">
        <v>33</v>
      </c>
      <c r="C314" s="1">
        <v>3.11</v>
      </c>
      <c r="D314">
        <f>24*60+33</f>
        <v>1473</v>
      </c>
      <c r="E314">
        <f>7*60+52</f>
        <v>472</v>
      </c>
      <c r="F314">
        <f>8*60+23</f>
        <v>503</v>
      </c>
      <c r="G314">
        <f>8*60+8</f>
        <v>488</v>
      </c>
      <c r="H314">
        <f>7*60+4</f>
        <v>424</v>
      </c>
      <c r="I314">
        <v>67</v>
      </c>
      <c r="J314" t="s">
        <v>34</v>
      </c>
      <c r="K314" s="2" t="s">
        <v>519</v>
      </c>
      <c r="L314">
        <f>COUNTIF($C$2:C314, "&lt;&gt;")</f>
        <v>313</v>
      </c>
      <c r="N314">
        <f t="shared" si="7"/>
        <v>21.54340836012862</v>
      </c>
    </row>
    <row r="315" spans="1:14" x14ac:dyDescent="0.3">
      <c r="A315" s="3">
        <v>44357</v>
      </c>
      <c r="B315" t="s">
        <v>37</v>
      </c>
      <c r="C315" s="1">
        <v>3.15</v>
      </c>
      <c r="D315">
        <f>27*60+42</f>
        <v>1662</v>
      </c>
      <c r="E315">
        <f>8*60+48</f>
        <v>528</v>
      </c>
      <c r="F315">
        <f>9*60+16</f>
        <v>556</v>
      </c>
      <c r="G315">
        <f>8*60+25</f>
        <v>505</v>
      </c>
      <c r="H315">
        <f>8*60+37</f>
        <v>517</v>
      </c>
      <c r="I315">
        <v>69</v>
      </c>
      <c r="J315" t="s">
        <v>38</v>
      </c>
      <c r="K315" s="2" t="s">
        <v>520</v>
      </c>
      <c r="L315">
        <f>COUNTIF($C$2:C315, "&lt;&gt;")</f>
        <v>314</v>
      </c>
      <c r="N315">
        <f t="shared" si="7"/>
        <v>21.904761904761905</v>
      </c>
    </row>
    <row r="316" spans="1:14" x14ac:dyDescent="0.3">
      <c r="A316" s="3">
        <v>44358</v>
      </c>
      <c r="B316" t="s">
        <v>102</v>
      </c>
      <c r="C316" s="1">
        <v>3.17</v>
      </c>
      <c r="D316">
        <f>29*60+46</f>
        <v>1786</v>
      </c>
      <c r="E316">
        <f>9*60+23</f>
        <v>563</v>
      </c>
      <c r="F316">
        <f>9*60+47</f>
        <v>587</v>
      </c>
      <c r="G316">
        <f>9*60+23</f>
        <v>563</v>
      </c>
      <c r="H316">
        <f>9*60+17</f>
        <v>557</v>
      </c>
      <c r="I316">
        <v>111</v>
      </c>
      <c r="J316" t="s">
        <v>104</v>
      </c>
      <c r="K316" s="2" t="s">
        <v>525</v>
      </c>
      <c r="L316">
        <f>COUNTIF($C$2:C316, "&lt;&gt;")</f>
        <v>315</v>
      </c>
      <c r="N316">
        <f t="shared" si="7"/>
        <v>35.01577287066246</v>
      </c>
    </row>
    <row r="317" spans="1:14" x14ac:dyDescent="0.3">
      <c r="A317" s="3">
        <v>44359</v>
      </c>
      <c r="B317" t="s">
        <v>526</v>
      </c>
      <c r="C317" s="1">
        <v>6.25</v>
      </c>
      <c r="D317">
        <f>1*3600+6*60+44</f>
        <v>4004</v>
      </c>
      <c r="E317">
        <f>10*60+40</f>
        <v>640</v>
      </c>
      <c r="F317">
        <f>11*60+22</f>
        <v>682</v>
      </c>
      <c r="G317">
        <f>11*60+7</f>
        <v>667</v>
      </c>
      <c r="H317">
        <f>10*60+46</f>
        <v>646</v>
      </c>
      <c r="I317">
        <v>499</v>
      </c>
      <c r="J317" t="s">
        <v>527</v>
      </c>
      <c r="K317" s="2" t="s">
        <v>528</v>
      </c>
      <c r="L317">
        <f>COUNTIF($C$2:C317, "&lt;&gt;")</f>
        <v>316</v>
      </c>
      <c r="N317">
        <f t="shared" si="7"/>
        <v>79.84</v>
      </c>
    </row>
    <row r="318" spans="1:14" x14ac:dyDescent="0.3">
      <c r="A318" s="3">
        <v>44360</v>
      </c>
      <c r="B318" t="s">
        <v>522</v>
      </c>
      <c r="C318" s="1">
        <v>3.11</v>
      </c>
      <c r="D318">
        <f>26*60+19</f>
        <v>1579</v>
      </c>
      <c r="E318">
        <f>8*60+27</f>
        <v>507</v>
      </c>
      <c r="F318">
        <f>7*60+39</f>
        <v>459</v>
      </c>
      <c r="G318">
        <f>8*60+19</f>
        <v>499</v>
      </c>
      <c r="H318">
        <f>9*60+17</f>
        <v>557</v>
      </c>
      <c r="I318">
        <v>82</v>
      </c>
      <c r="J318" t="s">
        <v>523</v>
      </c>
      <c r="K318" s="2" t="s">
        <v>524</v>
      </c>
      <c r="L318">
        <f>COUNTIF($C$2:C318, "&lt;&gt;")</f>
        <v>317</v>
      </c>
      <c r="N318">
        <f t="shared" ref="N318:N381" si="8">I318/C318</f>
        <v>26.366559485530548</v>
      </c>
    </row>
    <row r="319" spans="1:14" x14ac:dyDescent="0.3">
      <c r="A319" s="3">
        <v>44361</v>
      </c>
      <c r="B319" t="s">
        <v>20</v>
      </c>
      <c r="C319" s="1">
        <v>5.54</v>
      </c>
      <c r="D319">
        <f>51*60+7</f>
        <v>3067</v>
      </c>
      <c r="E319">
        <f>9*60+13</f>
        <v>553</v>
      </c>
      <c r="F319">
        <f>9*60+30</f>
        <v>570</v>
      </c>
      <c r="G319">
        <f>9*60+17</f>
        <v>557</v>
      </c>
      <c r="H319">
        <f>9*60+28</f>
        <v>568</v>
      </c>
      <c r="I319">
        <v>124</v>
      </c>
      <c r="J319" t="s">
        <v>21</v>
      </c>
      <c r="K319" s="2" t="s">
        <v>529</v>
      </c>
      <c r="L319">
        <f>COUNTIF($C$2:C319, "&lt;&gt;")</f>
        <v>318</v>
      </c>
      <c r="N319">
        <f t="shared" si="8"/>
        <v>22.382671480144403</v>
      </c>
    </row>
    <row r="320" spans="1:14" x14ac:dyDescent="0.3">
      <c r="A320" s="3">
        <v>44362</v>
      </c>
      <c r="B320" t="s">
        <v>420</v>
      </c>
      <c r="C320" s="1">
        <v>3.12</v>
      </c>
      <c r="D320">
        <f>26*60+34</f>
        <v>1594</v>
      </c>
      <c r="E320">
        <f>8*60+31</f>
        <v>511</v>
      </c>
      <c r="F320">
        <f>8*60+44</f>
        <v>524</v>
      </c>
      <c r="G320">
        <f>8*60+42</f>
        <v>522</v>
      </c>
      <c r="H320">
        <f>8*60+11</f>
        <v>491</v>
      </c>
      <c r="I320">
        <v>151</v>
      </c>
      <c r="J320" t="s">
        <v>421</v>
      </c>
      <c r="K320" s="2" t="s">
        <v>530</v>
      </c>
      <c r="L320">
        <f>COUNTIF($C$2:C320, "&lt;&gt;")</f>
        <v>319</v>
      </c>
      <c r="N320">
        <f t="shared" si="8"/>
        <v>48.397435897435898</v>
      </c>
    </row>
    <row r="321" spans="1:14" x14ac:dyDescent="0.3">
      <c r="A321" s="3">
        <v>44363</v>
      </c>
      <c r="B321" t="s">
        <v>33</v>
      </c>
      <c r="C321" s="1">
        <v>3.12</v>
      </c>
      <c r="D321">
        <f>22*60+36</f>
        <v>1356</v>
      </c>
      <c r="E321">
        <f>7*60+14</f>
        <v>434</v>
      </c>
      <c r="F321">
        <f>6*60+58</f>
        <v>418</v>
      </c>
      <c r="G321">
        <f>7*60+28</f>
        <v>448</v>
      </c>
      <c r="H321">
        <f>7*60+20</f>
        <v>440</v>
      </c>
      <c r="I321">
        <v>66</v>
      </c>
      <c r="J321" t="s">
        <v>34</v>
      </c>
      <c r="K321" s="2" t="s">
        <v>531</v>
      </c>
      <c r="L321">
        <f>COUNTIF($C$2:C321, "&lt;&gt;")</f>
        <v>320</v>
      </c>
      <c r="N321">
        <f t="shared" si="8"/>
        <v>21.153846153846153</v>
      </c>
    </row>
    <row r="322" spans="1:14" x14ac:dyDescent="0.3">
      <c r="A322" s="3">
        <v>44364</v>
      </c>
      <c r="B322" t="s">
        <v>37</v>
      </c>
      <c r="C322" s="1">
        <v>3.11</v>
      </c>
      <c r="D322">
        <f>23*60+46</f>
        <v>1426</v>
      </c>
      <c r="E322">
        <f>7*60+38</f>
        <v>458</v>
      </c>
      <c r="F322">
        <f>7*60+47</f>
        <v>467</v>
      </c>
      <c r="G322">
        <f>7*60+37</f>
        <v>457</v>
      </c>
      <c r="H322">
        <f>7*60+23</f>
        <v>443</v>
      </c>
      <c r="I322">
        <v>108</v>
      </c>
      <c r="J322" t="s">
        <v>38</v>
      </c>
      <c r="K322" s="2" t="s">
        <v>532</v>
      </c>
      <c r="L322">
        <f>COUNTIF($C$2:C322, "&lt;&gt;")</f>
        <v>321</v>
      </c>
      <c r="N322">
        <f t="shared" si="8"/>
        <v>34.726688102893895</v>
      </c>
    </row>
    <row r="323" spans="1:14" x14ac:dyDescent="0.3">
      <c r="A323" s="3">
        <v>44365</v>
      </c>
      <c r="B323" t="s">
        <v>102</v>
      </c>
      <c r="C323" s="1">
        <v>3.11</v>
      </c>
      <c r="D323">
        <f>26*60+19</f>
        <v>1579</v>
      </c>
      <c r="E323">
        <f>8*60+27</f>
        <v>507</v>
      </c>
      <c r="F323">
        <f>8*60+46</f>
        <v>526</v>
      </c>
      <c r="G323">
        <f>8*60+4</f>
        <v>484</v>
      </c>
      <c r="H323">
        <f>8*60+33</f>
        <v>513</v>
      </c>
      <c r="I323">
        <v>142</v>
      </c>
      <c r="J323" t="s">
        <v>104</v>
      </c>
      <c r="K323" s="2" t="s">
        <v>533</v>
      </c>
      <c r="L323">
        <f>COUNTIF($C$2:C323, "&lt;&gt;")</f>
        <v>322</v>
      </c>
      <c r="N323">
        <f t="shared" si="8"/>
        <v>45.659163987138264</v>
      </c>
    </row>
    <row r="324" spans="1:14" x14ac:dyDescent="0.3">
      <c r="A324" s="3">
        <v>44366</v>
      </c>
      <c r="B324" t="s">
        <v>9</v>
      </c>
      <c r="C324" s="1">
        <v>6.27</v>
      </c>
      <c r="D324">
        <f>54*60+33</f>
        <v>3273</v>
      </c>
      <c r="E324">
        <f>8*60+41</f>
        <v>521</v>
      </c>
      <c r="F324">
        <f>8*60+31</f>
        <v>511</v>
      </c>
      <c r="G324">
        <f>8*60+14</f>
        <v>494</v>
      </c>
      <c r="H324">
        <f>8*60+49</f>
        <v>529</v>
      </c>
      <c r="I324">
        <v>408</v>
      </c>
      <c r="J324" t="s">
        <v>261</v>
      </c>
      <c r="K324" s="2" t="s">
        <v>534</v>
      </c>
      <c r="L324">
        <f>COUNTIF($C$2:C324, "&lt;&gt;")</f>
        <v>323</v>
      </c>
      <c r="N324">
        <f t="shared" si="8"/>
        <v>65.071770334928232</v>
      </c>
    </row>
    <row r="325" spans="1:14" x14ac:dyDescent="0.3">
      <c r="A325" s="3">
        <v>44367</v>
      </c>
      <c r="B325" t="s">
        <v>102</v>
      </c>
      <c r="C325" s="1">
        <v>3.11</v>
      </c>
      <c r="D325">
        <f>28*60+38</f>
        <v>1718</v>
      </c>
      <c r="E325">
        <f>9*60+11</f>
        <v>551</v>
      </c>
      <c r="F325">
        <f>8*60+54</f>
        <v>534</v>
      </c>
      <c r="G325">
        <f>9*60+3</f>
        <v>543</v>
      </c>
      <c r="H325">
        <f>9*60+30</f>
        <v>570</v>
      </c>
      <c r="I325">
        <v>115</v>
      </c>
      <c r="J325" t="s">
        <v>104</v>
      </c>
      <c r="K325" s="2" t="s">
        <v>535</v>
      </c>
      <c r="L325">
        <f>COUNTIF($C$2:C325, "&lt;&gt;")</f>
        <v>324</v>
      </c>
      <c r="N325">
        <f t="shared" si="8"/>
        <v>36.977491961414792</v>
      </c>
    </row>
    <row r="326" spans="1:14" x14ac:dyDescent="0.3">
      <c r="A326" s="3">
        <v>44368</v>
      </c>
      <c r="B326" t="s">
        <v>20</v>
      </c>
      <c r="C326" s="1">
        <v>3.15</v>
      </c>
      <c r="D326">
        <f>27*60+59</f>
        <v>1679</v>
      </c>
      <c r="E326">
        <f>8*60+53</f>
        <v>533</v>
      </c>
      <c r="F326">
        <f>8*60+41</f>
        <v>521</v>
      </c>
      <c r="G326">
        <f>9*60+2</f>
        <v>542</v>
      </c>
      <c r="H326">
        <f>9*60+6</f>
        <v>546</v>
      </c>
      <c r="I326">
        <v>66</v>
      </c>
      <c r="J326" t="s">
        <v>389</v>
      </c>
      <c r="K326" s="2" t="s">
        <v>536</v>
      </c>
      <c r="L326">
        <f>COUNTIF($C$2:C326, "&lt;&gt;")</f>
        <v>325</v>
      </c>
      <c r="N326">
        <f t="shared" si="8"/>
        <v>20.952380952380953</v>
      </c>
    </row>
    <row r="327" spans="1:14" x14ac:dyDescent="0.3">
      <c r="A327" s="3">
        <v>44369</v>
      </c>
      <c r="B327" t="s">
        <v>29</v>
      </c>
      <c r="C327" s="1">
        <v>3.11</v>
      </c>
      <c r="D327">
        <f>21*60+28</f>
        <v>1288</v>
      </c>
      <c r="E327">
        <f>6*60+53</f>
        <v>413</v>
      </c>
      <c r="F327">
        <f>7*60+4</f>
        <v>424</v>
      </c>
      <c r="G327">
        <f>7*60+6</f>
        <v>426</v>
      </c>
      <c r="H327">
        <f>6*60+34</f>
        <v>394</v>
      </c>
      <c r="I327">
        <v>68</v>
      </c>
      <c r="J327" t="s">
        <v>30</v>
      </c>
      <c r="K327" s="2" t="s">
        <v>538</v>
      </c>
      <c r="L327">
        <f>COUNTIF($C$2:C327, "&lt;&gt;")</f>
        <v>326</v>
      </c>
      <c r="N327">
        <f t="shared" si="8"/>
        <v>21.864951768488748</v>
      </c>
    </row>
    <row r="328" spans="1:14" x14ac:dyDescent="0.3">
      <c r="A328" s="3">
        <v>44370</v>
      </c>
      <c r="B328" t="s">
        <v>102</v>
      </c>
      <c r="C328" s="1">
        <v>3.12</v>
      </c>
      <c r="D328">
        <f>27*60+59</f>
        <v>1679</v>
      </c>
      <c r="E328">
        <f>8*60+57</f>
        <v>537</v>
      </c>
      <c r="F328">
        <f>9*60+17</f>
        <v>557</v>
      </c>
      <c r="G328">
        <f>9*60+20</f>
        <v>560</v>
      </c>
      <c r="H328">
        <f>8*60+30</f>
        <v>510</v>
      </c>
      <c r="I328">
        <v>112</v>
      </c>
      <c r="J328" t="s">
        <v>104</v>
      </c>
      <c r="K328" s="2" t="s">
        <v>537</v>
      </c>
      <c r="L328">
        <f>COUNTIF($C$2:C328, "&lt;&gt;")</f>
        <v>327</v>
      </c>
      <c r="N328">
        <f t="shared" si="8"/>
        <v>35.897435897435898</v>
      </c>
    </row>
    <row r="329" spans="1:14" x14ac:dyDescent="0.3">
      <c r="A329" s="3">
        <v>44371</v>
      </c>
      <c r="B329" t="s">
        <v>37</v>
      </c>
      <c r="C329" s="1">
        <v>3.11</v>
      </c>
      <c r="D329">
        <f>29*60+50</f>
        <v>1790</v>
      </c>
      <c r="E329">
        <f>9*60+34</f>
        <v>574</v>
      </c>
      <c r="F329">
        <f>9*60+34</f>
        <v>574</v>
      </c>
      <c r="G329">
        <f>9*60+49</f>
        <v>589</v>
      </c>
      <c r="H329">
        <f>9*60+22</f>
        <v>562</v>
      </c>
      <c r="I329">
        <v>68</v>
      </c>
      <c r="J329" t="s">
        <v>38</v>
      </c>
      <c r="K329" s="2" t="s">
        <v>539</v>
      </c>
      <c r="L329">
        <f>COUNTIF($C$2:C329, "&lt;&gt;")</f>
        <v>328</v>
      </c>
      <c r="N329">
        <f t="shared" si="8"/>
        <v>21.864951768488748</v>
      </c>
    </row>
    <row r="330" spans="1:14" x14ac:dyDescent="0.3">
      <c r="A330" s="3">
        <v>44372</v>
      </c>
      <c r="B330" t="s">
        <v>94</v>
      </c>
      <c r="C330" s="1">
        <v>17.61</v>
      </c>
      <c r="D330">
        <f>2*3600+54*60+43</f>
        <v>10483</v>
      </c>
      <c r="E330">
        <f>9*60+55</f>
        <v>595</v>
      </c>
      <c r="F330">
        <f>8*60+53</f>
        <v>533</v>
      </c>
      <c r="G330">
        <f>8*60+52</f>
        <v>532</v>
      </c>
      <c r="H330">
        <f>9*60+27</f>
        <v>567</v>
      </c>
      <c r="I330">
        <v>505</v>
      </c>
      <c r="J330" t="s">
        <v>94</v>
      </c>
      <c r="K330" s="2" t="s">
        <v>543</v>
      </c>
      <c r="L330">
        <f>COUNTIF($C$2:C330, "&lt;&gt;")</f>
        <v>329</v>
      </c>
      <c r="N330">
        <f t="shared" si="8"/>
        <v>28.676888131743329</v>
      </c>
    </row>
    <row r="331" spans="1:14" x14ac:dyDescent="0.3">
      <c r="A331" s="3">
        <v>44373</v>
      </c>
      <c r="B331" t="s">
        <v>33</v>
      </c>
      <c r="C331" s="1">
        <v>5.57</v>
      </c>
      <c r="D331">
        <f>56*60+34</f>
        <v>3394</v>
      </c>
      <c r="E331">
        <f>10*60+9</f>
        <v>609</v>
      </c>
      <c r="F331">
        <f>10*60+18</f>
        <v>618</v>
      </c>
      <c r="G331">
        <f>10*60+13</f>
        <v>613</v>
      </c>
      <c r="H331">
        <f>10*60+30</f>
        <v>630</v>
      </c>
      <c r="I331">
        <v>505</v>
      </c>
      <c r="J331" t="s">
        <v>94</v>
      </c>
      <c r="K331" s="2" t="s">
        <v>543</v>
      </c>
      <c r="L331">
        <f>COUNTIF($C$2:C331, "&lt;&gt;")</f>
        <v>330</v>
      </c>
      <c r="N331">
        <f t="shared" si="8"/>
        <v>90.664272890484739</v>
      </c>
    </row>
    <row r="332" spans="1:14" x14ac:dyDescent="0.3">
      <c r="A332" s="3">
        <v>44374</v>
      </c>
      <c r="B332" t="s">
        <v>102</v>
      </c>
      <c r="C332" s="1">
        <v>3.11</v>
      </c>
      <c r="D332">
        <f>31*60+51</f>
        <v>1911</v>
      </c>
      <c r="E332">
        <f>10*60+13</f>
        <v>613</v>
      </c>
      <c r="F332">
        <f>10*60+18</f>
        <v>618</v>
      </c>
      <c r="G332">
        <f>10*60+9</f>
        <v>609</v>
      </c>
      <c r="H332">
        <f>10*60+13</f>
        <v>613</v>
      </c>
      <c r="I332">
        <v>112</v>
      </c>
      <c r="J332" t="s">
        <v>104</v>
      </c>
      <c r="K332" s="2" t="s">
        <v>540</v>
      </c>
      <c r="L332">
        <f>COUNTIF($C$2:C332, "&lt;&gt;")</f>
        <v>331</v>
      </c>
      <c r="N332">
        <f t="shared" si="8"/>
        <v>36.012861736334408</v>
      </c>
    </row>
    <row r="333" spans="1:14" x14ac:dyDescent="0.3">
      <c r="A333" s="3">
        <v>44375</v>
      </c>
      <c r="B333" t="s">
        <v>20</v>
      </c>
      <c r="C333" s="1">
        <v>5.04</v>
      </c>
      <c r="D333">
        <f>47*60+44</f>
        <v>2864</v>
      </c>
      <c r="E333">
        <f>9*60+27</f>
        <v>567</v>
      </c>
      <c r="F333">
        <f>8*60+35</f>
        <v>515</v>
      </c>
      <c r="G333">
        <f>8*60+15</f>
        <v>495</v>
      </c>
      <c r="H333">
        <f>9*60+17</f>
        <v>557</v>
      </c>
      <c r="I333">
        <v>98</v>
      </c>
      <c r="J333" t="s">
        <v>21</v>
      </c>
      <c r="K333" s="2" t="s">
        <v>541</v>
      </c>
      <c r="L333">
        <f>COUNTIF($C$2:C333, "&lt;&gt;")</f>
        <v>332</v>
      </c>
      <c r="N333">
        <f t="shared" si="8"/>
        <v>19.444444444444443</v>
      </c>
    </row>
    <row r="334" spans="1:14" x14ac:dyDescent="0.3">
      <c r="A334" s="3">
        <v>44376</v>
      </c>
      <c r="B334" t="s">
        <v>29</v>
      </c>
      <c r="C334" s="1">
        <v>3.12</v>
      </c>
      <c r="D334">
        <f>30*60+24</f>
        <v>1824</v>
      </c>
      <c r="E334">
        <f>9*60+43</f>
        <v>583</v>
      </c>
      <c r="F334">
        <f>9*60+51</f>
        <v>591</v>
      </c>
      <c r="G334">
        <f>9*60+20</f>
        <v>560</v>
      </c>
      <c r="H334">
        <f>10*60+5</f>
        <v>605</v>
      </c>
      <c r="I334">
        <v>69</v>
      </c>
      <c r="J334" t="s">
        <v>30</v>
      </c>
      <c r="K334" s="2" t="s">
        <v>542</v>
      </c>
      <c r="L334">
        <f>COUNTIF($C$2:C334, "&lt;&gt;")</f>
        <v>333</v>
      </c>
      <c r="N334">
        <f t="shared" si="8"/>
        <v>22.115384615384613</v>
      </c>
    </row>
    <row r="335" spans="1:14" x14ac:dyDescent="0.3">
      <c r="A335" s="3">
        <v>44377</v>
      </c>
      <c r="B335" t="s">
        <v>33</v>
      </c>
      <c r="C335" s="1">
        <v>3.12</v>
      </c>
      <c r="D335">
        <f>24*60+24</f>
        <v>1464</v>
      </c>
      <c r="E335">
        <f>7*60+48</f>
        <v>468</v>
      </c>
      <c r="F335">
        <f>7*60+20</f>
        <v>440</v>
      </c>
      <c r="G335">
        <f>8*60+10</f>
        <v>490</v>
      </c>
      <c r="H335">
        <f>7*60+53</f>
        <v>473</v>
      </c>
      <c r="I335">
        <v>65</v>
      </c>
      <c r="J335" t="s">
        <v>34</v>
      </c>
      <c r="K335" s="2" t="s">
        <v>546</v>
      </c>
      <c r="L335">
        <f>COUNTIF($C$2:C335, "&lt;&gt;")</f>
        <v>334</v>
      </c>
      <c r="N335">
        <f t="shared" si="8"/>
        <v>20.833333333333332</v>
      </c>
    </row>
    <row r="336" spans="1:14" x14ac:dyDescent="0.3">
      <c r="A336" s="3">
        <v>44378</v>
      </c>
      <c r="B336" t="s">
        <v>37</v>
      </c>
      <c r="C336" s="1">
        <v>3.12</v>
      </c>
      <c r="D336">
        <f>30*60+5</f>
        <v>1805</v>
      </c>
      <c r="E336">
        <f>9*60+39</f>
        <v>579</v>
      </c>
      <c r="F336">
        <f>9*60+43</f>
        <v>583</v>
      </c>
      <c r="G336">
        <f>9*60+59</f>
        <v>599</v>
      </c>
      <c r="H336">
        <f>9*60+20</f>
        <v>560</v>
      </c>
      <c r="I336">
        <v>79</v>
      </c>
      <c r="J336" t="s">
        <v>38</v>
      </c>
      <c r="K336" s="2" t="s">
        <v>545</v>
      </c>
      <c r="L336">
        <f>COUNTIF($C$2:C336, "&lt;&gt;")</f>
        <v>335</v>
      </c>
      <c r="N336">
        <f t="shared" si="8"/>
        <v>25.320512820512821</v>
      </c>
    </row>
    <row r="337" spans="1:14" x14ac:dyDescent="0.3">
      <c r="A337" s="3">
        <v>44379</v>
      </c>
      <c r="B337" t="s">
        <v>102</v>
      </c>
      <c r="C337" s="1">
        <v>3.11</v>
      </c>
      <c r="D337">
        <f>27*60+20</f>
        <v>1640</v>
      </c>
      <c r="E337">
        <f>8*60+47</f>
        <v>527</v>
      </c>
      <c r="F337">
        <f>8*60+52</f>
        <v>532</v>
      </c>
      <c r="G337">
        <f>8*60+33</f>
        <v>513</v>
      </c>
      <c r="H337">
        <f>8*60+50</f>
        <v>530</v>
      </c>
      <c r="I337">
        <v>128</v>
      </c>
      <c r="J337" t="s">
        <v>104</v>
      </c>
      <c r="K337" s="2" t="s">
        <v>544</v>
      </c>
      <c r="L337">
        <f>COUNTIF($C$2:C337, "&lt;&gt;")</f>
        <v>336</v>
      </c>
      <c r="N337">
        <f t="shared" si="8"/>
        <v>41.157556270096464</v>
      </c>
    </row>
    <row r="338" spans="1:14" x14ac:dyDescent="0.3">
      <c r="A338" s="3">
        <v>44380</v>
      </c>
      <c r="B338" t="s">
        <v>552</v>
      </c>
      <c r="C338" s="1">
        <v>4.01</v>
      </c>
      <c r="D338">
        <f>40*60+3</f>
        <v>2403</v>
      </c>
      <c r="E338">
        <f>9*60+59</f>
        <v>599</v>
      </c>
      <c r="F338">
        <f>9*60+11</f>
        <v>551</v>
      </c>
      <c r="G338">
        <f>10*60+4</f>
        <v>604</v>
      </c>
      <c r="H338">
        <f>10*60+41</f>
        <v>641</v>
      </c>
      <c r="I338">
        <v>85</v>
      </c>
      <c r="J338" t="s">
        <v>553</v>
      </c>
      <c r="K338" s="2" t="s">
        <v>554</v>
      </c>
      <c r="L338">
        <f>COUNTIF($C$2:C338, "&lt;&gt;")</f>
        <v>337</v>
      </c>
      <c r="N338">
        <f t="shared" si="8"/>
        <v>21.197007481296758</v>
      </c>
    </row>
    <row r="339" spans="1:14" x14ac:dyDescent="0.3">
      <c r="A339" s="3">
        <v>44381</v>
      </c>
      <c r="B339" t="s">
        <v>102</v>
      </c>
      <c r="C339" s="1">
        <v>3.11</v>
      </c>
      <c r="D339">
        <f>29*60+17</f>
        <v>1757</v>
      </c>
      <c r="E339">
        <f>9*60+24</f>
        <v>564</v>
      </c>
      <c r="F339">
        <f>8*60+58</f>
        <v>538</v>
      </c>
      <c r="G339">
        <f>9*60+36</f>
        <v>576</v>
      </c>
      <c r="H339">
        <f>9*60+35</f>
        <v>575</v>
      </c>
      <c r="I339">
        <v>144</v>
      </c>
      <c r="J339" t="s">
        <v>104</v>
      </c>
      <c r="K339" s="2" t="s">
        <v>547</v>
      </c>
      <c r="L339">
        <f>COUNTIF($C$2:C339, "&lt;&gt;")</f>
        <v>338</v>
      </c>
      <c r="N339">
        <f t="shared" si="8"/>
        <v>46.30225080385852</v>
      </c>
    </row>
    <row r="340" spans="1:14" x14ac:dyDescent="0.3">
      <c r="A340" s="3">
        <v>44382</v>
      </c>
      <c r="B340" t="s">
        <v>102</v>
      </c>
      <c r="C340" s="1">
        <v>3.11</v>
      </c>
      <c r="D340">
        <f>28*60+48</f>
        <v>1728</v>
      </c>
      <c r="E340">
        <f>9*60+14</f>
        <v>554</v>
      </c>
      <c r="F340">
        <f>9*60+15</f>
        <v>555</v>
      </c>
      <c r="G340">
        <f>9*60+14</f>
        <v>554</v>
      </c>
      <c r="H340">
        <f>9*60+19</f>
        <v>559</v>
      </c>
      <c r="I340">
        <v>108</v>
      </c>
      <c r="J340" t="s">
        <v>104</v>
      </c>
      <c r="K340" s="2" t="s">
        <v>548</v>
      </c>
      <c r="L340">
        <f>COUNTIF($C$2:C340, "&lt;&gt;")</f>
        <v>339</v>
      </c>
      <c r="N340">
        <f t="shared" si="8"/>
        <v>34.726688102893895</v>
      </c>
    </row>
    <row r="341" spans="1:14" x14ac:dyDescent="0.3">
      <c r="A341" s="3">
        <v>44383</v>
      </c>
      <c r="B341" t="s">
        <v>29</v>
      </c>
      <c r="C341" s="1">
        <v>3.11</v>
      </c>
      <c r="D341">
        <f>23*60+3</f>
        <v>1383</v>
      </c>
      <c r="E341">
        <f>7*60+25</f>
        <v>445</v>
      </c>
      <c r="F341">
        <f>7*60+29</f>
        <v>449</v>
      </c>
      <c r="G341">
        <f>7*60+17</f>
        <v>437</v>
      </c>
      <c r="H341">
        <f>7*60+19</f>
        <v>439</v>
      </c>
      <c r="I341">
        <v>121</v>
      </c>
      <c r="J341" t="s">
        <v>30</v>
      </c>
      <c r="K341" s="2" t="s">
        <v>550</v>
      </c>
      <c r="L341">
        <f>COUNTIF($C$2:C341, "&lt;&gt;")</f>
        <v>340</v>
      </c>
      <c r="N341">
        <f t="shared" si="8"/>
        <v>38.906752411575567</v>
      </c>
    </row>
    <row r="342" spans="1:14" x14ac:dyDescent="0.3">
      <c r="A342" s="3">
        <v>44384</v>
      </c>
      <c r="B342" t="s">
        <v>33</v>
      </c>
      <c r="C342" s="1">
        <v>3.11</v>
      </c>
      <c r="D342">
        <f>23*60+6</f>
        <v>1386</v>
      </c>
      <c r="E342">
        <f>7*60+26</f>
        <v>446</v>
      </c>
      <c r="F342">
        <f>7*60+14</f>
        <v>434</v>
      </c>
      <c r="G342">
        <f>7*60+26</f>
        <v>446</v>
      </c>
      <c r="H342">
        <f>7*60+43</f>
        <v>463</v>
      </c>
      <c r="I342">
        <v>59</v>
      </c>
      <c r="J342" t="s">
        <v>34</v>
      </c>
      <c r="K342" s="2" t="s">
        <v>551</v>
      </c>
      <c r="L342">
        <f>COUNTIF($C$2:C342, "&lt;&gt;")</f>
        <v>341</v>
      </c>
      <c r="N342">
        <f t="shared" si="8"/>
        <v>18.971061093247588</v>
      </c>
    </row>
    <row r="343" spans="1:14" x14ac:dyDescent="0.3">
      <c r="A343" s="3">
        <v>44385</v>
      </c>
      <c r="B343" t="s">
        <v>37</v>
      </c>
      <c r="C343" s="1">
        <v>3.12</v>
      </c>
      <c r="D343">
        <f>22*60+13</f>
        <v>1333</v>
      </c>
      <c r="E343">
        <f>7*60+7</f>
        <v>427</v>
      </c>
      <c r="F343">
        <f>7*60+9</f>
        <v>429</v>
      </c>
      <c r="G343">
        <f>7*60+29</f>
        <v>449</v>
      </c>
      <c r="H343">
        <f>6*60+51</f>
        <v>411</v>
      </c>
      <c r="I343">
        <v>68</v>
      </c>
      <c r="J343" t="s">
        <v>38</v>
      </c>
      <c r="K343" s="2" t="s">
        <v>555</v>
      </c>
      <c r="L343">
        <f>COUNTIF($C$2:C343, "&lt;&gt;")</f>
        <v>342</v>
      </c>
      <c r="N343">
        <f t="shared" si="8"/>
        <v>21.794871794871796</v>
      </c>
    </row>
    <row r="344" spans="1:14" x14ac:dyDescent="0.3">
      <c r="A344" s="3">
        <v>44386</v>
      </c>
      <c r="B344" t="s">
        <v>102</v>
      </c>
      <c r="C344" s="1">
        <v>3.14</v>
      </c>
      <c r="D344">
        <f>27*60+57</f>
        <v>1677</v>
      </c>
      <c r="E344">
        <f>8*60+53</f>
        <v>533</v>
      </c>
      <c r="F344">
        <f>8*60+55</f>
        <v>535</v>
      </c>
      <c r="G344">
        <f>9*60+14</f>
        <v>554</v>
      </c>
      <c r="H344">
        <f>8*60+42</f>
        <v>522</v>
      </c>
      <c r="I344">
        <v>135</v>
      </c>
      <c r="J344" t="s">
        <v>104</v>
      </c>
      <c r="K344" s="2" t="s">
        <v>556</v>
      </c>
      <c r="L344">
        <f>COUNTIF($C$2:C344, "&lt;&gt;")</f>
        <v>343</v>
      </c>
      <c r="N344">
        <f t="shared" si="8"/>
        <v>42.993630573248403</v>
      </c>
    </row>
    <row r="345" spans="1:14" x14ac:dyDescent="0.3">
      <c r="A345" s="3">
        <v>44387</v>
      </c>
      <c r="B345" t="s">
        <v>9</v>
      </c>
      <c r="C345" s="1">
        <v>4.01</v>
      </c>
      <c r="D345">
        <f>32*60+47</f>
        <v>1967</v>
      </c>
      <c r="E345">
        <f>8*60+10</f>
        <v>490</v>
      </c>
      <c r="F345">
        <f>8*60+24</f>
        <v>504</v>
      </c>
      <c r="G345">
        <f>8*60+42</f>
        <v>522</v>
      </c>
      <c r="H345">
        <f>7*60+57</f>
        <v>477</v>
      </c>
      <c r="I345">
        <v>257</v>
      </c>
      <c r="J345" t="s">
        <v>261</v>
      </c>
      <c r="K345" s="2" t="s">
        <v>557</v>
      </c>
      <c r="L345">
        <f>COUNTIF($C$2:C345, "&lt;&gt;")</f>
        <v>344</v>
      </c>
      <c r="N345">
        <f t="shared" si="8"/>
        <v>64.089775561097255</v>
      </c>
    </row>
    <row r="346" spans="1:14" x14ac:dyDescent="0.3">
      <c r="A346" s="3">
        <v>44388</v>
      </c>
      <c r="B346" t="s">
        <v>102</v>
      </c>
      <c r="C346" s="1">
        <v>3.12</v>
      </c>
      <c r="D346">
        <f>30*60+7</f>
        <v>1807</v>
      </c>
      <c r="E346">
        <f>9*60+39</f>
        <v>579</v>
      </c>
      <c r="F346">
        <f>9*60+33</f>
        <v>573</v>
      </c>
      <c r="G346">
        <f>9*60+39</f>
        <v>579</v>
      </c>
      <c r="H346">
        <f>9*60+44</f>
        <v>584</v>
      </c>
      <c r="I346">
        <v>125</v>
      </c>
      <c r="J346" t="s">
        <v>104</v>
      </c>
      <c r="K346" s="2" t="s">
        <v>558</v>
      </c>
      <c r="L346">
        <f>COUNTIF($C$2:C346, "&lt;&gt;")</f>
        <v>345</v>
      </c>
      <c r="N346">
        <f t="shared" si="8"/>
        <v>40.064102564102562</v>
      </c>
    </row>
    <row r="347" spans="1:14" x14ac:dyDescent="0.3">
      <c r="A347" s="3">
        <v>44389</v>
      </c>
      <c r="B347" t="s">
        <v>20</v>
      </c>
      <c r="C347" s="1">
        <v>5.05</v>
      </c>
      <c r="D347">
        <f>51*60+7</f>
        <v>3067</v>
      </c>
      <c r="E347">
        <f>10*60+7</f>
        <v>607</v>
      </c>
      <c r="F347">
        <f>9*60+4</f>
        <v>544</v>
      </c>
      <c r="G347">
        <f>8*60+51</f>
        <v>531</v>
      </c>
      <c r="H347">
        <f>10*60+41</f>
        <v>641</v>
      </c>
      <c r="I347">
        <v>121</v>
      </c>
      <c r="J347" t="s">
        <v>21</v>
      </c>
      <c r="K347" s="2" t="s">
        <v>559</v>
      </c>
      <c r="L347">
        <f>COUNTIF($C$2:C347, "&lt;&gt;")</f>
        <v>346</v>
      </c>
      <c r="N347">
        <f t="shared" si="8"/>
        <v>23.96039603960396</v>
      </c>
    </row>
    <row r="348" spans="1:14" x14ac:dyDescent="0.3">
      <c r="A348" s="3">
        <v>44390</v>
      </c>
      <c r="B348" t="s">
        <v>29</v>
      </c>
      <c r="C348" s="1">
        <v>3.11</v>
      </c>
      <c r="D348">
        <f>30*60+45</f>
        <v>1845</v>
      </c>
      <c r="E348">
        <f>9*60+52</f>
        <v>592</v>
      </c>
      <c r="F348">
        <f>10*60+11</f>
        <v>611</v>
      </c>
      <c r="G348">
        <f>9*60+51</f>
        <v>591</v>
      </c>
      <c r="H348">
        <f>9*60+53</f>
        <v>593</v>
      </c>
      <c r="I348">
        <v>75</v>
      </c>
      <c r="J348" t="s">
        <v>30</v>
      </c>
      <c r="K348" s="2" t="s">
        <v>560</v>
      </c>
      <c r="L348">
        <f>COUNTIF($C$2:C348, "&lt;&gt;")</f>
        <v>347</v>
      </c>
      <c r="N348">
        <f t="shared" si="8"/>
        <v>24.115755627009648</v>
      </c>
    </row>
    <row r="349" spans="1:14" x14ac:dyDescent="0.3">
      <c r="A349" s="3">
        <v>44391</v>
      </c>
      <c r="B349" t="s">
        <v>33</v>
      </c>
      <c r="C349" s="1">
        <v>4.21</v>
      </c>
      <c r="D349">
        <f>31*60</f>
        <v>1860</v>
      </c>
      <c r="E349">
        <f>7*60+21</f>
        <v>441</v>
      </c>
      <c r="F349">
        <f>7*60+19</f>
        <v>439</v>
      </c>
      <c r="G349">
        <f>7*60+33</f>
        <v>453</v>
      </c>
      <c r="H349">
        <f>7*60+34</f>
        <v>454</v>
      </c>
      <c r="I349">
        <v>177</v>
      </c>
      <c r="J349" t="s">
        <v>123</v>
      </c>
      <c r="K349" s="2" t="s">
        <v>561</v>
      </c>
      <c r="L349">
        <f>COUNTIF($C$2:C349, "&lt;&gt;")</f>
        <v>348</v>
      </c>
      <c r="N349">
        <f t="shared" si="8"/>
        <v>42.042755344418055</v>
      </c>
    </row>
    <row r="350" spans="1:14" x14ac:dyDescent="0.3">
      <c r="A350" s="3">
        <v>44392</v>
      </c>
      <c r="B350" t="s">
        <v>37</v>
      </c>
      <c r="C350" s="1">
        <v>3.11</v>
      </c>
      <c r="D350">
        <f>25*60+25</f>
        <v>1525</v>
      </c>
      <c r="E350">
        <f>8*60+9</f>
        <v>489</v>
      </c>
      <c r="F350">
        <f>8*60+15</f>
        <v>495</v>
      </c>
      <c r="G350">
        <f>7*60+56</f>
        <v>476</v>
      </c>
      <c r="H350">
        <f>8*60+4</f>
        <v>484</v>
      </c>
      <c r="I350">
        <v>69</v>
      </c>
      <c r="J350" t="s">
        <v>38</v>
      </c>
      <c r="K350" s="2" t="s">
        <v>562</v>
      </c>
      <c r="L350">
        <f>COUNTIF($C$2:C350, "&lt;&gt;")</f>
        <v>349</v>
      </c>
      <c r="N350">
        <f t="shared" si="8"/>
        <v>22.186495176848876</v>
      </c>
    </row>
    <row r="351" spans="1:14" x14ac:dyDescent="0.3">
      <c r="A351" s="3">
        <v>44393</v>
      </c>
      <c r="B351" t="s">
        <v>102</v>
      </c>
      <c r="C351" s="1">
        <v>3.13</v>
      </c>
      <c r="D351">
        <f>28*60+54</f>
        <v>1734</v>
      </c>
      <c r="E351">
        <f>9*60+13</f>
        <v>553</v>
      </c>
      <c r="F351">
        <f>9*60+4</f>
        <v>544</v>
      </c>
      <c r="G351">
        <f>9*60+20</f>
        <v>560</v>
      </c>
      <c r="H351">
        <f>9*60+24</f>
        <v>564</v>
      </c>
      <c r="I351">
        <v>109</v>
      </c>
      <c r="J351" t="s">
        <v>104</v>
      </c>
      <c r="K351" s="2" t="s">
        <v>563</v>
      </c>
      <c r="L351">
        <f>COUNTIF($C$2:C351, "&lt;&gt;")</f>
        <v>350</v>
      </c>
      <c r="N351">
        <f t="shared" si="8"/>
        <v>34.824281150159749</v>
      </c>
    </row>
    <row r="352" spans="1:14" x14ac:dyDescent="0.3">
      <c r="A352" s="3">
        <v>44394</v>
      </c>
      <c r="C352" s="1">
        <v>3.11</v>
      </c>
      <c r="D352">
        <f>27*60+57</f>
        <v>1677</v>
      </c>
      <c r="E352">
        <f>8*60+58</f>
        <v>538</v>
      </c>
      <c r="F352">
        <f>8*60+16</f>
        <v>496</v>
      </c>
      <c r="G352">
        <f>8*60+13</f>
        <v>493</v>
      </c>
      <c r="H352">
        <f>10*60+12</f>
        <v>612</v>
      </c>
      <c r="I352">
        <v>66</v>
      </c>
      <c r="J352" t="s">
        <v>243</v>
      </c>
      <c r="K352" s="2" t="s">
        <v>564</v>
      </c>
      <c r="L352">
        <f>COUNTIF($C$2:C352, "&lt;&gt;")</f>
        <v>351</v>
      </c>
      <c r="N352">
        <f t="shared" si="8"/>
        <v>21.221864951768488</v>
      </c>
    </row>
    <row r="353" spans="1:14" x14ac:dyDescent="0.3">
      <c r="A353" s="3">
        <v>44395</v>
      </c>
      <c r="B353" t="s">
        <v>9</v>
      </c>
      <c r="C353" s="1">
        <v>7.09</v>
      </c>
      <c r="D353">
        <f>59*60+25</f>
        <v>3565</v>
      </c>
      <c r="E353">
        <f>8*60+23</f>
        <v>503</v>
      </c>
      <c r="F353">
        <f>9*60+10</f>
        <v>550</v>
      </c>
      <c r="G353">
        <f>8*60+31</f>
        <v>511</v>
      </c>
      <c r="H353">
        <f>8*60+28</f>
        <v>508</v>
      </c>
      <c r="I353">
        <v>244</v>
      </c>
      <c r="J353" t="s">
        <v>45</v>
      </c>
      <c r="K353" s="2" t="s">
        <v>565</v>
      </c>
      <c r="L353">
        <f>COUNTIF($C$2:C353, "&lt;&gt;")</f>
        <v>352</v>
      </c>
      <c r="N353">
        <f t="shared" si="8"/>
        <v>34.414668547249647</v>
      </c>
    </row>
    <row r="354" spans="1:14" x14ac:dyDescent="0.3">
      <c r="A354" s="3">
        <v>44396</v>
      </c>
      <c r="B354" t="s">
        <v>20</v>
      </c>
      <c r="C354" s="1">
        <v>3.18</v>
      </c>
      <c r="D354">
        <f>30*60+55</f>
        <v>1855</v>
      </c>
      <c r="E354">
        <f>9*60+43</f>
        <v>583</v>
      </c>
      <c r="F354">
        <f>9*60+39</f>
        <v>579</v>
      </c>
      <c r="G354">
        <f>10*60+33</f>
        <v>633</v>
      </c>
      <c r="H354">
        <f>9*60+9</f>
        <v>549</v>
      </c>
      <c r="I354">
        <v>66</v>
      </c>
      <c r="J354" t="s">
        <v>389</v>
      </c>
      <c r="K354" s="2" t="s">
        <v>566</v>
      </c>
      <c r="L354">
        <f>COUNTIF($C$2:C354, "&lt;&gt;")</f>
        <v>353</v>
      </c>
      <c r="N354">
        <f t="shared" si="8"/>
        <v>20.754716981132074</v>
      </c>
    </row>
    <row r="355" spans="1:14" x14ac:dyDescent="0.3">
      <c r="A355" s="3">
        <v>44397</v>
      </c>
      <c r="B355" t="s">
        <v>29</v>
      </c>
      <c r="C355" s="1">
        <v>3.12</v>
      </c>
      <c r="D355">
        <f>21*60+9</f>
        <v>1269</v>
      </c>
      <c r="E355">
        <f>6*60+47</f>
        <v>407</v>
      </c>
      <c r="F355">
        <f>6*60+42</f>
        <v>402</v>
      </c>
      <c r="G355">
        <f>6*60+54</f>
        <v>414</v>
      </c>
      <c r="H355">
        <f>6*60+39</f>
        <v>399</v>
      </c>
      <c r="I355">
        <v>68</v>
      </c>
      <c r="J355" t="s">
        <v>30</v>
      </c>
      <c r="K355" s="2" t="s">
        <v>567</v>
      </c>
      <c r="L355">
        <f>COUNTIF($C$2:C355, "&lt;&gt;")</f>
        <v>354</v>
      </c>
      <c r="N355">
        <f t="shared" si="8"/>
        <v>21.794871794871796</v>
      </c>
    </row>
    <row r="356" spans="1:14" x14ac:dyDescent="0.3">
      <c r="A356" s="3">
        <v>44398</v>
      </c>
      <c r="B356" t="s">
        <v>33</v>
      </c>
      <c r="C356" s="1">
        <v>3.14</v>
      </c>
      <c r="D356">
        <f>23*60+30</f>
        <v>1410</v>
      </c>
      <c r="E356">
        <f>7*60+28</f>
        <v>448</v>
      </c>
      <c r="F356">
        <f>7*60+14</f>
        <v>434</v>
      </c>
      <c r="G356">
        <f>7*60+13</f>
        <v>433</v>
      </c>
      <c r="H356">
        <f>8*60+6</f>
        <v>486</v>
      </c>
      <c r="I356">
        <v>61</v>
      </c>
      <c r="J356" t="s">
        <v>34</v>
      </c>
      <c r="K356" s="2" t="s">
        <v>572</v>
      </c>
      <c r="L356">
        <f>COUNTIF($C$2:C356, "&lt;&gt;")</f>
        <v>355</v>
      </c>
      <c r="N356">
        <f t="shared" si="8"/>
        <v>19.426751592356688</v>
      </c>
    </row>
    <row r="357" spans="1:14" x14ac:dyDescent="0.3">
      <c r="A357" s="3">
        <v>44399</v>
      </c>
      <c r="B357" t="s">
        <v>37</v>
      </c>
      <c r="C357" s="1">
        <v>3.13</v>
      </c>
      <c r="D357">
        <f>29*60+4</f>
        <v>1744</v>
      </c>
      <c r="E357">
        <f>9*60+17</f>
        <v>557</v>
      </c>
      <c r="F357">
        <f>10*60+5</f>
        <v>605</v>
      </c>
      <c r="G357">
        <f>9*60+4</f>
        <v>544</v>
      </c>
      <c r="H357">
        <f>8*60+46</f>
        <v>526</v>
      </c>
      <c r="I357">
        <v>79</v>
      </c>
      <c r="J357" t="s">
        <v>38</v>
      </c>
      <c r="K357" s="2" t="s">
        <v>577</v>
      </c>
      <c r="L357">
        <f>COUNTIF($C$2:C357, "&lt;&gt;")</f>
        <v>356</v>
      </c>
      <c r="N357">
        <f t="shared" si="8"/>
        <v>25.23961661341853</v>
      </c>
    </row>
    <row r="358" spans="1:14" x14ac:dyDescent="0.3">
      <c r="A358" s="3">
        <v>44400</v>
      </c>
      <c r="B358" t="s">
        <v>575</v>
      </c>
      <c r="C358" s="1">
        <v>3.11</v>
      </c>
      <c r="D358">
        <f>32*60+49</f>
        <v>1969</v>
      </c>
      <c r="E358">
        <f>10*60+32</f>
        <v>632</v>
      </c>
      <c r="F358">
        <f>10*60+10</f>
        <v>610</v>
      </c>
      <c r="G358">
        <f>10*60+27</f>
        <v>627</v>
      </c>
      <c r="H358">
        <f>10*60+56</f>
        <v>656</v>
      </c>
      <c r="I358">
        <v>124</v>
      </c>
      <c r="J358" t="s">
        <v>575</v>
      </c>
      <c r="K358" s="2" t="s">
        <v>576</v>
      </c>
      <c r="L358">
        <f>COUNTIF($C$2:C358, "&lt;&gt;")</f>
        <v>357</v>
      </c>
      <c r="N358">
        <f t="shared" si="8"/>
        <v>39.871382636655952</v>
      </c>
    </row>
    <row r="359" spans="1:14" x14ac:dyDescent="0.3">
      <c r="A359" s="3">
        <v>44401</v>
      </c>
      <c r="C359" s="1">
        <v>3.11</v>
      </c>
      <c r="D359">
        <f>29*60+52</f>
        <v>1792</v>
      </c>
      <c r="E359">
        <f>9*60+35</f>
        <v>575</v>
      </c>
      <c r="F359">
        <f>9*60+50</f>
        <v>590</v>
      </c>
      <c r="G359">
        <f>9*60+44</f>
        <v>584</v>
      </c>
      <c r="H359">
        <f>9*60+22</f>
        <v>562</v>
      </c>
      <c r="I359">
        <v>165</v>
      </c>
      <c r="J359" t="s">
        <v>573</v>
      </c>
      <c r="K359" s="2" t="s">
        <v>574</v>
      </c>
      <c r="L359">
        <f>COUNTIF($C$2:C359, "&lt;&gt;")</f>
        <v>358</v>
      </c>
      <c r="N359">
        <f t="shared" si="8"/>
        <v>53.054662379421224</v>
      </c>
    </row>
    <row r="360" spans="1:14" x14ac:dyDescent="0.3">
      <c r="A360" s="3">
        <v>44402</v>
      </c>
      <c r="B360" t="s">
        <v>9</v>
      </c>
      <c r="C360" s="1">
        <v>6.42</v>
      </c>
      <c r="D360">
        <f>49*60+59</f>
        <v>2999</v>
      </c>
      <c r="E360">
        <f>7*60+47</f>
        <v>467</v>
      </c>
      <c r="F360">
        <f>7*60+49</f>
        <v>469</v>
      </c>
      <c r="G360">
        <f>7*60+17</f>
        <v>437</v>
      </c>
      <c r="H360">
        <f>7*60+37</f>
        <v>457</v>
      </c>
      <c r="I360">
        <v>207</v>
      </c>
      <c r="J360" t="s">
        <v>12</v>
      </c>
      <c r="K360" s="2" t="s">
        <v>571</v>
      </c>
      <c r="L360">
        <f>COUNTIF($C$2:C360, "&lt;&gt;")</f>
        <v>359</v>
      </c>
      <c r="N360">
        <f t="shared" si="8"/>
        <v>32.242990654205606</v>
      </c>
    </row>
    <row r="361" spans="1:14" x14ac:dyDescent="0.3">
      <c r="A361" s="3">
        <v>44403</v>
      </c>
      <c r="B361" t="s">
        <v>20</v>
      </c>
      <c r="C361" s="1">
        <v>3.13</v>
      </c>
      <c r="D361">
        <f>28*60+23</f>
        <v>1703</v>
      </c>
      <c r="E361">
        <f>9*60+3</f>
        <v>543</v>
      </c>
      <c r="F361">
        <f>9*60+9</f>
        <v>549</v>
      </c>
      <c r="G361">
        <f>8*60+58</f>
        <v>538</v>
      </c>
      <c r="H361">
        <f>9*60+2</f>
        <v>542</v>
      </c>
      <c r="I361">
        <v>56</v>
      </c>
      <c r="J361" t="s">
        <v>389</v>
      </c>
      <c r="K361" s="2" t="s">
        <v>570</v>
      </c>
      <c r="L361">
        <f>COUNTIF($C$2:C361, "&lt;&gt;")</f>
        <v>360</v>
      </c>
      <c r="N361">
        <f t="shared" si="8"/>
        <v>17.891373801916934</v>
      </c>
    </row>
    <row r="362" spans="1:14" x14ac:dyDescent="0.3">
      <c r="A362" s="3">
        <v>44404</v>
      </c>
      <c r="B362" t="s">
        <v>94</v>
      </c>
      <c r="C362" s="1">
        <v>3.12</v>
      </c>
      <c r="D362">
        <f>29*60+57</f>
        <v>1797</v>
      </c>
      <c r="E362">
        <f>9*60+35</f>
        <v>575</v>
      </c>
      <c r="F362">
        <f>9*60+44</f>
        <v>584</v>
      </c>
      <c r="G362">
        <f>9*60+24</f>
        <v>564</v>
      </c>
      <c r="H362">
        <f>9*60+39</f>
        <v>579</v>
      </c>
      <c r="I362">
        <v>204</v>
      </c>
      <c r="J362" t="s">
        <v>94</v>
      </c>
      <c r="K362" s="2" t="s">
        <v>569</v>
      </c>
      <c r="L362">
        <f>COUNTIF($C$2:C362, "&lt;&gt;")</f>
        <v>361</v>
      </c>
      <c r="N362">
        <f t="shared" si="8"/>
        <v>65.384615384615387</v>
      </c>
    </row>
    <row r="363" spans="1:14" x14ac:dyDescent="0.3">
      <c r="A363" s="3">
        <v>44405</v>
      </c>
      <c r="B363" t="s">
        <v>33</v>
      </c>
      <c r="C363" s="1">
        <v>3.11</v>
      </c>
      <c r="D363">
        <f>23*60+12</f>
        <v>1392</v>
      </c>
      <c r="E363">
        <f>7*60+27</f>
        <v>447</v>
      </c>
      <c r="F363">
        <f>7*60+29</f>
        <v>449</v>
      </c>
      <c r="G363">
        <f>7*60+52</f>
        <v>472</v>
      </c>
      <c r="H363">
        <f>6*60+57</f>
        <v>417</v>
      </c>
      <c r="I363">
        <v>66</v>
      </c>
      <c r="J363" t="s">
        <v>34</v>
      </c>
      <c r="K363" s="2" t="s">
        <v>568</v>
      </c>
      <c r="L363">
        <f>COUNTIF($C$2:C363, "&lt;&gt;")</f>
        <v>362</v>
      </c>
      <c r="N363">
        <f t="shared" si="8"/>
        <v>21.221864951768488</v>
      </c>
    </row>
    <row r="364" spans="1:14" x14ac:dyDescent="0.3">
      <c r="A364" s="3">
        <v>44406</v>
      </c>
      <c r="B364" t="s">
        <v>37</v>
      </c>
      <c r="C364" s="1">
        <v>3.13</v>
      </c>
      <c r="D364">
        <f>28*60+54</f>
        <v>1734</v>
      </c>
      <c r="E364">
        <f>9*60+14</f>
        <v>554</v>
      </c>
      <c r="F364">
        <f>11*60+11</f>
        <v>671</v>
      </c>
      <c r="G364">
        <f>8*60+27</f>
        <v>507</v>
      </c>
      <c r="H364">
        <f>8*60+22</f>
        <v>502</v>
      </c>
      <c r="I364">
        <v>59</v>
      </c>
      <c r="J364" t="s">
        <v>38</v>
      </c>
      <c r="K364" s="2" t="s">
        <v>583</v>
      </c>
      <c r="L364">
        <f>COUNTIF($C$2:C364, "&lt;&gt;")</f>
        <v>363</v>
      </c>
      <c r="N364">
        <f t="shared" si="8"/>
        <v>18.849840255591054</v>
      </c>
    </row>
    <row r="365" spans="1:14" x14ac:dyDescent="0.3">
      <c r="A365" s="3">
        <v>44407</v>
      </c>
      <c r="B365" t="s">
        <v>580</v>
      </c>
      <c r="C365" s="1">
        <v>3.2</v>
      </c>
      <c r="D365">
        <f>27*60+50</f>
        <v>1670</v>
      </c>
      <c r="E365">
        <f>8*60+41</f>
        <v>521</v>
      </c>
      <c r="F365">
        <f>8*60+59</f>
        <v>539</v>
      </c>
      <c r="G365">
        <f>9*60+17</f>
        <v>557</v>
      </c>
      <c r="H365">
        <f>8*60+14</f>
        <v>494</v>
      </c>
      <c r="I365">
        <v>112</v>
      </c>
      <c r="J365" t="s">
        <v>581</v>
      </c>
      <c r="K365" s="2" t="s">
        <v>582</v>
      </c>
      <c r="L365">
        <f>COUNTIF($C$2:C365, "&lt;&gt;")</f>
        <v>364</v>
      </c>
      <c r="N365">
        <f t="shared" si="8"/>
        <v>35</v>
      </c>
    </row>
    <row r="366" spans="1:14" x14ac:dyDescent="0.3">
      <c r="A366" s="3">
        <v>44408</v>
      </c>
      <c r="B366" t="s">
        <v>102</v>
      </c>
      <c r="C366" s="1">
        <v>3.12</v>
      </c>
      <c r="D366">
        <f>24*60+58</f>
        <v>1498</v>
      </c>
      <c r="E366">
        <f>8*60</f>
        <v>480</v>
      </c>
      <c r="F366">
        <f>8*60+10</f>
        <v>490</v>
      </c>
      <c r="G366">
        <f>7*60+50</f>
        <v>470</v>
      </c>
      <c r="H366">
        <f>8*60+6</f>
        <v>486</v>
      </c>
      <c r="I366">
        <v>107</v>
      </c>
      <c r="J366" t="s">
        <v>104</v>
      </c>
      <c r="K366" s="2" t="s">
        <v>579</v>
      </c>
      <c r="L366">
        <f>COUNTIF($C$2:C366, "&lt;&gt;")</f>
        <v>365</v>
      </c>
      <c r="N366">
        <f t="shared" si="8"/>
        <v>34.294871794871796</v>
      </c>
    </row>
    <row r="367" spans="1:14" x14ac:dyDescent="0.3">
      <c r="A367" s="3">
        <v>44409</v>
      </c>
      <c r="B367" t="s">
        <v>9</v>
      </c>
      <c r="C367" s="1">
        <v>11.43</v>
      </c>
      <c r="D367">
        <f>1*3600+41*60+21</f>
        <v>6081</v>
      </c>
      <c r="E367">
        <f>8*60+52</f>
        <v>532</v>
      </c>
      <c r="F367">
        <f>9*60+12</f>
        <v>552</v>
      </c>
      <c r="G367">
        <f>9*60+5</f>
        <v>545</v>
      </c>
      <c r="H367">
        <f>8*60+44</f>
        <v>524</v>
      </c>
      <c r="I367">
        <v>213</v>
      </c>
      <c r="J367" t="s">
        <v>225</v>
      </c>
      <c r="K367" s="2" t="s">
        <v>578</v>
      </c>
      <c r="L367">
        <f>COUNTIF($C$2:C367, "&lt;&gt;")</f>
        <v>366</v>
      </c>
      <c r="N367">
        <f t="shared" si="8"/>
        <v>18.635170603674542</v>
      </c>
    </row>
    <row r="368" spans="1:14" x14ac:dyDescent="0.3">
      <c r="A368" s="3">
        <v>44410</v>
      </c>
      <c r="B368" t="s">
        <v>102</v>
      </c>
      <c r="C368" s="1">
        <v>3.13</v>
      </c>
      <c r="D368">
        <f>27*60+42</f>
        <v>1662</v>
      </c>
      <c r="E368">
        <f>8*60+50</f>
        <v>530</v>
      </c>
      <c r="F368">
        <f>9*60+9</f>
        <v>549</v>
      </c>
      <c r="G368">
        <f>8*60+43</f>
        <v>523</v>
      </c>
      <c r="H368">
        <f>8*60+54</f>
        <v>534</v>
      </c>
      <c r="I368">
        <v>115</v>
      </c>
      <c r="J368" t="s">
        <v>104</v>
      </c>
      <c r="K368" s="2" t="s">
        <v>585</v>
      </c>
      <c r="L368">
        <f>COUNTIF($C$2:C368, "&lt;&gt;")</f>
        <v>367</v>
      </c>
      <c r="N368">
        <f t="shared" si="8"/>
        <v>36.741214057507989</v>
      </c>
    </row>
    <row r="369" spans="1:14" x14ac:dyDescent="0.3">
      <c r="A369" s="3">
        <v>44411</v>
      </c>
      <c r="B369" t="s">
        <v>102</v>
      </c>
      <c r="C369" s="1">
        <v>3.16</v>
      </c>
      <c r="D369">
        <f>30*60+6</f>
        <v>1806</v>
      </c>
      <c r="E369">
        <f>9*60+31</f>
        <v>571</v>
      </c>
      <c r="F369">
        <f>9*60+29</f>
        <v>569</v>
      </c>
      <c r="G369">
        <f>9*60+3</f>
        <v>543</v>
      </c>
      <c r="H369">
        <f>9*60+48</f>
        <v>588</v>
      </c>
      <c r="I369">
        <v>121</v>
      </c>
      <c r="J369" t="s">
        <v>104</v>
      </c>
      <c r="K369" s="2" t="s">
        <v>586</v>
      </c>
      <c r="L369">
        <f>COUNTIF($C$2:C369, "&lt;&gt;")</f>
        <v>368</v>
      </c>
      <c r="N369">
        <f t="shared" si="8"/>
        <v>38.291139240506325</v>
      </c>
    </row>
    <row r="370" spans="1:14" x14ac:dyDescent="0.3">
      <c r="A370" s="3">
        <v>44412</v>
      </c>
      <c r="B370" t="s">
        <v>33</v>
      </c>
      <c r="C370" s="1">
        <v>3.12</v>
      </c>
      <c r="D370">
        <f>21*60+40</f>
        <v>1300</v>
      </c>
      <c r="E370">
        <f>6*60+56</f>
        <v>416</v>
      </c>
      <c r="F370">
        <f>7*60+2</f>
        <v>422</v>
      </c>
      <c r="G370">
        <f>6*60+59</f>
        <v>419</v>
      </c>
      <c r="H370">
        <f>6*60+55</f>
        <v>415</v>
      </c>
      <c r="I370">
        <v>59</v>
      </c>
      <c r="J370" t="s">
        <v>34</v>
      </c>
      <c r="K370" s="2" t="s">
        <v>587</v>
      </c>
      <c r="L370">
        <f>COUNTIF($C$2:C370, "&lt;&gt;")</f>
        <v>369</v>
      </c>
      <c r="N370">
        <f t="shared" si="8"/>
        <v>18.910256410256409</v>
      </c>
    </row>
    <row r="371" spans="1:14" x14ac:dyDescent="0.3">
      <c r="A371" s="3">
        <v>44413</v>
      </c>
      <c r="B371" t="s">
        <v>37</v>
      </c>
      <c r="C371" s="1">
        <v>3.12</v>
      </c>
      <c r="D371">
        <f>30*60+48</f>
        <v>1848</v>
      </c>
      <c r="E371">
        <f>9*60+51</f>
        <v>591</v>
      </c>
      <c r="F371">
        <f>10*60+47</f>
        <v>647</v>
      </c>
      <c r="G371">
        <f>9*60+45</f>
        <v>585</v>
      </c>
      <c r="H371">
        <f>9*60+14</f>
        <v>554</v>
      </c>
      <c r="I371">
        <v>92</v>
      </c>
      <c r="J371" t="s">
        <v>38</v>
      </c>
      <c r="K371" s="2" t="s">
        <v>590</v>
      </c>
      <c r="L371">
        <f>COUNTIF($C$2:C371, "&lt;&gt;")</f>
        <v>370</v>
      </c>
      <c r="N371">
        <f t="shared" si="8"/>
        <v>29.487179487179485</v>
      </c>
    </row>
    <row r="372" spans="1:14" x14ac:dyDescent="0.3">
      <c r="A372" s="3">
        <v>44414</v>
      </c>
      <c r="B372" t="s">
        <v>102</v>
      </c>
      <c r="C372" s="1">
        <v>3.13</v>
      </c>
      <c r="D372">
        <f>28*60+30</f>
        <v>1710</v>
      </c>
      <c r="E372">
        <f>9*60+6</f>
        <v>546</v>
      </c>
      <c r="F372">
        <f>8*60+39</f>
        <v>519</v>
      </c>
      <c r="G372">
        <f>9*60+16</f>
        <v>556</v>
      </c>
      <c r="H372">
        <f>9*60+26</f>
        <v>566</v>
      </c>
      <c r="I372">
        <v>115</v>
      </c>
      <c r="J372" t="s">
        <v>104</v>
      </c>
      <c r="K372" s="2" t="s">
        <v>589</v>
      </c>
      <c r="L372">
        <f>COUNTIF($C$2:C372, "&lt;&gt;")</f>
        <v>371</v>
      </c>
      <c r="N372">
        <f t="shared" si="8"/>
        <v>36.741214057507989</v>
      </c>
    </row>
    <row r="373" spans="1:14" x14ac:dyDescent="0.3">
      <c r="A373" s="3">
        <v>44415</v>
      </c>
      <c r="B373" t="s">
        <v>591</v>
      </c>
      <c r="C373" s="1">
        <v>3.13</v>
      </c>
      <c r="D373">
        <f>22*60+23</f>
        <v>1343</v>
      </c>
      <c r="E373">
        <f>7*60+8</f>
        <v>428</v>
      </c>
      <c r="F373">
        <f>7*60+19</f>
        <v>439</v>
      </c>
      <c r="G373">
        <f>7*60+16</f>
        <v>436</v>
      </c>
      <c r="H373">
        <f>7*60+7</f>
        <v>427</v>
      </c>
      <c r="I373">
        <v>46</v>
      </c>
      <c r="J373" t="s">
        <v>592</v>
      </c>
      <c r="K373" s="2" t="s">
        <v>593</v>
      </c>
      <c r="L373">
        <f>COUNTIF($C$2:C373, "&lt;&gt;")</f>
        <v>372</v>
      </c>
      <c r="N373">
        <f t="shared" si="8"/>
        <v>14.696485623003195</v>
      </c>
    </row>
    <row r="374" spans="1:14" x14ac:dyDescent="0.3">
      <c r="A374" s="3">
        <v>44416</v>
      </c>
      <c r="B374" t="s">
        <v>9</v>
      </c>
      <c r="C374" s="1">
        <v>8.02</v>
      </c>
      <c r="D374">
        <f>1*3600+5*60+10</f>
        <v>3910</v>
      </c>
      <c r="E374">
        <f>8*60+7</f>
        <v>487</v>
      </c>
      <c r="F374">
        <f>8*60+54</f>
        <v>534</v>
      </c>
      <c r="G374">
        <f>8*60+58</f>
        <v>538</v>
      </c>
      <c r="H374">
        <f>8*60+46</f>
        <v>526</v>
      </c>
      <c r="I374">
        <v>535</v>
      </c>
      <c r="J374" t="s">
        <v>261</v>
      </c>
      <c r="K374" s="2" t="s">
        <v>588</v>
      </c>
      <c r="L374">
        <f>COUNTIF($C$2:C374, "&lt;&gt;")</f>
        <v>373</v>
      </c>
      <c r="N374">
        <f t="shared" si="8"/>
        <v>66.708229426433917</v>
      </c>
    </row>
    <row r="375" spans="1:14" x14ac:dyDescent="0.3">
      <c r="A375" s="3">
        <v>44417</v>
      </c>
      <c r="B375" t="s">
        <v>20</v>
      </c>
      <c r="C375" s="1">
        <v>3.11</v>
      </c>
      <c r="D375">
        <f>31*60+4</f>
        <v>1864</v>
      </c>
      <c r="E375">
        <f>9*60+58</f>
        <v>598</v>
      </c>
      <c r="F375">
        <f>10*60+33</f>
        <v>633</v>
      </c>
      <c r="G375">
        <f>10*60+19</f>
        <v>619</v>
      </c>
      <c r="H375">
        <f>9*60+13</f>
        <v>553</v>
      </c>
      <c r="I375">
        <v>57</v>
      </c>
      <c r="J375" t="s">
        <v>389</v>
      </c>
      <c r="K375" s="2" t="s">
        <v>597</v>
      </c>
      <c r="L375">
        <f>COUNTIF($C$2:C375, "&lt;&gt;")</f>
        <v>374</v>
      </c>
      <c r="N375">
        <f t="shared" si="8"/>
        <v>18.327974276527332</v>
      </c>
    </row>
    <row r="376" spans="1:14" x14ac:dyDescent="0.3">
      <c r="A376" s="3">
        <v>44418</v>
      </c>
      <c r="C376" s="1">
        <v>3.11</v>
      </c>
      <c r="D376">
        <f>30*60+6</f>
        <v>1806</v>
      </c>
      <c r="E376">
        <f>9*60+39</f>
        <v>579</v>
      </c>
      <c r="F376">
        <f>10*60+17</f>
        <v>617</v>
      </c>
      <c r="G376">
        <f>9*60+46</f>
        <v>586</v>
      </c>
      <c r="H376">
        <f>9*60+17</f>
        <v>557</v>
      </c>
      <c r="I376">
        <v>119</v>
      </c>
      <c r="J376" t="s">
        <v>573</v>
      </c>
      <c r="K376" s="2" t="s">
        <v>598</v>
      </c>
      <c r="L376">
        <f>COUNTIF($C$2:C376, "&lt;&gt;")</f>
        <v>375</v>
      </c>
      <c r="N376">
        <f t="shared" si="8"/>
        <v>38.263665594855304</v>
      </c>
    </row>
    <row r="377" spans="1:14" x14ac:dyDescent="0.3">
      <c r="A377" s="3">
        <v>44419</v>
      </c>
      <c r="B377" t="s">
        <v>33</v>
      </c>
      <c r="C377" s="1">
        <v>3.11</v>
      </c>
      <c r="D377">
        <f>23*60+20</f>
        <v>1400</v>
      </c>
      <c r="E377">
        <f>7*60+29</f>
        <v>449</v>
      </c>
      <c r="F377">
        <f>7*60+27</f>
        <v>447</v>
      </c>
      <c r="G377">
        <f>7*60+34</f>
        <v>454</v>
      </c>
      <c r="H377">
        <f>7*60+20</f>
        <v>440</v>
      </c>
      <c r="I377">
        <v>157</v>
      </c>
      <c r="J377" t="s">
        <v>435</v>
      </c>
      <c r="K377" s="2" t="s">
        <v>599</v>
      </c>
      <c r="L377">
        <f>COUNTIF($C$2:C377, "&lt;&gt;")</f>
        <v>376</v>
      </c>
      <c r="N377">
        <f t="shared" si="8"/>
        <v>50.482315112540192</v>
      </c>
    </row>
    <row r="378" spans="1:14" x14ac:dyDescent="0.3">
      <c r="A378" s="3">
        <v>44420</v>
      </c>
      <c r="B378" t="s">
        <v>102</v>
      </c>
      <c r="C378" s="1">
        <v>3.11</v>
      </c>
      <c r="D378">
        <f>28*60+23</f>
        <v>1703</v>
      </c>
      <c r="E378">
        <f>9*60+7</f>
        <v>547</v>
      </c>
      <c r="F378">
        <f>9*60+8</f>
        <v>548</v>
      </c>
      <c r="G378">
        <f>9*60+8</f>
        <v>548</v>
      </c>
      <c r="H378">
        <f>9*60+21</f>
        <v>561</v>
      </c>
      <c r="I378">
        <v>136</v>
      </c>
      <c r="J378" t="s">
        <v>104</v>
      </c>
      <c r="K378" s="2" t="s">
        <v>600</v>
      </c>
      <c r="L378">
        <f>COUNTIF($C$2:C378, "&lt;&gt;")</f>
        <v>377</v>
      </c>
      <c r="N378">
        <f t="shared" si="8"/>
        <v>43.729903536977496</v>
      </c>
    </row>
    <row r="379" spans="1:14" x14ac:dyDescent="0.3">
      <c r="A379" s="3">
        <v>44421</v>
      </c>
      <c r="B379" t="s">
        <v>102</v>
      </c>
      <c r="C379" s="1">
        <v>3.12</v>
      </c>
      <c r="D379">
        <f>25*60+47</f>
        <v>1547</v>
      </c>
      <c r="E379">
        <f>8*60+16</f>
        <v>496</v>
      </c>
      <c r="F379">
        <f>8*60+32</f>
        <v>512</v>
      </c>
      <c r="G379">
        <f>8*60+14</f>
        <v>494</v>
      </c>
      <c r="H379">
        <f>8*60+16</f>
        <v>496</v>
      </c>
      <c r="I379">
        <v>105</v>
      </c>
      <c r="J379" t="s">
        <v>104</v>
      </c>
      <c r="K379" s="2" t="s">
        <v>601</v>
      </c>
      <c r="L379">
        <f>COUNTIF($C$2:C379, "&lt;&gt;")</f>
        <v>378</v>
      </c>
      <c r="N379">
        <f t="shared" si="8"/>
        <v>33.653846153846153</v>
      </c>
    </row>
    <row r="380" spans="1:14" x14ac:dyDescent="0.3">
      <c r="A380" s="3">
        <v>44422</v>
      </c>
      <c r="B380" t="s">
        <v>97</v>
      </c>
      <c r="C380" s="1">
        <v>4.0199999999999996</v>
      </c>
      <c r="D380">
        <f>42*60+41</f>
        <v>2561</v>
      </c>
      <c r="E380">
        <f>10*60+37</f>
        <v>637</v>
      </c>
      <c r="F380">
        <f>11*60+5</f>
        <v>665</v>
      </c>
      <c r="G380">
        <f>10*60+54</f>
        <v>654</v>
      </c>
      <c r="H380">
        <f>10*60+21</f>
        <v>621</v>
      </c>
      <c r="I380">
        <v>112</v>
      </c>
      <c r="J380" t="s">
        <v>97</v>
      </c>
      <c r="K380" s="2" t="s">
        <v>602</v>
      </c>
      <c r="L380">
        <f>COUNTIF($C$2:C380, "&lt;&gt;")</f>
        <v>379</v>
      </c>
      <c r="N380">
        <f t="shared" si="8"/>
        <v>27.86069651741294</v>
      </c>
    </row>
    <row r="381" spans="1:14" x14ac:dyDescent="0.3">
      <c r="A381" s="3">
        <v>44423</v>
      </c>
      <c r="B381" t="s">
        <v>9</v>
      </c>
      <c r="C381" s="1">
        <v>7.34</v>
      </c>
      <c r="D381">
        <f>57*60+22</f>
        <v>3442</v>
      </c>
      <c r="E381">
        <f>7*60+49</f>
        <v>469</v>
      </c>
      <c r="F381">
        <f>7*60+54</f>
        <v>474</v>
      </c>
      <c r="G381">
        <f>7*60+51</f>
        <v>471</v>
      </c>
      <c r="H381">
        <f>7*60+44</f>
        <v>464</v>
      </c>
      <c r="I381">
        <v>187</v>
      </c>
      <c r="J381" t="s">
        <v>12</v>
      </c>
      <c r="K381" s="2" t="s">
        <v>603</v>
      </c>
      <c r="L381">
        <f>COUNTIF($C$2:C381, "&lt;&gt;")</f>
        <v>380</v>
      </c>
      <c r="N381">
        <f t="shared" si="8"/>
        <v>25.47683923705722</v>
      </c>
    </row>
    <row r="382" spans="1:14" x14ac:dyDescent="0.3">
      <c r="A382" s="3">
        <v>44424</v>
      </c>
      <c r="C382" s="1">
        <v>3.11</v>
      </c>
      <c r="D382">
        <f>30*60+3</f>
        <v>1803</v>
      </c>
      <c r="E382">
        <f>9*60+38</f>
        <v>578</v>
      </c>
      <c r="F382">
        <f>9*60+48</f>
        <v>588</v>
      </c>
      <c r="G382">
        <f>9*60+26</f>
        <v>566</v>
      </c>
      <c r="H382">
        <f>9*60+36</f>
        <v>576</v>
      </c>
      <c r="I382">
        <v>164</v>
      </c>
      <c r="J382" t="s">
        <v>573</v>
      </c>
      <c r="K382" s="2" t="s">
        <v>604</v>
      </c>
      <c r="L382">
        <f>COUNTIF($C$2:C382, "&lt;&gt;")</f>
        <v>381</v>
      </c>
      <c r="N382">
        <f t="shared" ref="N382:N445" si="9">I382/C382</f>
        <v>52.733118971061096</v>
      </c>
    </row>
    <row r="383" spans="1:14" x14ac:dyDescent="0.3">
      <c r="A383" s="3">
        <v>44425</v>
      </c>
      <c r="B383" t="s">
        <v>102</v>
      </c>
      <c r="C383" s="1">
        <v>3.12</v>
      </c>
      <c r="D383">
        <f>28*60+10</f>
        <v>1690</v>
      </c>
      <c r="E383">
        <f>9*60+1</f>
        <v>541</v>
      </c>
      <c r="F383">
        <f>8*60+53</f>
        <v>533</v>
      </c>
      <c r="G383">
        <f>9*60+3</f>
        <v>543</v>
      </c>
      <c r="H383">
        <f>9*60+18</f>
        <v>558</v>
      </c>
      <c r="I383">
        <v>105</v>
      </c>
      <c r="J383" t="s">
        <v>104</v>
      </c>
      <c r="K383" s="2" t="s">
        <v>596</v>
      </c>
      <c r="L383">
        <f>COUNTIF($C$2:C383, "&lt;&gt;")</f>
        <v>382</v>
      </c>
      <c r="N383">
        <f t="shared" si="9"/>
        <v>33.653846153846153</v>
      </c>
    </row>
    <row r="384" spans="1:14" x14ac:dyDescent="0.3">
      <c r="A384" s="3">
        <v>44426</v>
      </c>
      <c r="B384" t="s">
        <v>33</v>
      </c>
      <c r="C384" s="1">
        <v>3.13</v>
      </c>
      <c r="D384">
        <f>22*60+52</f>
        <v>1372</v>
      </c>
      <c r="E384">
        <f>7*60+17</f>
        <v>437</v>
      </c>
      <c r="F384">
        <f>7*60+13</f>
        <v>433</v>
      </c>
      <c r="G384">
        <f>7*60+9</f>
        <v>429</v>
      </c>
      <c r="H384">
        <f>7*60+44</f>
        <v>464</v>
      </c>
      <c r="I384">
        <v>67</v>
      </c>
      <c r="J384" t="s">
        <v>34</v>
      </c>
      <c r="K384" s="2" t="s">
        <v>595</v>
      </c>
      <c r="L384">
        <f>COUNTIF($C$2:C384, "&lt;&gt;")</f>
        <v>383</v>
      </c>
      <c r="N384">
        <f t="shared" si="9"/>
        <v>21.405750798722046</v>
      </c>
    </row>
    <row r="385" spans="1:14" x14ac:dyDescent="0.3">
      <c r="A385" s="3">
        <v>44427</v>
      </c>
      <c r="B385" t="s">
        <v>102</v>
      </c>
      <c r="C385" s="1">
        <v>3.11</v>
      </c>
      <c r="D385">
        <f>29*60+31</f>
        <v>1771</v>
      </c>
      <c r="E385">
        <f>9*60+28</f>
        <v>568</v>
      </c>
      <c r="F385">
        <f>8*60+53</f>
        <v>533</v>
      </c>
      <c r="G385">
        <f>9*60+3</f>
        <v>543</v>
      </c>
      <c r="H385">
        <f>9*60+18</f>
        <v>558</v>
      </c>
      <c r="I385">
        <v>105</v>
      </c>
      <c r="J385" t="s">
        <v>104</v>
      </c>
      <c r="K385" s="2" t="s">
        <v>594</v>
      </c>
      <c r="L385">
        <f>COUNTIF($C$2:C385, "&lt;&gt;")</f>
        <v>384</v>
      </c>
      <c r="N385">
        <f t="shared" si="9"/>
        <v>33.762057877813504</v>
      </c>
    </row>
    <row r="386" spans="1:14" x14ac:dyDescent="0.3">
      <c r="A386" s="3">
        <v>44428</v>
      </c>
      <c r="B386" t="s">
        <v>94</v>
      </c>
      <c r="C386" s="1">
        <v>17.57</v>
      </c>
      <c r="D386">
        <f>2*3600+44*60+23</f>
        <v>9863</v>
      </c>
      <c r="E386">
        <f>9*60+21</f>
        <v>561</v>
      </c>
      <c r="F386">
        <f>8*60+38</f>
        <v>518</v>
      </c>
      <c r="G386">
        <f>8*60+48</f>
        <v>528</v>
      </c>
      <c r="H386">
        <f>8*60+45</f>
        <v>525</v>
      </c>
      <c r="I386">
        <v>542</v>
      </c>
      <c r="J386" t="s">
        <v>94</v>
      </c>
      <c r="K386" s="2" t="s">
        <v>605</v>
      </c>
      <c r="L386">
        <f>COUNTIF($C$2:C386, "&lt;&gt;")</f>
        <v>385</v>
      </c>
      <c r="N386">
        <f t="shared" si="9"/>
        <v>30.848036425725667</v>
      </c>
    </row>
    <row r="387" spans="1:14" x14ac:dyDescent="0.3">
      <c r="A387" s="3">
        <v>44429</v>
      </c>
      <c r="B387" t="s">
        <v>33</v>
      </c>
      <c r="C387" s="1">
        <v>3.13</v>
      </c>
      <c r="D387">
        <f>32*60+4</f>
        <v>1924</v>
      </c>
      <c r="E387">
        <f>10*60+13</f>
        <v>613</v>
      </c>
      <c r="F387">
        <f>10*60+11</f>
        <v>611</v>
      </c>
      <c r="G387">
        <f>10*60</f>
        <v>600</v>
      </c>
      <c r="H387">
        <f>10*60+28</f>
        <v>628</v>
      </c>
      <c r="I387">
        <v>92</v>
      </c>
      <c r="J387" t="s">
        <v>34</v>
      </c>
      <c r="K387" s="2" t="s">
        <v>610</v>
      </c>
      <c r="L387">
        <f>COUNTIF($C$2:C387, "&lt;&gt;")</f>
        <v>386</v>
      </c>
      <c r="N387">
        <f t="shared" si="9"/>
        <v>29.39297124600639</v>
      </c>
    </row>
    <row r="388" spans="1:14" x14ac:dyDescent="0.3">
      <c r="A388" s="3">
        <v>44430</v>
      </c>
      <c r="B388" t="s">
        <v>102</v>
      </c>
      <c r="C388" s="1">
        <v>3.3</v>
      </c>
      <c r="D388">
        <f>31*60+46</f>
        <v>1906</v>
      </c>
      <c r="E388">
        <f>9*60+38</f>
        <v>578</v>
      </c>
      <c r="F388">
        <f>9*60+43</f>
        <v>583</v>
      </c>
      <c r="G388">
        <f>9*60+43</f>
        <v>583</v>
      </c>
      <c r="H388">
        <f>9*60+37</f>
        <v>577</v>
      </c>
      <c r="I388">
        <v>118</v>
      </c>
      <c r="J388" t="s">
        <v>104</v>
      </c>
      <c r="K388" s="2" t="s">
        <v>609</v>
      </c>
      <c r="L388">
        <f>COUNTIF($C$2:C388, "&lt;&gt;")</f>
        <v>387</v>
      </c>
      <c r="N388">
        <f t="shared" si="9"/>
        <v>35.757575757575758</v>
      </c>
    </row>
    <row r="389" spans="1:14" x14ac:dyDescent="0.3">
      <c r="A389" s="3">
        <v>44431</v>
      </c>
      <c r="B389" t="s">
        <v>20</v>
      </c>
      <c r="C389" s="1">
        <v>5.03</v>
      </c>
      <c r="D389">
        <f>40*60+11</f>
        <v>2411</v>
      </c>
      <c r="E389">
        <f>7*60+59</f>
        <v>479</v>
      </c>
      <c r="F389">
        <f>8*60+19</f>
        <v>499</v>
      </c>
      <c r="G389">
        <f>7*60+53</f>
        <v>473</v>
      </c>
      <c r="H389">
        <f>8*60+7</f>
        <v>487</v>
      </c>
      <c r="I389">
        <v>93</v>
      </c>
      <c r="J389" t="s">
        <v>21</v>
      </c>
      <c r="K389" s="2" t="s">
        <v>608</v>
      </c>
      <c r="L389">
        <f>COUNTIF($C$2:C389, "&lt;&gt;")</f>
        <v>388</v>
      </c>
      <c r="N389">
        <f t="shared" si="9"/>
        <v>18.489065606361827</v>
      </c>
    </row>
    <row r="390" spans="1:14" x14ac:dyDescent="0.3">
      <c r="A390" s="3">
        <v>44432</v>
      </c>
      <c r="B390" t="s">
        <v>606</v>
      </c>
      <c r="C390" s="1">
        <v>3.32</v>
      </c>
      <c r="D390">
        <f>28*60</f>
        <v>1680</v>
      </c>
      <c r="E390">
        <f>8*60+25</f>
        <v>505</v>
      </c>
      <c r="F390">
        <f>8*60+53</f>
        <v>533</v>
      </c>
      <c r="G390">
        <f>8*60+14</f>
        <v>494</v>
      </c>
      <c r="H390">
        <f>8*60+15</f>
        <v>495</v>
      </c>
      <c r="I390">
        <v>93</v>
      </c>
      <c r="J390" t="s">
        <v>606</v>
      </c>
      <c r="K390" s="2" t="s">
        <v>607</v>
      </c>
      <c r="L390">
        <f>COUNTIF($C$2:C390, "&lt;&gt;")</f>
        <v>389</v>
      </c>
      <c r="N390">
        <f t="shared" si="9"/>
        <v>28.012048192771086</v>
      </c>
    </row>
    <row r="391" spans="1:14" x14ac:dyDescent="0.3">
      <c r="A391" s="3">
        <v>44433</v>
      </c>
      <c r="B391" t="s">
        <v>33</v>
      </c>
      <c r="C391" s="1">
        <v>3.12</v>
      </c>
      <c r="D391">
        <f>22*60+33</f>
        <v>1353</v>
      </c>
      <c r="E391">
        <f>7*60+13</f>
        <v>433</v>
      </c>
      <c r="F391">
        <f>7*60+20</f>
        <v>440</v>
      </c>
      <c r="G391">
        <f>7*60+4</f>
        <v>424</v>
      </c>
      <c r="H391">
        <f>7*60+29</f>
        <v>449</v>
      </c>
      <c r="I391">
        <v>136</v>
      </c>
      <c r="J391" t="s">
        <v>34</v>
      </c>
      <c r="K391" s="2" t="s">
        <v>611</v>
      </c>
      <c r="L391">
        <f>COUNTIF($C$2:C391, "&lt;&gt;")</f>
        <v>390</v>
      </c>
      <c r="N391">
        <f t="shared" si="9"/>
        <v>43.589743589743591</v>
      </c>
    </row>
    <row r="392" spans="1:14" x14ac:dyDescent="0.3">
      <c r="A392" s="3">
        <v>44434</v>
      </c>
      <c r="B392" t="s">
        <v>102</v>
      </c>
      <c r="C392" s="1">
        <v>3.12</v>
      </c>
      <c r="D392">
        <f>27*60+35</f>
        <v>1655</v>
      </c>
      <c r="E392">
        <f>8*60+50</f>
        <v>530</v>
      </c>
      <c r="F392">
        <f>9*60+10</f>
        <v>550</v>
      </c>
      <c r="G392">
        <f>8*60+30</f>
        <v>510</v>
      </c>
      <c r="H392">
        <f>9*60+5</f>
        <v>545</v>
      </c>
      <c r="I392">
        <v>118</v>
      </c>
      <c r="J392" t="s">
        <v>104</v>
      </c>
      <c r="K392" s="2" t="s">
        <v>615</v>
      </c>
      <c r="L392">
        <f>COUNTIF($C$2:C392, "&lt;&gt;")</f>
        <v>391</v>
      </c>
      <c r="N392">
        <f t="shared" si="9"/>
        <v>37.820512820512818</v>
      </c>
    </row>
    <row r="393" spans="1:14" x14ac:dyDescent="0.3">
      <c r="A393" s="3">
        <v>44435</v>
      </c>
      <c r="C393" s="1">
        <v>3.12</v>
      </c>
      <c r="D393">
        <f>33*60+3</f>
        <v>1983</v>
      </c>
      <c r="E393">
        <f>10*60+35</f>
        <v>635</v>
      </c>
      <c r="F393">
        <f>10*60+12</f>
        <v>612</v>
      </c>
      <c r="G393">
        <f>10*60+42</f>
        <v>642</v>
      </c>
      <c r="H393">
        <f>10*60+59</f>
        <v>659</v>
      </c>
      <c r="I393">
        <v>90</v>
      </c>
      <c r="J393" t="s">
        <v>612</v>
      </c>
      <c r="K393" s="2" t="s">
        <v>616</v>
      </c>
      <c r="L393">
        <f>COUNTIF($C$2:C393, "&lt;&gt;")</f>
        <v>392</v>
      </c>
      <c r="N393">
        <f t="shared" si="9"/>
        <v>28.846153846153847</v>
      </c>
    </row>
    <row r="394" spans="1:14" x14ac:dyDescent="0.3">
      <c r="A394" s="3">
        <v>44436</v>
      </c>
      <c r="C394" s="1">
        <v>3.11</v>
      </c>
      <c r="D394">
        <f>31*60+36</f>
        <v>1896</v>
      </c>
      <c r="E394">
        <f>10*60+8</f>
        <v>608</v>
      </c>
      <c r="F394">
        <f>10*60+46</f>
        <v>646</v>
      </c>
      <c r="G394">
        <f>9*60+9</f>
        <v>549</v>
      </c>
      <c r="H394">
        <f>10*60+27</f>
        <v>627</v>
      </c>
      <c r="I394">
        <v>30</v>
      </c>
      <c r="J394" t="s">
        <v>613</v>
      </c>
      <c r="K394" s="2" t="s">
        <v>617</v>
      </c>
      <c r="L394">
        <f>COUNTIF($C$2:C394, "&lt;&gt;")</f>
        <v>393</v>
      </c>
      <c r="N394">
        <f t="shared" si="9"/>
        <v>9.6463022508038581</v>
      </c>
    </row>
    <row r="395" spans="1:14" x14ac:dyDescent="0.3">
      <c r="A395" s="3">
        <v>44437</v>
      </c>
      <c r="C395" s="1">
        <v>3.39</v>
      </c>
      <c r="D395">
        <f>33*60+47</f>
        <v>2027</v>
      </c>
      <c r="E395">
        <f>9*60+57</f>
        <v>597</v>
      </c>
      <c r="F395">
        <f>9*60+58</f>
        <v>598</v>
      </c>
      <c r="G395">
        <f>9*60+55</f>
        <v>595</v>
      </c>
      <c r="H395">
        <f>10*60+8</f>
        <v>608</v>
      </c>
      <c r="I395">
        <v>16</v>
      </c>
      <c r="J395" t="s">
        <v>614</v>
      </c>
      <c r="K395" s="2" t="s">
        <v>618</v>
      </c>
      <c r="L395">
        <f>COUNTIF($C$2:C395, "&lt;&gt;")</f>
        <v>394</v>
      </c>
      <c r="N395">
        <f t="shared" si="9"/>
        <v>4.71976401179941</v>
      </c>
    </row>
    <row r="396" spans="1:14" x14ac:dyDescent="0.3">
      <c r="A396" s="3">
        <v>44438</v>
      </c>
      <c r="B396" t="s">
        <v>20</v>
      </c>
      <c r="C396" s="1">
        <v>5.01</v>
      </c>
      <c r="D396">
        <f>37*60+43</f>
        <v>2263</v>
      </c>
      <c r="E396">
        <f>7*60+31</f>
        <v>451</v>
      </c>
      <c r="F396">
        <f>7*60+7</f>
        <v>427</v>
      </c>
      <c r="G396">
        <f>7*60+44</f>
        <v>464</v>
      </c>
      <c r="H396">
        <f>7*60+48</f>
        <v>468</v>
      </c>
      <c r="I396">
        <v>83</v>
      </c>
      <c r="J396" t="s">
        <v>21</v>
      </c>
      <c r="K396" s="2" t="s">
        <v>619</v>
      </c>
      <c r="L396">
        <f>COUNTIF($C$2:C396, "&lt;&gt;")</f>
        <v>395</v>
      </c>
      <c r="N396" s="6">
        <f t="shared" si="9"/>
        <v>16.56686626746507</v>
      </c>
    </row>
    <row r="397" spans="1:14" x14ac:dyDescent="0.3">
      <c r="A397" s="3">
        <v>44439</v>
      </c>
      <c r="B397" t="s">
        <v>102</v>
      </c>
      <c r="C397" s="1">
        <v>3.15</v>
      </c>
      <c r="D397">
        <f>29*60+32</f>
        <v>1772</v>
      </c>
      <c r="E397">
        <f>9*60+21</f>
        <v>561</v>
      </c>
      <c r="F397">
        <f>9*60+14</f>
        <v>554</v>
      </c>
      <c r="G397">
        <f>9*60+5</f>
        <v>545</v>
      </c>
      <c r="H397">
        <f>9*60+36</f>
        <v>576</v>
      </c>
      <c r="I397">
        <v>125</v>
      </c>
      <c r="J397" t="s">
        <v>104</v>
      </c>
      <c r="K397" s="2" t="s">
        <v>620</v>
      </c>
      <c r="L397">
        <f>COUNTIF($C$2:C397, "&lt;&gt;")</f>
        <v>396</v>
      </c>
      <c r="N397" s="6">
        <f t="shared" si="9"/>
        <v>39.682539682539684</v>
      </c>
    </row>
    <row r="398" spans="1:14" x14ac:dyDescent="0.3">
      <c r="A398" s="3">
        <v>44440</v>
      </c>
      <c r="B398" t="s">
        <v>33</v>
      </c>
      <c r="C398" s="1">
        <v>3.14</v>
      </c>
      <c r="D398">
        <f>24*60+26</f>
        <v>1466</v>
      </c>
      <c r="E398">
        <f>7*60+46</f>
        <v>466</v>
      </c>
      <c r="F398">
        <f>7*60+54</f>
        <v>474</v>
      </c>
      <c r="G398">
        <f>8*60+7</f>
        <v>487</v>
      </c>
      <c r="H398">
        <f>7*60+30</f>
        <v>450</v>
      </c>
      <c r="I398">
        <v>59</v>
      </c>
      <c r="J398" t="s">
        <v>34</v>
      </c>
      <c r="K398" s="2" t="s">
        <v>621</v>
      </c>
      <c r="L398">
        <f>COUNTIF($C$2:C398, "&lt;&gt;")</f>
        <v>397</v>
      </c>
      <c r="N398" s="6">
        <f t="shared" si="9"/>
        <v>18.789808917197451</v>
      </c>
    </row>
    <row r="399" spans="1:14" x14ac:dyDescent="0.3">
      <c r="A399" s="3">
        <v>44441</v>
      </c>
      <c r="B399" t="s">
        <v>102</v>
      </c>
      <c r="C399" s="1">
        <v>3.11</v>
      </c>
      <c r="D399">
        <f>30*60+21</f>
        <v>1821</v>
      </c>
      <c r="E399">
        <f>9*60+45</f>
        <v>585</v>
      </c>
      <c r="F399">
        <f>9*60+10</f>
        <v>550</v>
      </c>
      <c r="G399">
        <f>9*60+25</f>
        <v>565</v>
      </c>
      <c r="H399">
        <f>10*60+31</f>
        <v>631</v>
      </c>
      <c r="I399">
        <v>144</v>
      </c>
      <c r="J399" t="s">
        <v>104</v>
      </c>
      <c r="K399" s="2" t="s">
        <v>634</v>
      </c>
      <c r="L399">
        <f>COUNTIF($C$2:C399, "&lt;&gt;")</f>
        <v>398</v>
      </c>
      <c r="N399" s="6">
        <f t="shared" si="9"/>
        <v>46.30225080385852</v>
      </c>
    </row>
    <row r="400" spans="1:14" x14ac:dyDescent="0.3">
      <c r="A400" s="3">
        <v>44442</v>
      </c>
      <c r="C400" s="1">
        <v>3.11</v>
      </c>
      <c r="D400">
        <f>31*60+30</f>
        <v>1890</v>
      </c>
      <c r="E400">
        <f>10*60+6</f>
        <v>606</v>
      </c>
      <c r="F400">
        <f>10*60+4</f>
        <v>604</v>
      </c>
      <c r="G400">
        <f>10*60+16</f>
        <v>616</v>
      </c>
      <c r="H400">
        <f>10*60+3</f>
        <v>603</v>
      </c>
      <c r="I400">
        <v>3</v>
      </c>
      <c r="J400" t="s">
        <v>632</v>
      </c>
      <c r="K400" s="2" t="s">
        <v>633</v>
      </c>
      <c r="L400">
        <f>COUNTIF($C$2:C400, "&lt;&gt;")</f>
        <v>399</v>
      </c>
      <c r="N400" s="6">
        <f t="shared" si="9"/>
        <v>0.96463022508038587</v>
      </c>
    </row>
    <row r="401" spans="1:14" x14ac:dyDescent="0.3">
      <c r="A401" s="3">
        <v>44443</v>
      </c>
      <c r="B401" t="s">
        <v>631</v>
      </c>
      <c r="C401" s="1">
        <v>3.11</v>
      </c>
      <c r="D401">
        <f>20*60+16</f>
        <v>1216</v>
      </c>
      <c r="E401">
        <f>6*60+32</f>
        <v>392</v>
      </c>
      <c r="F401">
        <f>6*60+28</f>
        <v>388</v>
      </c>
      <c r="G401">
        <f>6*60+37</f>
        <v>397</v>
      </c>
      <c r="H401">
        <f>6*60+41</f>
        <v>401</v>
      </c>
      <c r="I401">
        <v>20</v>
      </c>
      <c r="J401" t="s">
        <v>629</v>
      </c>
      <c r="K401" s="2" t="s">
        <v>630</v>
      </c>
      <c r="L401">
        <f>COUNTIF($C$2:C401, "&lt;&gt;")</f>
        <v>400</v>
      </c>
      <c r="N401" s="6">
        <f t="shared" si="9"/>
        <v>6.4308681672025729</v>
      </c>
    </row>
    <row r="402" spans="1:14" x14ac:dyDescent="0.3">
      <c r="A402" s="3">
        <v>44444</v>
      </c>
      <c r="B402" t="s">
        <v>102</v>
      </c>
      <c r="C402" s="1">
        <v>3.13</v>
      </c>
      <c r="D402">
        <f>28*60+54</f>
        <v>1734</v>
      </c>
      <c r="E402">
        <f>9*60+14</f>
        <v>554</v>
      </c>
      <c r="F402">
        <f>9*60+29</f>
        <v>569</v>
      </c>
      <c r="G402">
        <f>9*60+2</f>
        <v>542</v>
      </c>
      <c r="H402">
        <f>9*60+22</f>
        <v>562</v>
      </c>
      <c r="I402">
        <v>114</v>
      </c>
      <c r="J402" t="s">
        <v>104</v>
      </c>
      <c r="K402" s="2" t="s">
        <v>628</v>
      </c>
      <c r="L402">
        <f>COUNTIF($C$2:C402, "&lt;&gt;")</f>
        <v>401</v>
      </c>
      <c r="N402" s="6">
        <f t="shared" si="9"/>
        <v>36.421725239616613</v>
      </c>
    </row>
    <row r="403" spans="1:14" x14ac:dyDescent="0.3">
      <c r="A403" s="3">
        <v>44445</v>
      </c>
      <c r="B403" t="s">
        <v>625</v>
      </c>
      <c r="C403" s="1">
        <v>3.11</v>
      </c>
      <c r="D403">
        <f>20*60+30</f>
        <v>1230</v>
      </c>
      <c r="E403">
        <f>6*60+42</f>
        <v>402</v>
      </c>
      <c r="F403">
        <f>6*60+14</f>
        <v>374</v>
      </c>
      <c r="G403">
        <f>6*60+53</f>
        <v>413</v>
      </c>
      <c r="H403">
        <f>6*60+57</f>
        <v>417</v>
      </c>
      <c r="I403">
        <v>76</v>
      </c>
      <c r="J403" t="s">
        <v>626</v>
      </c>
      <c r="K403" s="2" t="s">
        <v>627</v>
      </c>
      <c r="L403">
        <f>COUNTIF($C$2:C403, "&lt;&gt;")</f>
        <v>402</v>
      </c>
      <c r="N403" s="6">
        <f t="shared" si="9"/>
        <v>24.437299035369776</v>
      </c>
    </row>
    <row r="404" spans="1:14" x14ac:dyDescent="0.3">
      <c r="A404" s="3">
        <v>44446</v>
      </c>
      <c r="C404" s="1">
        <v>3.11</v>
      </c>
      <c r="D404">
        <f>28*60+12</f>
        <v>1692</v>
      </c>
      <c r="E404">
        <f>9*60+3</f>
        <v>543</v>
      </c>
      <c r="F404">
        <f>9*60+13</f>
        <v>553</v>
      </c>
      <c r="G404">
        <f>9*60+20</f>
        <v>560</v>
      </c>
      <c r="H404">
        <f>8*60+33</f>
        <v>513</v>
      </c>
      <c r="I404">
        <v>7</v>
      </c>
      <c r="J404" t="s">
        <v>623</v>
      </c>
      <c r="K404" s="2" t="s">
        <v>624</v>
      </c>
      <c r="L404">
        <f>COUNTIF($C$2:C404, "&lt;&gt;")</f>
        <v>403</v>
      </c>
      <c r="N404" s="6">
        <f t="shared" si="9"/>
        <v>2.2508038585209005</v>
      </c>
    </row>
    <row r="405" spans="1:14" x14ac:dyDescent="0.3">
      <c r="A405" s="3">
        <v>44447</v>
      </c>
      <c r="B405" t="s">
        <v>33</v>
      </c>
      <c r="C405" s="1">
        <v>3.12</v>
      </c>
      <c r="D405">
        <f>22*60+39</f>
        <v>1359</v>
      </c>
      <c r="E405">
        <f>7*60+15</f>
        <v>435</v>
      </c>
      <c r="F405">
        <f>7*60+41</f>
        <v>461</v>
      </c>
      <c r="G405">
        <f>6*60+54</f>
        <v>414</v>
      </c>
      <c r="H405">
        <f>7*60+6</f>
        <v>426</v>
      </c>
      <c r="I405">
        <v>79</v>
      </c>
      <c r="J405" t="s">
        <v>34</v>
      </c>
      <c r="K405" s="2" t="s">
        <v>635</v>
      </c>
      <c r="L405">
        <f>COUNTIF($C$2:C405, "&lt;&gt;")</f>
        <v>404</v>
      </c>
      <c r="N405" s="6">
        <f t="shared" si="9"/>
        <v>25.320512820512821</v>
      </c>
    </row>
    <row r="406" spans="1:14" x14ac:dyDescent="0.3">
      <c r="A406" s="3">
        <v>44448</v>
      </c>
      <c r="B406" t="s">
        <v>37</v>
      </c>
      <c r="C406" s="1">
        <v>3.12</v>
      </c>
      <c r="D406">
        <f>26*60+50</f>
        <v>1610</v>
      </c>
      <c r="E406">
        <f>8*60+36</f>
        <v>516</v>
      </c>
      <c r="F406">
        <f>8*60+39</f>
        <v>519</v>
      </c>
      <c r="G406">
        <f>8*60+52</f>
        <v>532</v>
      </c>
      <c r="H406">
        <f>8*60+11</f>
        <v>491</v>
      </c>
      <c r="I406">
        <v>65</v>
      </c>
      <c r="J406" t="s">
        <v>38</v>
      </c>
      <c r="K406" s="2" t="s">
        <v>636</v>
      </c>
      <c r="L406">
        <f>COUNTIF($C$2:C406, "&lt;&gt;")</f>
        <v>405</v>
      </c>
      <c r="N406" s="6">
        <f t="shared" si="9"/>
        <v>20.833333333333332</v>
      </c>
    </row>
    <row r="407" spans="1:14" x14ac:dyDescent="0.3">
      <c r="A407" s="3">
        <v>44449</v>
      </c>
      <c r="B407" t="s">
        <v>102</v>
      </c>
      <c r="C407" s="1">
        <v>3.13</v>
      </c>
      <c r="D407">
        <f>29*60+27</f>
        <v>1767</v>
      </c>
      <c r="E407">
        <f>9*60+23</f>
        <v>563</v>
      </c>
      <c r="F407">
        <f>9*60+21</f>
        <v>561</v>
      </c>
      <c r="G407">
        <f>9*60+25</f>
        <v>565</v>
      </c>
      <c r="H407">
        <f>9*60+37</f>
        <v>577</v>
      </c>
      <c r="I407">
        <v>118</v>
      </c>
      <c r="J407" t="s">
        <v>104</v>
      </c>
      <c r="K407" s="2" t="s">
        <v>637</v>
      </c>
      <c r="L407">
        <f>COUNTIF($C$2:C407, "&lt;&gt;")</f>
        <v>406</v>
      </c>
      <c r="N407" s="6">
        <f t="shared" si="9"/>
        <v>37.699680511182109</v>
      </c>
    </row>
    <row r="408" spans="1:14" x14ac:dyDescent="0.3">
      <c r="A408" s="3">
        <v>44450</v>
      </c>
      <c r="B408" t="s">
        <v>638</v>
      </c>
      <c r="C408" s="1">
        <v>9.11</v>
      </c>
      <c r="D408">
        <f>1*3600+17*60+16</f>
        <v>4636</v>
      </c>
      <c r="E408">
        <f>8*60+29</f>
        <v>509</v>
      </c>
      <c r="F408">
        <f>8*60+25</f>
        <v>505</v>
      </c>
      <c r="G408">
        <f>8*60+11</f>
        <v>491</v>
      </c>
      <c r="H408">
        <f>7*60+53</f>
        <v>473</v>
      </c>
      <c r="I408">
        <v>379</v>
      </c>
      <c r="J408" t="s">
        <v>91</v>
      </c>
      <c r="K408" s="2" t="s">
        <v>639</v>
      </c>
      <c r="L408">
        <f>COUNTIF($C$2:C408, "&lt;&gt;")</f>
        <v>407</v>
      </c>
      <c r="N408" s="6">
        <f t="shared" si="9"/>
        <v>41.602634467618003</v>
      </c>
    </row>
    <row r="409" spans="1:14" x14ac:dyDescent="0.3">
      <c r="A409" s="3">
        <v>44451</v>
      </c>
      <c r="B409" t="s">
        <v>102</v>
      </c>
      <c r="C409" s="1">
        <v>3.12</v>
      </c>
      <c r="D409">
        <f>30*60+37</f>
        <v>1837</v>
      </c>
      <c r="E409">
        <f>9*60+49</f>
        <v>589</v>
      </c>
      <c r="F409">
        <f>9*60+46</f>
        <v>586</v>
      </c>
      <c r="G409">
        <f>9*60+53</f>
        <v>593</v>
      </c>
      <c r="H409">
        <f>9*60+44</f>
        <v>584</v>
      </c>
      <c r="I409">
        <v>115</v>
      </c>
      <c r="J409" t="s">
        <v>104</v>
      </c>
      <c r="K409" s="2" t="s">
        <v>640</v>
      </c>
      <c r="L409">
        <f>COUNTIF($C$2:C409, "&lt;&gt;")</f>
        <v>408</v>
      </c>
      <c r="N409" s="6">
        <f t="shared" si="9"/>
        <v>36.858974358974358</v>
      </c>
    </row>
    <row r="410" spans="1:14" x14ac:dyDescent="0.3">
      <c r="A410" s="3">
        <v>44452</v>
      </c>
      <c r="B410" t="s">
        <v>20</v>
      </c>
      <c r="C410" s="1">
        <v>3.12</v>
      </c>
      <c r="D410">
        <f>22*60+41</f>
        <v>1361</v>
      </c>
      <c r="E410">
        <f>7*60+16</f>
        <v>436</v>
      </c>
      <c r="F410">
        <f>7*60+37</f>
        <v>457</v>
      </c>
      <c r="G410">
        <f>7*60+5</f>
        <v>425</v>
      </c>
      <c r="H410">
        <f>7*60+10</f>
        <v>430</v>
      </c>
      <c r="I410">
        <v>56</v>
      </c>
      <c r="J410" t="s">
        <v>389</v>
      </c>
      <c r="K410" s="2" t="s">
        <v>641</v>
      </c>
      <c r="L410">
        <f>COUNTIF($C$2:C410, "&lt;&gt;")</f>
        <v>409</v>
      </c>
      <c r="N410" s="6">
        <f t="shared" si="9"/>
        <v>17.948717948717949</v>
      </c>
    </row>
    <row r="411" spans="1:14" x14ac:dyDescent="0.3">
      <c r="A411" s="3">
        <v>44453</v>
      </c>
      <c r="C411" s="1">
        <v>3.12</v>
      </c>
      <c r="D411">
        <f>27*60+52</f>
        <v>1672</v>
      </c>
      <c r="E411">
        <f>8*60+56</f>
        <v>536</v>
      </c>
      <c r="F411">
        <f>9*60+2</f>
        <v>542</v>
      </c>
      <c r="G411">
        <f>9*60+14</f>
        <v>554</v>
      </c>
      <c r="H411">
        <f>8*60+48</f>
        <v>528</v>
      </c>
      <c r="I411">
        <v>82</v>
      </c>
      <c r="J411" t="s">
        <v>642</v>
      </c>
      <c r="K411" s="2" t="s">
        <v>643</v>
      </c>
      <c r="L411">
        <f>COUNTIF($C$2:C411, "&lt;&gt;")</f>
        <v>410</v>
      </c>
      <c r="N411" s="6">
        <f t="shared" si="9"/>
        <v>26.282051282051281</v>
      </c>
    </row>
    <row r="412" spans="1:14" x14ac:dyDescent="0.3">
      <c r="A412" s="3">
        <v>44454</v>
      </c>
      <c r="B412" t="s">
        <v>33</v>
      </c>
      <c r="C412" s="1">
        <v>3.11</v>
      </c>
      <c r="D412">
        <f>22*60+44</f>
        <v>1364</v>
      </c>
      <c r="E412">
        <f>7*60+18</f>
        <v>438</v>
      </c>
      <c r="F412">
        <f>6*60+31</f>
        <v>391</v>
      </c>
      <c r="G412">
        <f>7*60+45</f>
        <v>465</v>
      </c>
      <c r="H412">
        <f>7*60+36</f>
        <v>456</v>
      </c>
      <c r="I412">
        <v>59</v>
      </c>
      <c r="J412" t="s">
        <v>34</v>
      </c>
      <c r="K412" s="2" t="s">
        <v>646</v>
      </c>
      <c r="L412">
        <f>COUNTIF($C$2:C412, "&lt;&gt;")</f>
        <v>411</v>
      </c>
      <c r="M412" t="s">
        <v>644</v>
      </c>
      <c r="N412" s="6">
        <f t="shared" si="9"/>
        <v>18.971061093247588</v>
      </c>
    </row>
    <row r="413" spans="1:14" x14ac:dyDescent="0.3">
      <c r="A413" s="3">
        <v>44455</v>
      </c>
      <c r="B413" t="s">
        <v>72</v>
      </c>
      <c r="C413" s="1">
        <v>3.11</v>
      </c>
      <c r="D413">
        <f>27*60+51</f>
        <v>1671</v>
      </c>
      <c r="E413">
        <f>8*60+57</f>
        <v>537</v>
      </c>
      <c r="F413">
        <f>9*60+28</f>
        <v>568</v>
      </c>
      <c r="G413">
        <f>9*60+17</f>
        <v>557</v>
      </c>
      <c r="H413">
        <f>8*60+31</f>
        <v>511</v>
      </c>
      <c r="I413">
        <v>123</v>
      </c>
      <c r="J413" t="s">
        <v>71</v>
      </c>
      <c r="K413" s="2" t="s">
        <v>647</v>
      </c>
      <c r="L413">
        <f>COUNTIF($C$2:C413, "&lt;&gt;")</f>
        <v>412</v>
      </c>
      <c r="N413" s="6">
        <f t="shared" si="9"/>
        <v>39.549839228295824</v>
      </c>
    </row>
    <row r="414" spans="1:14" x14ac:dyDescent="0.3">
      <c r="A414" s="3">
        <v>44456</v>
      </c>
      <c r="B414" t="s">
        <v>102</v>
      </c>
      <c r="C414" s="1">
        <v>3.14</v>
      </c>
      <c r="D414">
        <f>27*60+41</f>
        <v>1661</v>
      </c>
      <c r="E414">
        <f>8*60+48</f>
        <v>528</v>
      </c>
      <c r="F414">
        <f>9*60+3</f>
        <v>543</v>
      </c>
      <c r="G414">
        <f>8*60+49</f>
        <v>529</v>
      </c>
      <c r="H414">
        <f>8*60+43</f>
        <v>523</v>
      </c>
      <c r="I414">
        <v>112</v>
      </c>
      <c r="J414" t="s">
        <v>104</v>
      </c>
      <c r="K414" s="2" t="s">
        <v>648</v>
      </c>
      <c r="L414">
        <f>COUNTIF($C$2:C414, "&lt;&gt;")</f>
        <v>413</v>
      </c>
      <c r="N414" s="6">
        <f t="shared" si="9"/>
        <v>35.668789808917197</v>
      </c>
    </row>
    <row r="415" spans="1:14" x14ac:dyDescent="0.3">
      <c r="A415" s="3">
        <v>44457</v>
      </c>
      <c r="B415" t="s">
        <v>33</v>
      </c>
      <c r="C415" s="1">
        <v>6.01</v>
      </c>
      <c r="D415">
        <f>49*60+21</f>
        <v>2961</v>
      </c>
      <c r="E415">
        <f>8*60+13</f>
        <v>493</v>
      </c>
      <c r="F415">
        <f>9*60+8</f>
        <v>548</v>
      </c>
      <c r="G415">
        <f>8*60+38</f>
        <v>518</v>
      </c>
      <c r="H415">
        <f>7*60+35</f>
        <v>455</v>
      </c>
      <c r="I415">
        <v>124</v>
      </c>
      <c r="J415" t="s">
        <v>64</v>
      </c>
      <c r="K415" s="2" t="s">
        <v>649</v>
      </c>
      <c r="L415">
        <f>COUNTIF($C$2:C415, "&lt;&gt;")</f>
        <v>414</v>
      </c>
      <c r="N415" s="6">
        <f t="shared" si="9"/>
        <v>20.632279534109816</v>
      </c>
    </row>
    <row r="416" spans="1:14" x14ac:dyDescent="0.3">
      <c r="A416" s="3">
        <v>44458</v>
      </c>
      <c r="B416" t="s">
        <v>102</v>
      </c>
      <c r="C416" s="1">
        <v>3.12</v>
      </c>
      <c r="D416">
        <f>29*60+58</f>
        <v>1798</v>
      </c>
      <c r="E416">
        <f>9*60+36</f>
        <v>576</v>
      </c>
      <c r="F416">
        <f>9*60+50</f>
        <v>590</v>
      </c>
      <c r="G416">
        <f>9*60+7</f>
        <v>547</v>
      </c>
      <c r="H416">
        <f>10*60</f>
        <v>600</v>
      </c>
      <c r="I416">
        <v>112</v>
      </c>
      <c r="J416" t="s">
        <v>104</v>
      </c>
      <c r="K416" s="2" t="s">
        <v>645</v>
      </c>
      <c r="L416">
        <f>COUNTIF($C$2:C416, "&lt;&gt;")</f>
        <v>415</v>
      </c>
      <c r="N416" s="6">
        <f t="shared" si="9"/>
        <v>35.897435897435898</v>
      </c>
    </row>
    <row r="417" spans="1:14" x14ac:dyDescent="0.3">
      <c r="A417" s="3">
        <v>44459</v>
      </c>
      <c r="B417" t="s">
        <v>20</v>
      </c>
      <c r="C417" s="1">
        <v>3.13</v>
      </c>
      <c r="D417">
        <f>30*60+14</f>
        <v>1814</v>
      </c>
      <c r="E417">
        <f>9*60+39</f>
        <v>579</v>
      </c>
      <c r="F417">
        <f>9*60+40</f>
        <v>580</v>
      </c>
      <c r="G417">
        <f>9*60+49</f>
        <v>589</v>
      </c>
      <c r="H417">
        <f>9*60+24</f>
        <v>564</v>
      </c>
      <c r="I417">
        <v>59</v>
      </c>
      <c r="J417" t="s">
        <v>389</v>
      </c>
      <c r="K417" s="2" t="s">
        <v>650</v>
      </c>
      <c r="L417">
        <f>COUNTIF($C$2:C417, "&lt;&gt;")</f>
        <v>416</v>
      </c>
      <c r="N417" s="6">
        <f t="shared" si="9"/>
        <v>18.849840255591054</v>
      </c>
    </row>
    <row r="418" spans="1:14" x14ac:dyDescent="0.3">
      <c r="A418" s="3">
        <v>44460</v>
      </c>
      <c r="B418" t="s">
        <v>102</v>
      </c>
      <c r="C418" s="1">
        <v>3.12</v>
      </c>
      <c r="D418">
        <f>27*60+53</f>
        <v>1673</v>
      </c>
      <c r="E418">
        <f>8*60+56</f>
        <v>536</v>
      </c>
      <c r="F418">
        <f>9*60+22</f>
        <v>562</v>
      </c>
      <c r="G418">
        <f>8*60+55</f>
        <v>535</v>
      </c>
      <c r="H418">
        <f>8*60+52</f>
        <v>532</v>
      </c>
      <c r="I418">
        <v>125</v>
      </c>
      <c r="J418" t="s">
        <v>104</v>
      </c>
      <c r="K418" s="2" t="s">
        <v>651</v>
      </c>
      <c r="L418">
        <f>COUNTIF($C$2:C418, "&lt;&gt;")</f>
        <v>417</v>
      </c>
      <c r="N418" s="6">
        <f t="shared" si="9"/>
        <v>40.064102564102562</v>
      </c>
    </row>
    <row r="419" spans="1:14" x14ac:dyDescent="0.3">
      <c r="A419" s="3">
        <v>44461</v>
      </c>
      <c r="B419" t="s">
        <v>33</v>
      </c>
      <c r="C419" s="1">
        <v>3.13</v>
      </c>
      <c r="D419">
        <f>28*60+59</f>
        <v>1739</v>
      </c>
      <c r="E419">
        <f>9*60+15</f>
        <v>555</v>
      </c>
      <c r="F419">
        <f>9*60+9</f>
        <v>549</v>
      </c>
      <c r="G419">
        <f>9*60+7</f>
        <v>547</v>
      </c>
      <c r="H419">
        <f>9*60+29</f>
        <v>569</v>
      </c>
      <c r="I419">
        <v>92</v>
      </c>
      <c r="J419" t="s">
        <v>34</v>
      </c>
      <c r="K419" s="2" t="s">
        <v>652</v>
      </c>
      <c r="L419">
        <f>COUNTIF($C$2:C419, "&lt;&gt;")</f>
        <v>418</v>
      </c>
      <c r="N419" s="6">
        <f t="shared" si="9"/>
        <v>29.39297124600639</v>
      </c>
    </row>
    <row r="420" spans="1:14" x14ac:dyDescent="0.3">
      <c r="A420" s="3">
        <v>44462</v>
      </c>
      <c r="B420" t="s">
        <v>102</v>
      </c>
      <c r="C420" s="1">
        <v>3.51</v>
      </c>
      <c r="D420">
        <f>30*60+5</f>
        <v>1805</v>
      </c>
      <c r="E420">
        <f>8*60+34</f>
        <v>514</v>
      </c>
      <c r="F420">
        <f>8*60+19</f>
        <v>499</v>
      </c>
      <c r="G420">
        <f>8*60+21</f>
        <v>501</v>
      </c>
      <c r="H420">
        <f>8*60+55</f>
        <v>535</v>
      </c>
      <c r="I420">
        <v>138</v>
      </c>
      <c r="J420" t="s">
        <v>104</v>
      </c>
      <c r="K420" s="2" t="s">
        <v>653</v>
      </c>
      <c r="L420">
        <f>COUNTIF($C$2:C420, "&lt;&gt;")</f>
        <v>419</v>
      </c>
      <c r="N420" s="6">
        <f t="shared" si="9"/>
        <v>39.316239316239319</v>
      </c>
    </row>
    <row r="421" spans="1:14" x14ac:dyDescent="0.3">
      <c r="A421" s="3">
        <v>44463</v>
      </c>
      <c r="B421" t="s">
        <v>102</v>
      </c>
      <c r="C421" s="1">
        <v>3.25</v>
      </c>
      <c r="D421">
        <f>28*60+42</f>
        <v>1722</v>
      </c>
      <c r="E421">
        <f>8*60+50</f>
        <v>530</v>
      </c>
      <c r="F421">
        <f>8*60+57</f>
        <v>537</v>
      </c>
      <c r="G421">
        <f>8*60+56</f>
        <v>536</v>
      </c>
      <c r="H421">
        <f>8*60+55</f>
        <v>535</v>
      </c>
      <c r="I421">
        <v>127</v>
      </c>
      <c r="J421" t="s">
        <v>104</v>
      </c>
      <c r="K421" s="2" t="s">
        <v>654</v>
      </c>
      <c r="L421">
        <f>COUNTIF($C$2:C421, "&lt;&gt;")</f>
        <v>420</v>
      </c>
      <c r="N421" s="6">
        <f t="shared" si="9"/>
        <v>39.07692307692308</v>
      </c>
    </row>
    <row r="422" spans="1:14" x14ac:dyDescent="0.3">
      <c r="A422" s="3">
        <v>44464</v>
      </c>
      <c r="B422" t="s">
        <v>9</v>
      </c>
      <c r="C422" s="1">
        <v>6.23</v>
      </c>
      <c r="D422">
        <f>50*60+48</f>
        <v>3048</v>
      </c>
      <c r="E422">
        <f>8*60+9</f>
        <v>489</v>
      </c>
      <c r="F422">
        <f>9*60+4</f>
        <v>544</v>
      </c>
      <c r="G422">
        <f>8*60+43</f>
        <v>523</v>
      </c>
      <c r="H422">
        <f>7*60+52</f>
        <v>472</v>
      </c>
      <c r="I422">
        <v>472</v>
      </c>
      <c r="J422" t="s">
        <v>261</v>
      </c>
      <c r="K422" s="2" t="s">
        <v>655</v>
      </c>
      <c r="L422">
        <f>COUNTIF($C$2:C422, "&lt;&gt;")</f>
        <v>421</v>
      </c>
      <c r="N422" s="6">
        <f t="shared" si="9"/>
        <v>75.762439807383629</v>
      </c>
    </row>
    <row r="423" spans="1:14" x14ac:dyDescent="0.3">
      <c r="A423" s="3">
        <v>44465</v>
      </c>
      <c r="B423" t="s">
        <v>659</v>
      </c>
      <c r="C423" s="1">
        <v>3.12</v>
      </c>
      <c r="D423">
        <f>24*60+27</f>
        <v>1467</v>
      </c>
      <c r="E423">
        <f>7*60+50</f>
        <v>470</v>
      </c>
      <c r="F423">
        <f>7*60+41</f>
        <v>461</v>
      </c>
      <c r="G423">
        <f>8*60+17</f>
        <v>497</v>
      </c>
      <c r="H423">
        <f>7*60+46</f>
        <v>466</v>
      </c>
      <c r="I423">
        <v>218</v>
      </c>
      <c r="J423" t="s">
        <v>660</v>
      </c>
      <c r="K423" s="2" t="s">
        <v>661</v>
      </c>
      <c r="L423">
        <f>COUNTIF($C$2:C423, "&lt;&gt;")</f>
        <v>422</v>
      </c>
      <c r="N423" s="6">
        <f t="shared" si="9"/>
        <v>69.871794871794876</v>
      </c>
    </row>
    <row r="424" spans="1:14" x14ac:dyDescent="0.3">
      <c r="A424" s="3">
        <v>44466</v>
      </c>
      <c r="B424" t="s">
        <v>20</v>
      </c>
      <c r="C424" s="1">
        <v>3.13</v>
      </c>
      <c r="D424">
        <f>23*60+36</f>
        <v>1416</v>
      </c>
      <c r="E424">
        <f>7*60+32</f>
        <v>452</v>
      </c>
      <c r="F424">
        <f>7*60+37</f>
        <v>457</v>
      </c>
      <c r="G424">
        <f>7*60+36</f>
        <v>456</v>
      </c>
      <c r="H424">
        <f>7*60+34</f>
        <v>454</v>
      </c>
      <c r="I424">
        <v>102</v>
      </c>
      <c r="J424" t="s">
        <v>389</v>
      </c>
      <c r="K424" s="2" t="s">
        <v>662</v>
      </c>
      <c r="L424">
        <f>COUNTIF($C$2:C424, "&lt;&gt;")</f>
        <v>423</v>
      </c>
      <c r="N424" s="6">
        <f t="shared" si="9"/>
        <v>32.587859424920126</v>
      </c>
    </row>
    <row r="425" spans="1:14" x14ac:dyDescent="0.3">
      <c r="A425" s="3">
        <v>44467</v>
      </c>
      <c r="B425" t="s">
        <v>72</v>
      </c>
      <c r="C425" s="1">
        <v>3.12</v>
      </c>
      <c r="D425">
        <f>25*60+42</f>
        <v>1542</v>
      </c>
      <c r="E425">
        <f>8*60+14</f>
        <v>494</v>
      </c>
      <c r="F425">
        <f>9*60+26</f>
        <v>566</v>
      </c>
      <c r="G425">
        <f>8*60+24</f>
        <v>504</v>
      </c>
      <c r="H425">
        <f>6*60+57</f>
        <v>417</v>
      </c>
      <c r="I425">
        <v>157</v>
      </c>
      <c r="J425" t="s">
        <v>71</v>
      </c>
      <c r="K425" s="2" t="s">
        <v>769</v>
      </c>
      <c r="L425">
        <f>COUNTIF($C$2:C425, "&lt;&gt;")</f>
        <v>424</v>
      </c>
      <c r="N425" s="6">
        <f t="shared" si="9"/>
        <v>50.320512820512818</v>
      </c>
    </row>
    <row r="426" spans="1:14" x14ac:dyDescent="0.3">
      <c r="A426" s="3">
        <v>44468</v>
      </c>
      <c r="B426" t="s">
        <v>33</v>
      </c>
      <c r="C426" s="1">
        <v>3.11</v>
      </c>
      <c r="D426">
        <f>22*60+17</f>
        <v>1337</v>
      </c>
      <c r="E426">
        <f>7*60+10</f>
        <v>430</v>
      </c>
      <c r="F426">
        <f>7*60+5</f>
        <v>425</v>
      </c>
      <c r="G426">
        <f>7*60+11</f>
        <v>431</v>
      </c>
      <c r="H426">
        <f>7*60+36</f>
        <v>456</v>
      </c>
      <c r="I426">
        <v>66</v>
      </c>
      <c r="J426" t="s">
        <v>34</v>
      </c>
      <c r="K426" s="2" t="s">
        <v>657</v>
      </c>
      <c r="L426">
        <f>COUNTIF($C$2:C426, "&lt;&gt;")</f>
        <v>425</v>
      </c>
      <c r="N426" s="6">
        <f t="shared" si="9"/>
        <v>21.221864951768488</v>
      </c>
    </row>
    <row r="427" spans="1:14" x14ac:dyDescent="0.3">
      <c r="A427" s="3">
        <v>44469</v>
      </c>
      <c r="B427" t="s">
        <v>72</v>
      </c>
      <c r="C427" s="1">
        <v>3.13</v>
      </c>
      <c r="D427">
        <f>28*60+43</f>
        <v>1723</v>
      </c>
      <c r="E427">
        <f>9*60+10</f>
        <v>550</v>
      </c>
      <c r="F427">
        <f>9*60+19</f>
        <v>559</v>
      </c>
      <c r="G427">
        <f>9*60+16</f>
        <v>556</v>
      </c>
      <c r="H427">
        <f>9*60+7</f>
        <v>547</v>
      </c>
      <c r="I427">
        <v>125</v>
      </c>
      <c r="J427" t="s">
        <v>71</v>
      </c>
      <c r="K427" s="2" t="s">
        <v>658</v>
      </c>
      <c r="L427">
        <f>COUNTIF($C$2:C427, "&lt;&gt;")</f>
        <v>426</v>
      </c>
      <c r="N427" s="6">
        <f t="shared" si="9"/>
        <v>39.936102236421725</v>
      </c>
    </row>
    <row r="428" spans="1:14" x14ac:dyDescent="0.3">
      <c r="A428" s="3">
        <v>44470</v>
      </c>
      <c r="B428" t="s">
        <v>102</v>
      </c>
      <c r="C428" s="1">
        <v>3.11</v>
      </c>
      <c r="D428">
        <f>27*60+34</f>
        <v>1654</v>
      </c>
      <c r="E428">
        <f>8*60+51</f>
        <v>531</v>
      </c>
      <c r="F428">
        <f>9*60+4</f>
        <v>544</v>
      </c>
      <c r="G428">
        <f>8*60+19</f>
        <v>499</v>
      </c>
      <c r="H428">
        <f>9*60+6</f>
        <v>546</v>
      </c>
      <c r="I428">
        <v>135</v>
      </c>
      <c r="J428" t="s">
        <v>104</v>
      </c>
      <c r="K428" s="2" t="s">
        <v>656</v>
      </c>
      <c r="L428">
        <f>COUNTIF($C$2:C428, "&lt;&gt;")</f>
        <v>427</v>
      </c>
      <c r="N428" s="6">
        <f t="shared" si="9"/>
        <v>43.408360128617367</v>
      </c>
    </row>
    <row r="429" spans="1:14" x14ac:dyDescent="0.3">
      <c r="A429" s="3">
        <v>44471</v>
      </c>
      <c r="B429" t="s">
        <v>9</v>
      </c>
      <c r="C429" s="1">
        <v>5.51</v>
      </c>
      <c r="D429">
        <f>41*60+27</f>
        <v>2487</v>
      </c>
      <c r="E429">
        <f>7*60+31</f>
        <v>451</v>
      </c>
      <c r="F429">
        <f>7*60+13</f>
        <v>433</v>
      </c>
      <c r="G429">
        <f>7*60+22</f>
        <v>442</v>
      </c>
      <c r="H429">
        <f>7*60+30</f>
        <v>450</v>
      </c>
      <c r="I429">
        <v>115</v>
      </c>
      <c r="J429" t="s">
        <v>12</v>
      </c>
      <c r="K429" s="2" t="s">
        <v>664</v>
      </c>
      <c r="L429">
        <f>COUNTIF($C$2:C429, "&lt;&gt;")</f>
        <v>428</v>
      </c>
      <c r="N429" s="6">
        <f t="shared" si="9"/>
        <v>20.871143375680582</v>
      </c>
    </row>
    <row r="430" spans="1:14" x14ac:dyDescent="0.3">
      <c r="A430" s="3">
        <v>44472</v>
      </c>
      <c r="B430" t="s">
        <v>665</v>
      </c>
      <c r="C430" s="1">
        <v>3.12</v>
      </c>
      <c r="D430">
        <f>25*60+18</f>
        <v>1518</v>
      </c>
      <c r="E430">
        <f>8*60+5</f>
        <v>485</v>
      </c>
      <c r="F430">
        <f>8*60</f>
        <v>480</v>
      </c>
      <c r="G430">
        <f>8*60+5</f>
        <v>485</v>
      </c>
      <c r="H430">
        <f>8*60+27</f>
        <v>507</v>
      </c>
      <c r="I430">
        <v>45</v>
      </c>
      <c r="J430" t="s">
        <v>665</v>
      </c>
      <c r="K430" s="2" t="s">
        <v>666</v>
      </c>
      <c r="L430">
        <f>COUNTIF($C$2:C430, "&lt;&gt;")</f>
        <v>429</v>
      </c>
      <c r="N430" s="6">
        <f t="shared" si="9"/>
        <v>14.423076923076923</v>
      </c>
    </row>
    <row r="431" spans="1:14" x14ac:dyDescent="0.3">
      <c r="A431" s="3">
        <v>44473</v>
      </c>
      <c r="B431" t="s">
        <v>102</v>
      </c>
      <c r="C431" s="1">
        <v>3.11</v>
      </c>
      <c r="D431">
        <f>27*60+27</f>
        <v>1647</v>
      </c>
      <c r="E431">
        <f>8*60+49</f>
        <v>529</v>
      </c>
      <c r="F431">
        <f>8*60+36</f>
        <v>516</v>
      </c>
      <c r="G431">
        <f>8*60+59</f>
        <v>539</v>
      </c>
      <c r="H431">
        <f>9*60+32</f>
        <v>572</v>
      </c>
      <c r="I431">
        <v>140</v>
      </c>
      <c r="J431" t="s">
        <v>104</v>
      </c>
      <c r="K431" s="2" t="s">
        <v>667</v>
      </c>
      <c r="L431">
        <f>COUNTIF($C$2:C431, "&lt;&gt;")</f>
        <v>430</v>
      </c>
      <c r="N431" s="6">
        <f t="shared" si="9"/>
        <v>45.016077170418008</v>
      </c>
    </row>
    <row r="432" spans="1:14" x14ac:dyDescent="0.3">
      <c r="A432" s="3">
        <v>44474</v>
      </c>
      <c r="C432" s="1">
        <v>3.11</v>
      </c>
      <c r="D432">
        <f>28*60+56</f>
        <v>1736</v>
      </c>
      <c r="E432">
        <f>9*60+18</f>
        <v>558</v>
      </c>
      <c r="F432">
        <f>9*60+23</f>
        <v>563</v>
      </c>
      <c r="G432">
        <f>9*60+18</f>
        <v>558</v>
      </c>
      <c r="H432">
        <f>9*60+14</f>
        <v>554</v>
      </c>
      <c r="I432">
        <v>173</v>
      </c>
      <c r="J432" t="s">
        <v>681</v>
      </c>
      <c r="K432" s="2" t="s">
        <v>686</v>
      </c>
      <c r="L432">
        <f>COUNTIF($C$2:C432, "&lt;&gt;")</f>
        <v>431</v>
      </c>
      <c r="N432" s="6">
        <f t="shared" si="9"/>
        <v>55.627009646302255</v>
      </c>
    </row>
    <row r="433" spans="1:14" x14ac:dyDescent="0.3">
      <c r="A433" s="3">
        <v>44475</v>
      </c>
      <c r="B433" t="s">
        <v>33</v>
      </c>
      <c r="C433" s="1">
        <v>3.11</v>
      </c>
      <c r="D433">
        <f>23*60+32</f>
        <v>1412</v>
      </c>
      <c r="E433">
        <f>7*60+34</f>
        <v>454</v>
      </c>
      <c r="F433">
        <f>7*60+5</f>
        <v>425</v>
      </c>
      <c r="G433">
        <f>7*60+30</f>
        <v>450</v>
      </c>
      <c r="H433">
        <f>8*60+17</f>
        <v>497</v>
      </c>
      <c r="I433">
        <v>79</v>
      </c>
      <c r="J433" t="s">
        <v>34</v>
      </c>
      <c r="K433" s="2" t="s">
        <v>685</v>
      </c>
      <c r="L433">
        <f>COUNTIF($C$2:C433, "&lt;&gt;")</f>
        <v>432</v>
      </c>
      <c r="N433" s="6">
        <f t="shared" si="9"/>
        <v>25.40192926045016</v>
      </c>
    </row>
    <row r="434" spans="1:14" x14ac:dyDescent="0.3">
      <c r="A434" s="3">
        <v>44476</v>
      </c>
      <c r="B434" t="s">
        <v>102</v>
      </c>
      <c r="C434" s="1">
        <v>4.01</v>
      </c>
      <c r="D434">
        <f>35*60+31</f>
        <v>2131</v>
      </c>
      <c r="E434">
        <f>8*60+51</f>
        <v>531</v>
      </c>
      <c r="F434">
        <f>8*60+55</f>
        <v>535</v>
      </c>
      <c r="G434">
        <f>8*60+34</f>
        <v>514</v>
      </c>
      <c r="H434">
        <f>8*60+53</f>
        <v>533</v>
      </c>
      <c r="I434">
        <v>193</v>
      </c>
      <c r="J434" t="s">
        <v>104</v>
      </c>
      <c r="K434" s="2" t="s">
        <v>684</v>
      </c>
      <c r="L434">
        <f>COUNTIF($C$2:C434, "&lt;&gt;")</f>
        <v>433</v>
      </c>
      <c r="N434" s="6">
        <f t="shared" si="9"/>
        <v>48.12967581047382</v>
      </c>
    </row>
    <row r="435" spans="1:14" x14ac:dyDescent="0.3">
      <c r="A435" s="3">
        <v>44477</v>
      </c>
      <c r="C435" s="1">
        <v>3.11</v>
      </c>
      <c r="D435">
        <f>26*60+45</f>
        <v>1605</v>
      </c>
      <c r="E435">
        <f>8*60+36</f>
        <v>516</v>
      </c>
      <c r="F435">
        <f>8*60+20</f>
        <v>500</v>
      </c>
      <c r="G435">
        <f>9*60+18</f>
        <v>558</v>
      </c>
      <c r="H435">
        <f>8*60+24</f>
        <v>504</v>
      </c>
      <c r="I435">
        <v>211</v>
      </c>
      <c r="J435" t="s">
        <v>681</v>
      </c>
      <c r="K435" s="2" t="s">
        <v>682</v>
      </c>
      <c r="L435">
        <f>COUNTIF($C$2:C435, "&lt;&gt;")</f>
        <v>434</v>
      </c>
      <c r="N435" s="6">
        <f t="shared" si="9"/>
        <v>67.845659163987136</v>
      </c>
    </row>
    <row r="436" spans="1:14" x14ac:dyDescent="0.3">
      <c r="A436" s="3">
        <v>44478</v>
      </c>
      <c r="C436" s="1">
        <v>3.12</v>
      </c>
      <c r="D436">
        <f>29*60+33</f>
        <v>1773</v>
      </c>
      <c r="E436">
        <f>9*60+28</f>
        <v>568</v>
      </c>
      <c r="F436">
        <f>9*60+6</f>
        <v>546</v>
      </c>
      <c r="G436">
        <f>9*60+21</f>
        <v>561</v>
      </c>
      <c r="H436">
        <f>9*60+58</f>
        <v>598</v>
      </c>
      <c r="I436">
        <v>124</v>
      </c>
      <c r="J436" t="s">
        <v>104</v>
      </c>
      <c r="K436" s="2" t="s">
        <v>683</v>
      </c>
      <c r="L436">
        <f>COUNTIF($C$2:C436, "&lt;&gt;")</f>
        <v>435</v>
      </c>
      <c r="N436" s="6">
        <f t="shared" si="9"/>
        <v>39.743589743589745</v>
      </c>
    </row>
    <row r="437" spans="1:14" x14ac:dyDescent="0.3">
      <c r="A437" s="3">
        <v>44479</v>
      </c>
      <c r="C437" s="1">
        <v>3.18</v>
      </c>
      <c r="D437">
        <f>30*60+33</f>
        <v>1833</v>
      </c>
      <c r="E437">
        <f>9*60+36</f>
        <v>576</v>
      </c>
      <c r="F437">
        <f>9*60+10</f>
        <v>550</v>
      </c>
      <c r="G437">
        <f>9*60+37</f>
        <v>577</v>
      </c>
      <c r="H437">
        <f>9*60+55</f>
        <v>595</v>
      </c>
      <c r="I437">
        <v>76</v>
      </c>
      <c r="J437" t="s">
        <v>678</v>
      </c>
      <c r="K437" s="2" t="s">
        <v>679</v>
      </c>
      <c r="L437">
        <f>COUNTIF($C$2:C437, "&lt;&gt;")</f>
        <v>436</v>
      </c>
      <c r="N437" s="6">
        <f t="shared" si="9"/>
        <v>23.89937106918239</v>
      </c>
    </row>
    <row r="438" spans="1:14" x14ac:dyDescent="0.3">
      <c r="A438" s="3">
        <v>44480</v>
      </c>
      <c r="B438" t="s">
        <v>677</v>
      </c>
      <c r="C438" s="1">
        <v>3.11</v>
      </c>
      <c r="D438">
        <f>32*60+15</f>
        <v>1935</v>
      </c>
      <c r="E438">
        <f>10*60+21</f>
        <v>621</v>
      </c>
      <c r="F438">
        <f>9*60+54</f>
        <v>594</v>
      </c>
      <c r="G438">
        <f>10*60+48</f>
        <v>648</v>
      </c>
      <c r="H438">
        <f>10*60+18</f>
        <v>618</v>
      </c>
      <c r="I438">
        <v>207</v>
      </c>
      <c r="J438" t="s">
        <v>677</v>
      </c>
      <c r="K438" s="2" t="s">
        <v>676</v>
      </c>
      <c r="L438">
        <f>COUNTIF($C$2:C438, "&lt;&gt;")</f>
        <v>437</v>
      </c>
      <c r="N438" s="6">
        <f t="shared" si="9"/>
        <v>66.559485530546624</v>
      </c>
    </row>
    <row r="439" spans="1:14" x14ac:dyDescent="0.3">
      <c r="A439" s="3">
        <v>44481</v>
      </c>
      <c r="C439" s="1">
        <v>3.14</v>
      </c>
      <c r="D439">
        <f>30*60+28</f>
        <v>1828</v>
      </c>
      <c r="E439">
        <f>9*60+42</f>
        <v>582</v>
      </c>
      <c r="F439">
        <f>9*60+13</f>
        <v>553</v>
      </c>
      <c r="G439">
        <f>10*60</f>
        <v>600</v>
      </c>
      <c r="H439">
        <f>9*60+57</f>
        <v>597</v>
      </c>
      <c r="I439">
        <v>188</v>
      </c>
      <c r="J439" t="s">
        <v>675</v>
      </c>
      <c r="K439" s="2" t="s">
        <v>674</v>
      </c>
      <c r="L439">
        <f>COUNTIF($C$2:C439, "&lt;&gt;")</f>
        <v>438</v>
      </c>
      <c r="N439" s="6">
        <f t="shared" si="9"/>
        <v>59.872611464968152</v>
      </c>
    </row>
    <row r="440" spans="1:14" x14ac:dyDescent="0.3">
      <c r="A440" s="3">
        <v>44482</v>
      </c>
      <c r="B440" t="s">
        <v>33</v>
      </c>
      <c r="C440" s="1">
        <v>3.11</v>
      </c>
      <c r="D440">
        <f>25*60+57</f>
        <v>1557</v>
      </c>
      <c r="E440">
        <f>8*60+21</f>
        <v>501</v>
      </c>
      <c r="F440">
        <f>8*60+51</f>
        <v>531</v>
      </c>
      <c r="G440">
        <f>8*60+18</f>
        <v>498</v>
      </c>
      <c r="H440">
        <f>7*60+58</f>
        <v>478</v>
      </c>
      <c r="I440">
        <v>68</v>
      </c>
      <c r="J440" t="s">
        <v>34</v>
      </c>
      <c r="K440" s="2" t="s">
        <v>673</v>
      </c>
      <c r="L440">
        <f>COUNTIF($C$2:C440, "&lt;&gt;")</f>
        <v>439</v>
      </c>
      <c r="N440" s="6">
        <f t="shared" si="9"/>
        <v>21.864951768488748</v>
      </c>
    </row>
    <row r="441" spans="1:14" x14ac:dyDescent="0.3">
      <c r="A441" s="3">
        <v>44483</v>
      </c>
      <c r="B441" t="s">
        <v>37</v>
      </c>
      <c r="C441" s="1">
        <v>3.12</v>
      </c>
      <c r="D441">
        <f>23*60+21</f>
        <v>1401</v>
      </c>
      <c r="E441">
        <f>7*60+29</f>
        <v>449</v>
      </c>
      <c r="F441">
        <f>7*60+59</f>
        <v>479</v>
      </c>
      <c r="G441">
        <f>7*60+26</f>
        <v>446</v>
      </c>
      <c r="H441">
        <f>7*60+5</f>
        <v>425</v>
      </c>
      <c r="I441">
        <v>83</v>
      </c>
      <c r="J441" t="s">
        <v>163</v>
      </c>
      <c r="K441" s="2" t="s">
        <v>672</v>
      </c>
      <c r="L441">
        <f>COUNTIF($C$2:C441, "&lt;&gt;")</f>
        <v>440</v>
      </c>
      <c r="N441" s="6">
        <f t="shared" si="9"/>
        <v>26.602564102564102</v>
      </c>
    </row>
    <row r="442" spans="1:14" x14ac:dyDescent="0.3">
      <c r="A442" s="3">
        <v>44484</v>
      </c>
      <c r="C442" s="1">
        <v>3.12</v>
      </c>
      <c r="D442">
        <f>27*60+47</f>
        <v>1667</v>
      </c>
      <c r="E442">
        <f>8*60+54</f>
        <v>534</v>
      </c>
      <c r="F442">
        <f>8*60+54</f>
        <v>534</v>
      </c>
      <c r="G442">
        <f>9*60+9</f>
        <v>549</v>
      </c>
      <c r="H442">
        <f>8*60+44</f>
        <v>524</v>
      </c>
      <c r="I442">
        <v>122</v>
      </c>
      <c r="J442" t="s">
        <v>680</v>
      </c>
      <c r="K442" s="2" t="s">
        <v>671</v>
      </c>
      <c r="L442">
        <f>COUNTIF($C$2:C442, "&lt;&gt;")</f>
        <v>441</v>
      </c>
      <c r="N442" s="6">
        <f t="shared" si="9"/>
        <v>39.102564102564102</v>
      </c>
    </row>
    <row r="443" spans="1:14" x14ac:dyDescent="0.3">
      <c r="A443" s="3">
        <v>44485</v>
      </c>
      <c r="B443" t="s">
        <v>665</v>
      </c>
      <c r="C443" s="1">
        <v>3.19</v>
      </c>
      <c r="D443">
        <f>29*60+13</f>
        <v>1753</v>
      </c>
      <c r="E443">
        <f>9*60+12</f>
        <v>552</v>
      </c>
      <c r="F443">
        <f>9*60+7</f>
        <v>547</v>
      </c>
      <c r="G443">
        <f>9*60+7</f>
        <v>547</v>
      </c>
      <c r="H443">
        <f>9*60+33</f>
        <v>573</v>
      </c>
      <c r="I443">
        <v>83</v>
      </c>
      <c r="J443" t="s">
        <v>665</v>
      </c>
      <c r="K443" s="2" t="s">
        <v>670</v>
      </c>
      <c r="L443">
        <f>COUNTIF($C$2:C443, "&lt;&gt;")</f>
        <v>442</v>
      </c>
      <c r="N443" s="6">
        <f t="shared" si="9"/>
        <v>26.018808777429467</v>
      </c>
    </row>
    <row r="444" spans="1:14" x14ac:dyDescent="0.3">
      <c r="A444" s="3">
        <v>44486</v>
      </c>
      <c r="B444" t="s">
        <v>102</v>
      </c>
      <c r="C444" s="1">
        <v>3.12</v>
      </c>
      <c r="D444">
        <f>28*60+51</f>
        <v>1731</v>
      </c>
      <c r="E444">
        <f>9*60+15</f>
        <v>555</v>
      </c>
      <c r="F444">
        <f>8*60+51</f>
        <v>531</v>
      </c>
      <c r="G444">
        <f>9*60+14</f>
        <v>554</v>
      </c>
      <c r="H444">
        <f>9*60+44</f>
        <v>584</v>
      </c>
      <c r="I444">
        <v>141</v>
      </c>
      <c r="J444" t="s">
        <v>104</v>
      </c>
      <c r="K444" s="2" t="s">
        <v>669</v>
      </c>
      <c r="L444">
        <f>COUNTIF($C$2:C444, "&lt;&gt;")</f>
        <v>443</v>
      </c>
      <c r="N444" s="6">
        <f t="shared" si="9"/>
        <v>45.192307692307693</v>
      </c>
    </row>
    <row r="445" spans="1:14" x14ac:dyDescent="0.3">
      <c r="A445" s="3">
        <v>44487</v>
      </c>
      <c r="B445" t="s">
        <v>20</v>
      </c>
      <c r="C445" s="1">
        <v>4.0199999999999996</v>
      </c>
      <c r="D445">
        <f>31*60+29</f>
        <v>1889</v>
      </c>
      <c r="E445">
        <f>7*60+50</f>
        <v>470</v>
      </c>
      <c r="F445">
        <f>7*60+39</f>
        <v>459</v>
      </c>
      <c r="G445">
        <f>7*60+35</f>
        <v>455</v>
      </c>
      <c r="H445">
        <f>8*60+22</f>
        <v>502</v>
      </c>
      <c r="I445">
        <v>93</v>
      </c>
      <c r="J445" t="s">
        <v>236</v>
      </c>
      <c r="K445" s="2" t="s">
        <v>668</v>
      </c>
      <c r="L445">
        <f>COUNTIF($C$2:C445, "&lt;&gt;")</f>
        <v>444</v>
      </c>
      <c r="N445" s="6">
        <f t="shared" si="9"/>
        <v>23.134328358208958</v>
      </c>
    </row>
    <row r="446" spans="1:14" x14ac:dyDescent="0.3">
      <c r="A446" s="3">
        <v>44488</v>
      </c>
      <c r="B446" t="s">
        <v>687</v>
      </c>
      <c r="C446" s="1">
        <v>3.13</v>
      </c>
      <c r="D446">
        <f>30*60+14</f>
        <v>1814</v>
      </c>
      <c r="E446">
        <f>9*60+39</f>
        <v>579</v>
      </c>
      <c r="F446">
        <f>8*60+29</f>
        <v>509</v>
      </c>
      <c r="G446">
        <f>10*60+59</f>
        <v>659</v>
      </c>
      <c r="H446">
        <f>9*60+28</f>
        <v>568</v>
      </c>
      <c r="I446">
        <v>162</v>
      </c>
      <c r="J446" t="s">
        <v>665</v>
      </c>
      <c r="K446" s="2" t="s">
        <v>688</v>
      </c>
      <c r="L446">
        <f>COUNTIF($C$2:C446, "&lt;&gt;")</f>
        <v>445</v>
      </c>
      <c r="N446" s="6">
        <f t="shared" ref="N446:N509" si="10">I446/C446</f>
        <v>51.757188498402556</v>
      </c>
    </row>
    <row r="447" spans="1:14" x14ac:dyDescent="0.3">
      <c r="A447" s="3">
        <v>44489</v>
      </c>
      <c r="B447" t="s">
        <v>33</v>
      </c>
      <c r="C447" s="1">
        <v>3.11</v>
      </c>
      <c r="D447">
        <f>21*60+14</f>
        <v>1274</v>
      </c>
      <c r="E447">
        <f>6*60+49</f>
        <v>409</v>
      </c>
      <c r="F447">
        <f>6*60+31</f>
        <v>391</v>
      </c>
      <c r="G447">
        <f>6*60+51</f>
        <v>411</v>
      </c>
      <c r="H447">
        <f>7*60+8</f>
        <v>428</v>
      </c>
      <c r="I447">
        <v>73</v>
      </c>
      <c r="J447" t="s">
        <v>435</v>
      </c>
      <c r="K447" s="2" t="s">
        <v>689</v>
      </c>
      <c r="L447">
        <f>COUNTIF($C$2:C447, "&lt;&gt;")</f>
        <v>446</v>
      </c>
      <c r="N447" s="6">
        <f t="shared" si="10"/>
        <v>23.472668810289392</v>
      </c>
    </row>
    <row r="448" spans="1:14" x14ac:dyDescent="0.3">
      <c r="A448" s="3">
        <v>44490</v>
      </c>
      <c r="B448" t="s">
        <v>102</v>
      </c>
      <c r="C448" s="1">
        <v>3.27</v>
      </c>
      <c r="D448">
        <f>27*60+2</f>
        <v>1622</v>
      </c>
      <c r="E448">
        <f>8*60+15</f>
        <v>495</v>
      </c>
      <c r="F448">
        <f>8*60+41</f>
        <v>521</v>
      </c>
      <c r="G448">
        <f>8*60+15</f>
        <v>495</v>
      </c>
      <c r="H448">
        <f>8*60+12</f>
        <v>492</v>
      </c>
      <c r="I448">
        <v>118</v>
      </c>
      <c r="J448" t="s">
        <v>104</v>
      </c>
      <c r="K448" s="2" t="s">
        <v>690</v>
      </c>
      <c r="L448">
        <f>COUNTIF($C$2:C448, "&lt;&gt;")</f>
        <v>447</v>
      </c>
      <c r="N448" s="6">
        <f t="shared" si="10"/>
        <v>36.085626911314982</v>
      </c>
    </row>
    <row r="449" spans="1:14" x14ac:dyDescent="0.3">
      <c r="A449" s="3">
        <v>44491</v>
      </c>
      <c r="B449" t="s">
        <v>102</v>
      </c>
      <c r="C449" s="1">
        <v>3.12</v>
      </c>
      <c r="D449">
        <f>26*60+31</f>
        <v>1591</v>
      </c>
      <c r="E449">
        <f>8*60+30</f>
        <v>510</v>
      </c>
      <c r="F449">
        <f>8*60+44</f>
        <v>524</v>
      </c>
      <c r="G449">
        <f>8*60+21</f>
        <v>501</v>
      </c>
      <c r="H449">
        <f>8*60+41</f>
        <v>521</v>
      </c>
      <c r="I449">
        <v>129</v>
      </c>
      <c r="J449" t="s">
        <v>104</v>
      </c>
      <c r="K449" s="2" t="s">
        <v>692</v>
      </c>
      <c r="L449">
        <f>COUNTIF($C$2:C449, "&lt;&gt;")</f>
        <v>448</v>
      </c>
      <c r="N449" s="6">
        <f t="shared" si="10"/>
        <v>41.346153846153847</v>
      </c>
    </row>
    <row r="450" spans="1:14" x14ac:dyDescent="0.3">
      <c r="A450" s="3">
        <v>44492</v>
      </c>
      <c r="B450" t="s">
        <v>9</v>
      </c>
      <c r="C450" s="1">
        <v>6.54</v>
      </c>
      <c r="D450">
        <f>49*60+38</f>
        <v>2978</v>
      </c>
      <c r="E450">
        <f>7*60+35</f>
        <v>455</v>
      </c>
      <c r="F450">
        <f>7*60+44</f>
        <v>464</v>
      </c>
      <c r="G450">
        <f>7*60+37</f>
        <v>457</v>
      </c>
      <c r="H450">
        <f>7*60+38</f>
        <v>458</v>
      </c>
      <c r="I450">
        <v>75</v>
      </c>
      <c r="J450" t="s">
        <v>94</v>
      </c>
      <c r="K450" s="2" t="s">
        <v>691</v>
      </c>
      <c r="L450">
        <f>COUNTIF($C$2:C450, "&lt;&gt;")</f>
        <v>449</v>
      </c>
      <c r="N450" s="6">
        <f t="shared" si="10"/>
        <v>11.467889908256881</v>
      </c>
    </row>
    <row r="451" spans="1:14" x14ac:dyDescent="0.3">
      <c r="A451" s="3">
        <v>44493</v>
      </c>
      <c r="B451" t="s">
        <v>102</v>
      </c>
      <c r="C451" s="1">
        <v>3.12</v>
      </c>
      <c r="D451">
        <f>29*60+13</f>
        <v>1753</v>
      </c>
      <c r="E451">
        <f>9*60+22</f>
        <v>562</v>
      </c>
      <c r="F451">
        <f>9*60+27</f>
        <v>567</v>
      </c>
      <c r="G451">
        <f>9*60+13</f>
        <v>553</v>
      </c>
      <c r="H451">
        <f>9*60+37</f>
        <v>577</v>
      </c>
      <c r="I451">
        <v>137</v>
      </c>
      <c r="J451" t="s">
        <v>104</v>
      </c>
      <c r="K451" s="2" t="s">
        <v>693</v>
      </c>
      <c r="L451">
        <f>COUNTIF($C$2:C451, "&lt;&gt;")</f>
        <v>450</v>
      </c>
      <c r="N451" s="6">
        <f t="shared" si="10"/>
        <v>43.910256410256409</v>
      </c>
    </row>
    <row r="452" spans="1:14" x14ac:dyDescent="0.3">
      <c r="A452" s="3">
        <v>44494</v>
      </c>
      <c r="B452" t="s">
        <v>20</v>
      </c>
      <c r="C452" s="1">
        <v>3.13</v>
      </c>
      <c r="D452">
        <f>27*60+45</f>
        <v>1665</v>
      </c>
      <c r="E452">
        <f>8*60+52</f>
        <v>532</v>
      </c>
      <c r="F452">
        <f>8*60+31</f>
        <v>511</v>
      </c>
      <c r="G452">
        <f>8*60+55</f>
        <v>535</v>
      </c>
      <c r="H452">
        <f>9*60+17</f>
        <v>557</v>
      </c>
      <c r="I452">
        <v>87</v>
      </c>
      <c r="J452" t="s">
        <v>389</v>
      </c>
      <c r="K452" s="2" t="s">
        <v>694</v>
      </c>
      <c r="L452">
        <f>COUNTIF($C$2:C452, "&lt;&gt;")</f>
        <v>451</v>
      </c>
      <c r="N452" s="6">
        <f t="shared" si="10"/>
        <v>27.795527156549522</v>
      </c>
    </row>
    <row r="453" spans="1:14" x14ac:dyDescent="0.3">
      <c r="A453" s="3">
        <v>44495</v>
      </c>
      <c r="C453" s="1">
        <v>3.16</v>
      </c>
      <c r="D453">
        <f>29*60+18</f>
        <v>1758</v>
      </c>
      <c r="E453">
        <f>9*60+16</f>
        <v>556</v>
      </c>
      <c r="F453">
        <f>8*60+54</f>
        <v>534</v>
      </c>
      <c r="G453">
        <f>9*60+15</f>
        <v>555</v>
      </c>
      <c r="H453">
        <f>9*60+43</f>
        <v>583</v>
      </c>
      <c r="I453">
        <v>259</v>
      </c>
      <c r="J453" t="s">
        <v>695</v>
      </c>
      <c r="K453" s="2" t="s">
        <v>696</v>
      </c>
      <c r="L453">
        <f>COUNTIF($C$2:C453, "&lt;&gt;")</f>
        <v>452</v>
      </c>
      <c r="N453" s="6">
        <f t="shared" si="10"/>
        <v>81.962025316455694</v>
      </c>
    </row>
    <row r="454" spans="1:14" x14ac:dyDescent="0.3">
      <c r="A454" s="3">
        <v>44496</v>
      </c>
      <c r="B454" t="s">
        <v>33</v>
      </c>
      <c r="C454" s="1">
        <v>3.11</v>
      </c>
      <c r="D454">
        <f>22*60+47</f>
        <v>1367</v>
      </c>
      <c r="E454">
        <f>7*60+20</f>
        <v>440</v>
      </c>
      <c r="F454">
        <f>6*60+59</f>
        <v>419</v>
      </c>
      <c r="G454">
        <f>6*60+59</f>
        <v>419</v>
      </c>
      <c r="H454">
        <f>7*60+45</f>
        <v>465</v>
      </c>
      <c r="I454">
        <v>104</v>
      </c>
      <c r="J454" t="s">
        <v>435</v>
      </c>
      <c r="K454" s="2" t="s">
        <v>697</v>
      </c>
      <c r="L454">
        <f>COUNTIF($C$2:C454, "&lt;&gt;")</f>
        <v>453</v>
      </c>
      <c r="N454" s="6">
        <f t="shared" si="10"/>
        <v>33.440514469453376</v>
      </c>
    </row>
    <row r="455" spans="1:14" x14ac:dyDescent="0.3">
      <c r="A455" s="3">
        <v>44497</v>
      </c>
      <c r="B455" t="s">
        <v>102</v>
      </c>
      <c r="C455" s="1">
        <v>3.11</v>
      </c>
      <c r="D455">
        <f>25*60+2</f>
        <v>1502</v>
      </c>
      <c r="E455">
        <f>8*60+3</f>
        <v>483</v>
      </c>
      <c r="F455">
        <f>7*60+55</f>
        <v>475</v>
      </c>
      <c r="G455">
        <f>7*60+49</f>
        <v>469</v>
      </c>
      <c r="H455">
        <f>8*60+28</f>
        <v>508</v>
      </c>
      <c r="I455">
        <v>123</v>
      </c>
      <c r="J455" t="s">
        <v>104</v>
      </c>
      <c r="K455" s="2" t="s">
        <v>698</v>
      </c>
      <c r="L455">
        <f>COUNTIF($C$2:C455, "&lt;&gt;")</f>
        <v>454</v>
      </c>
      <c r="N455" s="6">
        <f t="shared" si="10"/>
        <v>39.549839228295824</v>
      </c>
    </row>
    <row r="456" spans="1:14" x14ac:dyDescent="0.3">
      <c r="A456" s="3">
        <v>44498</v>
      </c>
      <c r="C456" s="1">
        <v>3.11</v>
      </c>
      <c r="D456">
        <f>29*60+55</f>
        <v>1795</v>
      </c>
      <c r="E456">
        <f>9*60+36</f>
        <v>576</v>
      </c>
      <c r="F456">
        <f>9*60+49</f>
        <v>589</v>
      </c>
      <c r="G456">
        <f>10*60+7</f>
        <v>607</v>
      </c>
      <c r="H456">
        <f>9*60+14</f>
        <v>554</v>
      </c>
      <c r="I456">
        <v>184</v>
      </c>
      <c r="J456" t="s">
        <v>702</v>
      </c>
      <c r="K456" s="2" t="s">
        <v>703</v>
      </c>
      <c r="L456">
        <f>COUNTIF($C$2:C456, "&lt;&gt;")</f>
        <v>455</v>
      </c>
      <c r="N456" s="6">
        <f t="shared" si="10"/>
        <v>59.163987138263671</v>
      </c>
    </row>
    <row r="457" spans="1:14" x14ac:dyDescent="0.3">
      <c r="A457" s="3">
        <v>44499</v>
      </c>
      <c r="B457" t="s">
        <v>705</v>
      </c>
      <c r="C457" s="1">
        <v>3.11</v>
      </c>
      <c r="D457">
        <f>30*60+53</f>
        <v>1853</v>
      </c>
      <c r="E457">
        <f>9*60+56</f>
        <v>596</v>
      </c>
      <c r="F457">
        <f>10*60+26</f>
        <v>626</v>
      </c>
      <c r="G457">
        <f>9*60+35</f>
        <v>575</v>
      </c>
      <c r="H457">
        <f>9*60+59</f>
        <v>599</v>
      </c>
      <c r="I457">
        <v>362</v>
      </c>
      <c r="J457" t="s">
        <v>705</v>
      </c>
      <c r="K457" s="2" t="s">
        <v>706</v>
      </c>
      <c r="L457">
        <f>COUNTIF($C$2:C457, "&lt;&gt;")</f>
        <v>456</v>
      </c>
      <c r="N457" s="6">
        <f t="shared" si="10"/>
        <v>116.39871382636656</v>
      </c>
    </row>
    <row r="458" spans="1:14" x14ac:dyDescent="0.3">
      <c r="A458" s="3">
        <v>44500</v>
      </c>
      <c r="B458" t="s">
        <v>102</v>
      </c>
      <c r="C458" s="1">
        <v>3.11</v>
      </c>
      <c r="D458">
        <f>27*60+12</f>
        <v>1632</v>
      </c>
      <c r="E458">
        <f>8*60+45</f>
        <v>525</v>
      </c>
      <c r="F458">
        <f>8*60+22</f>
        <v>502</v>
      </c>
      <c r="G458">
        <f>8*60+44</f>
        <v>524</v>
      </c>
      <c r="H458">
        <f>9*60+25</f>
        <v>565</v>
      </c>
      <c r="I458">
        <v>127</v>
      </c>
      <c r="J458" t="s">
        <v>104</v>
      </c>
      <c r="K458" s="2" t="s">
        <v>704</v>
      </c>
      <c r="L458">
        <f>COUNTIF($C$2:C458, "&lt;&gt;")</f>
        <v>457</v>
      </c>
      <c r="N458" s="6">
        <f t="shared" si="10"/>
        <v>40.836012861736336</v>
      </c>
    </row>
    <row r="459" spans="1:14" x14ac:dyDescent="0.3">
      <c r="A459" s="3">
        <v>44501</v>
      </c>
      <c r="B459" t="s">
        <v>20</v>
      </c>
      <c r="C459" s="1">
        <v>3.14</v>
      </c>
      <c r="D459">
        <f>22*60+43</f>
        <v>1363</v>
      </c>
      <c r="E459">
        <f>7*60+14</f>
        <v>434</v>
      </c>
      <c r="F459">
        <f>7*60+12</f>
        <v>432</v>
      </c>
      <c r="G459">
        <f>7*60+5</f>
        <v>425</v>
      </c>
      <c r="H459">
        <f>7*60+35</f>
        <v>455</v>
      </c>
      <c r="I459">
        <v>55</v>
      </c>
      <c r="J459" t="s">
        <v>389</v>
      </c>
      <c r="K459" s="2" t="s">
        <v>701</v>
      </c>
      <c r="L459">
        <f>COUNTIF($C$2:C459, "&lt;&gt;")</f>
        <v>458</v>
      </c>
      <c r="N459" s="6">
        <f t="shared" si="10"/>
        <v>17.515923566878982</v>
      </c>
    </row>
    <row r="460" spans="1:14" x14ac:dyDescent="0.3">
      <c r="A460" s="3">
        <v>44502</v>
      </c>
      <c r="B460" t="s">
        <v>699</v>
      </c>
      <c r="C460" s="1">
        <v>3.14</v>
      </c>
      <c r="D460">
        <f>26*60+54</f>
        <v>1614</v>
      </c>
      <c r="E460">
        <f>8*60+34</f>
        <v>514</v>
      </c>
      <c r="F460">
        <f>9*60</f>
        <v>540</v>
      </c>
      <c r="G460">
        <f>8*60+51</f>
        <v>531</v>
      </c>
      <c r="H460">
        <f>8*60+16</f>
        <v>496</v>
      </c>
      <c r="I460">
        <v>120</v>
      </c>
      <c r="J460" t="s">
        <v>699</v>
      </c>
      <c r="K460" s="2" t="s">
        <v>700</v>
      </c>
      <c r="L460">
        <f>COUNTIF($C$2:C460, "&lt;&gt;")</f>
        <v>459</v>
      </c>
      <c r="N460" s="6">
        <f t="shared" si="10"/>
        <v>38.216560509554135</v>
      </c>
    </row>
    <row r="461" spans="1:14" x14ac:dyDescent="0.3">
      <c r="A461" s="3">
        <v>44503</v>
      </c>
      <c r="B461" t="s">
        <v>33</v>
      </c>
      <c r="C461" s="1">
        <v>4.26</v>
      </c>
      <c r="D461">
        <f>33*60+42</f>
        <v>2022</v>
      </c>
      <c r="E461">
        <f>7*60+55</f>
        <v>475</v>
      </c>
      <c r="F461">
        <f>8*60+23</f>
        <v>503</v>
      </c>
      <c r="G461">
        <f>7*60+43</f>
        <v>463</v>
      </c>
      <c r="H461">
        <f>7*60+52</f>
        <v>472</v>
      </c>
      <c r="I461">
        <v>174</v>
      </c>
      <c r="J461" t="s">
        <v>123</v>
      </c>
      <c r="K461" s="2" t="s">
        <v>708</v>
      </c>
      <c r="L461">
        <f>COUNTIF($C$2:C461, "&lt;&gt;")</f>
        <v>460</v>
      </c>
      <c r="N461" s="6">
        <f t="shared" si="10"/>
        <v>40.845070422535215</v>
      </c>
    </row>
    <row r="462" spans="1:14" x14ac:dyDescent="0.3">
      <c r="A462" s="3">
        <v>44504</v>
      </c>
      <c r="B462" t="s">
        <v>102</v>
      </c>
      <c r="C462" s="1">
        <v>3.13</v>
      </c>
      <c r="D462">
        <f>27*60+31</f>
        <v>1651</v>
      </c>
      <c r="E462">
        <f>8*60+48</f>
        <v>528</v>
      </c>
      <c r="F462">
        <f>8*60+59</f>
        <v>539</v>
      </c>
      <c r="G462">
        <f>8*60+32</f>
        <v>512</v>
      </c>
      <c r="H462">
        <f>8*60+57</f>
        <v>537</v>
      </c>
      <c r="I462">
        <v>182</v>
      </c>
      <c r="J462" t="s">
        <v>104</v>
      </c>
      <c r="K462" s="2" t="s">
        <v>709</v>
      </c>
      <c r="L462">
        <f>COUNTIF($C$2:C462, "&lt;&gt;")</f>
        <v>461</v>
      </c>
      <c r="N462" s="6">
        <f t="shared" si="10"/>
        <v>58.146964856230035</v>
      </c>
    </row>
    <row r="463" spans="1:14" x14ac:dyDescent="0.3">
      <c r="A463" s="3">
        <v>44505</v>
      </c>
      <c r="B463" t="s">
        <v>102</v>
      </c>
      <c r="C463" s="1">
        <v>3.14</v>
      </c>
      <c r="D463">
        <f>27*60+25</f>
        <v>1645</v>
      </c>
      <c r="E463">
        <f>8*60+44</f>
        <v>524</v>
      </c>
      <c r="F463">
        <f>8*60+38</f>
        <v>518</v>
      </c>
      <c r="G463">
        <f>8*60+55</f>
        <v>535</v>
      </c>
      <c r="H463">
        <f>8*60+50</f>
        <v>530</v>
      </c>
      <c r="I463">
        <v>121</v>
      </c>
      <c r="J463" t="s">
        <v>104</v>
      </c>
      <c r="K463" s="2" t="s">
        <v>710</v>
      </c>
      <c r="L463">
        <f>COUNTIF($C$2:C463, "&lt;&gt;")</f>
        <v>462</v>
      </c>
      <c r="N463" s="6">
        <f t="shared" si="10"/>
        <v>38.535031847133759</v>
      </c>
    </row>
    <row r="464" spans="1:14" x14ac:dyDescent="0.3">
      <c r="A464" s="3">
        <v>44506</v>
      </c>
      <c r="B464" t="s">
        <v>9</v>
      </c>
      <c r="C464" s="1">
        <v>7.34</v>
      </c>
      <c r="D464">
        <f>1*3600+37</f>
        <v>3637</v>
      </c>
      <c r="E464">
        <f>8*60+16</f>
        <v>496</v>
      </c>
      <c r="F464">
        <f>8*60+28</f>
        <v>508</v>
      </c>
      <c r="G464">
        <f>8*60+33</f>
        <v>513</v>
      </c>
      <c r="H464">
        <f>8*60+29</f>
        <v>509</v>
      </c>
      <c r="I464">
        <v>250</v>
      </c>
      <c r="J464" t="s">
        <v>105</v>
      </c>
      <c r="K464" s="2" t="s">
        <v>711</v>
      </c>
      <c r="L464">
        <f>COUNTIF($C$2:C464, "&lt;&gt;")</f>
        <v>463</v>
      </c>
      <c r="N464" s="6">
        <f t="shared" si="10"/>
        <v>34.059945504087196</v>
      </c>
    </row>
    <row r="465" spans="1:14" x14ac:dyDescent="0.3">
      <c r="A465" s="3">
        <v>44507</v>
      </c>
      <c r="B465" t="s">
        <v>102</v>
      </c>
      <c r="C465" s="1">
        <v>3.12</v>
      </c>
      <c r="D465">
        <f>27*60+50</f>
        <v>1670</v>
      </c>
      <c r="E465">
        <f>8*60+55</f>
        <v>535</v>
      </c>
      <c r="F465">
        <f>9*60+10</f>
        <v>550</v>
      </c>
      <c r="G465">
        <f>8*60+59</f>
        <v>539</v>
      </c>
      <c r="H465">
        <f>8*60+56</f>
        <v>536</v>
      </c>
      <c r="I465">
        <v>136</v>
      </c>
      <c r="J465" t="s">
        <v>104</v>
      </c>
      <c r="K465" s="2" t="s">
        <v>712</v>
      </c>
      <c r="L465">
        <f>COUNTIF($C$2:C465, "&lt;&gt;")</f>
        <v>464</v>
      </c>
      <c r="N465" s="6">
        <f t="shared" si="10"/>
        <v>43.589743589743591</v>
      </c>
    </row>
    <row r="466" spans="1:14" x14ac:dyDescent="0.3">
      <c r="A466" s="3">
        <v>44508</v>
      </c>
      <c r="B466" t="s">
        <v>20</v>
      </c>
      <c r="C466" s="1">
        <v>3.12</v>
      </c>
      <c r="D466">
        <f>28*60</f>
        <v>1680</v>
      </c>
      <c r="E466">
        <f>8*60+59</f>
        <v>539</v>
      </c>
      <c r="F466">
        <f>9*60+15</f>
        <v>555</v>
      </c>
      <c r="G466">
        <f>9*60+9</f>
        <v>549</v>
      </c>
      <c r="H466">
        <f>8*60+42</f>
        <v>522</v>
      </c>
      <c r="I466">
        <v>114</v>
      </c>
      <c r="J466" t="s">
        <v>389</v>
      </c>
      <c r="K466" s="2" t="s">
        <v>713</v>
      </c>
      <c r="L466">
        <f>COUNTIF($C$2:C466, "&lt;&gt;")</f>
        <v>465</v>
      </c>
      <c r="N466" s="6">
        <f t="shared" si="10"/>
        <v>36.53846153846154</v>
      </c>
    </row>
    <row r="467" spans="1:14" x14ac:dyDescent="0.3">
      <c r="A467" s="3">
        <v>44509</v>
      </c>
      <c r="B467" t="s">
        <v>102</v>
      </c>
      <c r="C467" s="1">
        <v>3.17</v>
      </c>
      <c r="D467">
        <f>28*60+56</f>
        <v>1736</v>
      </c>
      <c r="E467">
        <f>9*60+8</f>
        <v>548</v>
      </c>
      <c r="F467">
        <f>9*60+19</f>
        <v>559</v>
      </c>
      <c r="G467">
        <f>9*60+1</f>
        <v>541</v>
      </c>
      <c r="H467">
        <f>9*60+3</f>
        <v>543</v>
      </c>
      <c r="I467">
        <v>108</v>
      </c>
      <c r="J467" t="s">
        <v>104</v>
      </c>
      <c r="K467" s="2" t="s">
        <v>714</v>
      </c>
      <c r="L467">
        <f>COUNTIF($C$2:C467, "&lt;&gt;")</f>
        <v>466</v>
      </c>
      <c r="N467" s="6">
        <f t="shared" si="10"/>
        <v>34.069400630914828</v>
      </c>
    </row>
    <row r="468" spans="1:14" x14ac:dyDescent="0.3">
      <c r="A468" s="3">
        <v>44510</v>
      </c>
      <c r="B468" t="s">
        <v>33</v>
      </c>
      <c r="C468" s="1">
        <v>4.2699999999999996</v>
      </c>
      <c r="D468">
        <f>33*60+2</f>
        <v>1982</v>
      </c>
      <c r="E468">
        <f>7*60+43</f>
        <v>463</v>
      </c>
      <c r="F468">
        <f>8*60+10</f>
        <v>490</v>
      </c>
      <c r="G468">
        <f>7*60+40</f>
        <v>460</v>
      </c>
      <c r="H468">
        <f>7*60+32</f>
        <v>452</v>
      </c>
      <c r="I468">
        <v>164</v>
      </c>
      <c r="J468" t="s">
        <v>123</v>
      </c>
      <c r="K468" s="2" t="s">
        <v>720</v>
      </c>
      <c r="L468">
        <f>COUNTIF($C$2:C468, "&lt;&gt;")</f>
        <v>467</v>
      </c>
      <c r="N468" s="6">
        <f t="shared" si="10"/>
        <v>38.407494145199067</v>
      </c>
    </row>
    <row r="469" spans="1:14" x14ac:dyDescent="0.3">
      <c r="A469" s="3">
        <v>44511</v>
      </c>
      <c r="B469" t="s">
        <v>102</v>
      </c>
      <c r="C469" s="1">
        <v>3.11</v>
      </c>
      <c r="D469">
        <f>29*60+6</f>
        <v>1746</v>
      </c>
      <c r="E469">
        <f>9*60+21</f>
        <v>561</v>
      </c>
      <c r="F469">
        <f>9*60+8</f>
        <v>548</v>
      </c>
      <c r="G469">
        <f>9*60+11</f>
        <v>551</v>
      </c>
      <c r="H469">
        <f>9*60+46</f>
        <v>586</v>
      </c>
      <c r="I469">
        <v>141</v>
      </c>
      <c r="J469" t="s">
        <v>104</v>
      </c>
      <c r="K469" s="2" t="s">
        <v>719</v>
      </c>
      <c r="L469">
        <f>COUNTIF($C$2:C469, "&lt;&gt;")</f>
        <v>468</v>
      </c>
      <c r="N469" s="6">
        <f t="shared" si="10"/>
        <v>45.337620578778136</v>
      </c>
    </row>
    <row r="470" spans="1:14" x14ac:dyDescent="0.3">
      <c r="A470" s="3">
        <v>44512</v>
      </c>
      <c r="B470" t="s">
        <v>102</v>
      </c>
      <c r="C470" s="1">
        <v>3.12</v>
      </c>
      <c r="D470">
        <f>27*60+50</f>
        <v>1670</v>
      </c>
      <c r="E470">
        <f>8*60+55</f>
        <v>535</v>
      </c>
      <c r="F470">
        <f>8*60+46</f>
        <v>526</v>
      </c>
      <c r="G470">
        <f>9*60+1</f>
        <v>541</v>
      </c>
      <c r="H470">
        <f>9*60+7</f>
        <v>547</v>
      </c>
      <c r="I470">
        <v>121</v>
      </c>
      <c r="J470" t="s">
        <v>104</v>
      </c>
      <c r="K470" s="2" t="s">
        <v>718</v>
      </c>
      <c r="L470">
        <f>COUNTIF($C$2:C470, "&lt;&gt;")</f>
        <v>469</v>
      </c>
      <c r="N470" s="6">
        <f t="shared" si="10"/>
        <v>38.782051282051277</v>
      </c>
    </row>
    <row r="471" spans="1:14" x14ac:dyDescent="0.3">
      <c r="A471" s="3">
        <v>44513</v>
      </c>
      <c r="B471" t="s">
        <v>102</v>
      </c>
      <c r="C471" s="1">
        <v>3.12</v>
      </c>
      <c r="D471">
        <f>28*60+51</f>
        <v>1731</v>
      </c>
      <c r="E471">
        <f>9*60+14</f>
        <v>554</v>
      </c>
      <c r="F471">
        <f>9*60+17</f>
        <v>557</v>
      </c>
      <c r="G471">
        <f>9*60+11</f>
        <v>551</v>
      </c>
      <c r="H471">
        <f>9*60+20</f>
        <v>560</v>
      </c>
      <c r="I471">
        <v>131</v>
      </c>
      <c r="J471" t="s">
        <v>104</v>
      </c>
      <c r="K471" s="2" t="s">
        <v>717</v>
      </c>
      <c r="L471">
        <f>COUNTIF($C$2:C471, "&lt;&gt;")</f>
        <v>470</v>
      </c>
      <c r="N471" s="6">
        <f t="shared" si="10"/>
        <v>41.987179487179489</v>
      </c>
    </row>
    <row r="472" spans="1:14" x14ac:dyDescent="0.3">
      <c r="A472" s="3">
        <v>44514</v>
      </c>
      <c r="C472" s="1">
        <v>3.12</v>
      </c>
      <c r="D472">
        <f>25*60+30</f>
        <v>1530</v>
      </c>
      <c r="E472">
        <f>8*60+10</f>
        <v>490</v>
      </c>
      <c r="F472">
        <f>8*60+42</f>
        <v>522</v>
      </c>
      <c r="G472">
        <f>8*60+22</f>
        <v>502</v>
      </c>
      <c r="H472">
        <f>7*60+34</f>
        <v>454</v>
      </c>
      <c r="I472">
        <v>170</v>
      </c>
      <c r="J472" t="s">
        <v>752</v>
      </c>
      <c r="K472" s="2" t="s">
        <v>715</v>
      </c>
      <c r="L472">
        <f>COUNTIF($C$2:C472, "&lt;&gt;")</f>
        <v>471</v>
      </c>
      <c r="N472" s="6">
        <f t="shared" si="10"/>
        <v>54.487179487179482</v>
      </c>
    </row>
    <row r="473" spans="1:14" x14ac:dyDescent="0.3">
      <c r="A473" s="3">
        <v>44515</v>
      </c>
      <c r="B473" t="s">
        <v>20</v>
      </c>
      <c r="C473" s="1">
        <v>5.01</v>
      </c>
      <c r="D473">
        <f>38*60+46</f>
        <v>2326</v>
      </c>
      <c r="E473">
        <f>7*60+44</f>
        <v>464</v>
      </c>
      <c r="F473">
        <f>7*60+49</f>
        <v>469</v>
      </c>
      <c r="G473">
        <f>7*60+46</f>
        <v>466</v>
      </c>
      <c r="H473">
        <f>7*60+56</f>
        <v>476</v>
      </c>
      <c r="I473">
        <v>137</v>
      </c>
      <c r="J473" t="s">
        <v>21</v>
      </c>
      <c r="K473" s="2" t="s">
        <v>716</v>
      </c>
      <c r="L473">
        <f>COUNTIF($C$2:C473, "&lt;&gt;")</f>
        <v>472</v>
      </c>
      <c r="N473" s="6">
        <f t="shared" si="10"/>
        <v>27.345309381237527</v>
      </c>
    </row>
    <row r="474" spans="1:14" x14ac:dyDescent="0.3">
      <c r="A474" s="3">
        <v>44516</v>
      </c>
      <c r="B474" t="s">
        <v>721</v>
      </c>
      <c r="C474" s="1">
        <v>3.12</v>
      </c>
      <c r="D474">
        <f>27*60+49</f>
        <v>1669</v>
      </c>
      <c r="E474">
        <f>8*60+55</f>
        <v>535</v>
      </c>
      <c r="F474">
        <f>8*60+57</f>
        <v>537</v>
      </c>
      <c r="G474">
        <f>9*60+6</f>
        <v>546</v>
      </c>
      <c r="H474">
        <f>8*60+51</f>
        <v>531</v>
      </c>
      <c r="I474">
        <v>135</v>
      </c>
      <c r="J474" t="s">
        <v>721</v>
      </c>
      <c r="K474" s="2" t="s">
        <v>722</v>
      </c>
      <c r="L474">
        <f>COUNTIF($C$2:C474, "&lt;&gt;")</f>
        <v>473</v>
      </c>
      <c r="N474" s="6">
        <f t="shared" si="10"/>
        <v>43.269230769230766</v>
      </c>
    </row>
    <row r="475" spans="1:14" x14ac:dyDescent="0.3">
      <c r="A475" s="3">
        <v>44517</v>
      </c>
      <c r="B475" t="s">
        <v>33</v>
      </c>
      <c r="C475" s="1">
        <v>4.26</v>
      </c>
      <c r="D475">
        <f>32*60</f>
        <v>1920</v>
      </c>
      <c r="E475">
        <f>7*60+30</f>
        <v>450</v>
      </c>
      <c r="F475">
        <f>7*60</f>
        <v>420</v>
      </c>
      <c r="G475">
        <f>7*60+46</f>
        <v>466</v>
      </c>
      <c r="H475">
        <f>7*60+45</f>
        <v>465</v>
      </c>
      <c r="I475">
        <v>179</v>
      </c>
      <c r="J475" t="s">
        <v>123</v>
      </c>
      <c r="K475" s="2" t="s">
        <v>724</v>
      </c>
      <c r="L475">
        <f>COUNTIF($C$2:C475, "&lt;&gt;")</f>
        <v>474</v>
      </c>
      <c r="N475" s="6">
        <f t="shared" si="10"/>
        <v>42.018779342723008</v>
      </c>
    </row>
    <row r="476" spans="1:14" x14ac:dyDescent="0.3">
      <c r="A476" s="3">
        <v>44518</v>
      </c>
      <c r="B476" t="s">
        <v>102</v>
      </c>
      <c r="C476" s="1">
        <v>3.12</v>
      </c>
      <c r="D476">
        <f>26*60+40</f>
        <v>1600</v>
      </c>
      <c r="E476">
        <f>8*60+33</f>
        <v>513</v>
      </c>
      <c r="F476">
        <f>8*60+48</f>
        <v>528</v>
      </c>
      <c r="G476">
        <f>8*60+29</f>
        <v>509</v>
      </c>
      <c r="H476">
        <f>8*60+29</f>
        <v>509</v>
      </c>
      <c r="I476">
        <v>120</v>
      </c>
      <c r="J476" t="s">
        <v>104</v>
      </c>
      <c r="K476" s="2" t="s">
        <v>723</v>
      </c>
      <c r="L476">
        <f>COUNTIF($C$2:C476, "&lt;&gt;")</f>
        <v>475</v>
      </c>
      <c r="N476" s="6">
        <f t="shared" si="10"/>
        <v>38.46153846153846</v>
      </c>
    </row>
    <row r="477" spans="1:14" x14ac:dyDescent="0.3">
      <c r="A477" s="3">
        <v>44519</v>
      </c>
      <c r="B477" t="s">
        <v>102</v>
      </c>
      <c r="C477" s="1">
        <v>3.12</v>
      </c>
      <c r="D477">
        <f>25*60+58</f>
        <v>1558</v>
      </c>
      <c r="E477">
        <f>8*60+19</f>
        <v>499</v>
      </c>
      <c r="F477">
        <f>8*60+26</f>
        <v>506</v>
      </c>
      <c r="G477">
        <f>8*60+26</f>
        <v>506</v>
      </c>
      <c r="H477">
        <f>8*60+16</f>
        <v>496</v>
      </c>
      <c r="I477">
        <v>112</v>
      </c>
      <c r="J477" t="s">
        <v>104</v>
      </c>
      <c r="K477" s="2" t="s">
        <v>725</v>
      </c>
      <c r="L477">
        <f>COUNTIF($C$2:C477, "&lt;&gt;")</f>
        <v>476</v>
      </c>
      <c r="N477" s="6">
        <f t="shared" si="10"/>
        <v>35.897435897435898</v>
      </c>
    </row>
    <row r="478" spans="1:14" x14ac:dyDescent="0.3">
      <c r="A478" s="3">
        <v>44520</v>
      </c>
      <c r="C478" s="1">
        <v>3.12</v>
      </c>
      <c r="D478">
        <f>26*60+51</f>
        <v>1611</v>
      </c>
      <c r="E478">
        <f>8*60+36</f>
        <v>516</v>
      </c>
      <c r="F478">
        <f>8*60+56</f>
        <v>536</v>
      </c>
      <c r="G478">
        <f>9*60+34</f>
        <v>574</v>
      </c>
      <c r="H478">
        <f>7*60+35</f>
        <v>455</v>
      </c>
      <c r="I478">
        <v>152</v>
      </c>
      <c r="J478" t="s">
        <v>727</v>
      </c>
      <c r="K478" s="2" t="s">
        <v>728</v>
      </c>
      <c r="L478">
        <f>COUNTIF($C$2:C478, "&lt;&gt;")</f>
        <v>477</v>
      </c>
      <c r="N478" s="6">
        <f t="shared" si="10"/>
        <v>48.717948717948715</v>
      </c>
    </row>
    <row r="479" spans="1:14" x14ac:dyDescent="0.3">
      <c r="A479" s="3">
        <v>44521</v>
      </c>
      <c r="B479" t="s">
        <v>20</v>
      </c>
      <c r="C479" s="1">
        <v>3.12</v>
      </c>
      <c r="D479">
        <f>30*60+56</f>
        <v>1856</v>
      </c>
      <c r="E479">
        <f>9*60+54</f>
        <v>594</v>
      </c>
      <c r="F479">
        <f>10*60+54</f>
        <v>654</v>
      </c>
      <c r="G479">
        <f>10*60+50</f>
        <v>650</v>
      </c>
      <c r="H479">
        <f>8*60+18</f>
        <v>498</v>
      </c>
      <c r="I479">
        <v>104</v>
      </c>
      <c r="J479" t="s">
        <v>389</v>
      </c>
      <c r="K479" s="2" t="s">
        <v>726</v>
      </c>
      <c r="L479">
        <f>COUNTIF($C$2:C479, "&lt;&gt;")</f>
        <v>478</v>
      </c>
      <c r="N479" s="6">
        <f t="shared" si="10"/>
        <v>33.333333333333336</v>
      </c>
    </row>
    <row r="480" spans="1:14" x14ac:dyDescent="0.3">
      <c r="A480" s="3">
        <v>44522</v>
      </c>
      <c r="B480" t="s">
        <v>20</v>
      </c>
      <c r="C480" s="1">
        <v>3.12</v>
      </c>
      <c r="D480">
        <f>25*60+37</f>
        <v>1537</v>
      </c>
      <c r="E480">
        <f>8*60+12</f>
        <v>492</v>
      </c>
      <c r="F480">
        <f>8*60+26</f>
        <v>506</v>
      </c>
      <c r="G480">
        <f>8*60+3</f>
        <v>483</v>
      </c>
      <c r="H480">
        <f>8*60+3</f>
        <v>483</v>
      </c>
      <c r="I480">
        <v>57</v>
      </c>
      <c r="J480" t="s">
        <v>389</v>
      </c>
      <c r="K480" s="2" t="s">
        <v>729</v>
      </c>
      <c r="L480">
        <f>COUNTIF($C$2:C480, "&lt;&gt;")</f>
        <v>479</v>
      </c>
      <c r="N480" s="6">
        <f t="shared" si="10"/>
        <v>18.26923076923077</v>
      </c>
    </row>
    <row r="481" spans="1:14" x14ac:dyDescent="0.3">
      <c r="A481" s="3">
        <v>44523</v>
      </c>
      <c r="B481" t="s">
        <v>102</v>
      </c>
      <c r="C481" s="1">
        <v>3.12</v>
      </c>
      <c r="D481">
        <f>27*60+16</f>
        <v>1636</v>
      </c>
      <c r="E481">
        <f>8*60+44</f>
        <v>524</v>
      </c>
      <c r="F481">
        <f>8*60+36</f>
        <v>516</v>
      </c>
      <c r="G481">
        <f>8*60+35</f>
        <v>515</v>
      </c>
      <c r="H481">
        <f>9*60+8</f>
        <v>548</v>
      </c>
      <c r="I481">
        <v>136</v>
      </c>
      <c r="J481" t="s">
        <v>104</v>
      </c>
      <c r="K481" s="2" t="s">
        <v>737</v>
      </c>
      <c r="L481">
        <f>COUNTIF($C$2:C481, "&lt;&gt;")</f>
        <v>480</v>
      </c>
      <c r="N481" s="6">
        <f t="shared" si="10"/>
        <v>43.589743589743591</v>
      </c>
    </row>
    <row r="482" spans="1:14" x14ac:dyDescent="0.3">
      <c r="A482" s="3">
        <v>44524</v>
      </c>
      <c r="B482" t="s">
        <v>33</v>
      </c>
      <c r="C482" s="1">
        <v>4.21</v>
      </c>
      <c r="D482">
        <f>31*60+27</f>
        <v>1887</v>
      </c>
      <c r="E482">
        <f>7*60+28</f>
        <v>448</v>
      </c>
      <c r="F482">
        <f>7*60+33</f>
        <v>453</v>
      </c>
      <c r="G482">
        <f>7*60+44</f>
        <v>464</v>
      </c>
      <c r="H482">
        <f>7*60+23</f>
        <v>443</v>
      </c>
      <c r="I482">
        <v>181</v>
      </c>
      <c r="J482" t="s">
        <v>123</v>
      </c>
      <c r="K482" s="2" t="s">
        <v>738</v>
      </c>
      <c r="L482">
        <f>COUNTIF($C$2:C482, "&lt;&gt;")</f>
        <v>481</v>
      </c>
      <c r="N482" s="6">
        <f t="shared" si="10"/>
        <v>42.99287410926366</v>
      </c>
    </row>
    <row r="483" spans="1:14" x14ac:dyDescent="0.3">
      <c r="A483" s="3">
        <v>44525</v>
      </c>
      <c r="B483" t="s">
        <v>734</v>
      </c>
      <c r="C483" s="1">
        <v>4.91</v>
      </c>
      <c r="D483">
        <f>52*60+47</f>
        <v>3167</v>
      </c>
      <c r="E483">
        <f>10*60+45</f>
        <v>645</v>
      </c>
      <c r="F483">
        <f>10*60+22</f>
        <v>622</v>
      </c>
      <c r="G483">
        <f>10*60+36</f>
        <v>636</v>
      </c>
      <c r="H483">
        <f>10*60+38</f>
        <v>638</v>
      </c>
      <c r="I483">
        <v>85</v>
      </c>
      <c r="J483" t="s">
        <v>735</v>
      </c>
      <c r="K483" s="2" t="s">
        <v>736</v>
      </c>
      <c r="L483">
        <f>COUNTIF($C$2:C483, "&lt;&gt;")</f>
        <v>482</v>
      </c>
      <c r="N483" s="6">
        <f t="shared" si="10"/>
        <v>17.311608961303463</v>
      </c>
    </row>
    <row r="484" spans="1:14" x14ac:dyDescent="0.3">
      <c r="A484" s="3">
        <v>44526</v>
      </c>
      <c r="B484" t="s">
        <v>102</v>
      </c>
      <c r="C484" s="1">
        <v>3.13</v>
      </c>
      <c r="D484">
        <f>26*60+44</f>
        <v>1604</v>
      </c>
      <c r="E484">
        <f>8*60+32</f>
        <v>512</v>
      </c>
      <c r="F484">
        <f>8*60+51</f>
        <v>531</v>
      </c>
      <c r="G484">
        <f>8*60+39</f>
        <v>519</v>
      </c>
      <c r="H484">
        <f>8*60+25</f>
        <v>505</v>
      </c>
      <c r="I484">
        <v>136</v>
      </c>
      <c r="J484" t="s">
        <v>104</v>
      </c>
      <c r="K484" s="2" t="s">
        <v>733</v>
      </c>
      <c r="L484">
        <f>COUNTIF($C$2:C484, "&lt;&gt;")</f>
        <v>483</v>
      </c>
      <c r="N484" s="6">
        <f t="shared" si="10"/>
        <v>43.450479233226837</v>
      </c>
    </row>
    <row r="485" spans="1:14" x14ac:dyDescent="0.3">
      <c r="A485" s="3">
        <v>44527</v>
      </c>
      <c r="B485" t="s">
        <v>9</v>
      </c>
      <c r="C485" s="1">
        <v>6.25</v>
      </c>
      <c r="D485">
        <f>45*60+18</f>
        <v>2718</v>
      </c>
      <c r="E485">
        <f>7*60+15</f>
        <v>435</v>
      </c>
      <c r="F485">
        <f>7*60+44</f>
        <v>464</v>
      </c>
      <c r="G485">
        <f>7*60+21</f>
        <v>441</v>
      </c>
      <c r="H485">
        <f>7*60+15</f>
        <v>435</v>
      </c>
      <c r="I485">
        <v>72</v>
      </c>
      <c r="J485" t="s">
        <v>54</v>
      </c>
      <c r="K485" s="2" t="s">
        <v>732</v>
      </c>
      <c r="L485">
        <f>COUNTIF($C$2:C485, "&lt;&gt;")</f>
        <v>484</v>
      </c>
      <c r="N485" s="6">
        <f t="shared" si="10"/>
        <v>11.52</v>
      </c>
    </row>
    <row r="486" spans="1:14" x14ac:dyDescent="0.3">
      <c r="A486" s="3">
        <v>44528</v>
      </c>
      <c r="B486" t="s">
        <v>730</v>
      </c>
      <c r="C486" s="1">
        <v>5.0199999999999996</v>
      </c>
      <c r="D486">
        <f>46*60+12</f>
        <v>2772</v>
      </c>
      <c r="E486">
        <f>9*60+12</f>
        <v>552</v>
      </c>
      <c r="F486">
        <f>9*60+50</f>
        <v>590</v>
      </c>
      <c r="G486">
        <f>8*60+55</f>
        <v>535</v>
      </c>
      <c r="H486">
        <f>9*60+23</f>
        <v>563</v>
      </c>
      <c r="I486">
        <v>117</v>
      </c>
      <c r="J486" t="s">
        <v>592</v>
      </c>
      <c r="K486" s="2" t="s">
        <v>731</v>
      </c>
      <c r="L486">
        <f>COUNTIF($C$2:C486, "&lt;&gt;")</f>
        <v>485</v>
      </c>
      <c r="N486" s="6">
        <f t="shared" si="10"/>
        <v>23.306772908366536</v>
      </c>
    </row>
    <row r="487" spans="1:14" x14ac:dyDescent="0.3">
      <c r="A487" s="3">
        <v>44529</v>
      </c>
      <c r="B487" t="s">
        <v>20</v>
      </c>
      <c r="C487" s="1">
        <v>4.09</v>
      </c>
      <c r="D487">
        <f>39*60+7</f>
        <v>2347</v>
      </c>
      <c r="E487">
        <f>9*60+34</f>
        <v>574</v>
      </c>
      <c r="F487">
        <f>8*60+19</f>
        <v>499</v>
      </c>
      <c r="G487">
        <f>8*60+56</f>
        <v>536</v>
      </c>
      <c r="H487">
        <f>10*60+52</f>
        <v>652</v>
      </c>
      <c r="I487">
        <v>186</v>
      </c>
      <c r="J487" t="s">
        <v>389</v>
      </c>
      <c r="K487" s="2" t="s">
        <v>740</v>
      </c>
      <c r="L487">
        <f>COUNTIF($C$2:C487, "&lt;&gt;")</f>
        <v>486</v>
      </c>
      <c r="M487" t="s">
        <v>739</v>
      </c>
      <c r="N487" s="6">
        <f t="shared" si="10"/>
        <v>45.47677261613692</v>
      </c>
    </row>
    <row r="488" spans="1:14" x14ac:dyDescent="0.3">
      <c r="A488" s="3">
        <v>44530</v>
      </c>
      <c r="B488" t="s">
        <v>102</v>
      </c>
      <c r="C488" s="1">
        <v>3.12</v>
      </c>
      <c r="D488">
        <f>28*60+33</f>
        <v>1713</v>
      </c>
      <c r="E488">
        <f>9*60+9</f>
        <v>549</v>
      </c>
      <c r="F488">
        <f>9*60+14</f>
        <v>554</v>
      </c>
      <c r="G488">
        <f>9*60+9</f>
        <v>549</v>
      </c>
      <c r="H488">
        <f>9*60+7</f>
        <v>547</v>
      </c>
      <c r="I488">
        <v>131</v>
      </c>
      <c r="J488" t="s">
        <v>104</v>
      </c>
      <c r="K488" s="2" t="s">
        <v>747</v>
      </c>
      <c r="L488">
        <f>COUNTIF($C$2:C488, "&lt;&gt;")</f>
        <v>487</v>
      </c>
      <c r="N488" s="6">
        <f t="shared" si="10"/>
        <v>41.987179487179489</v>
      </c>
    </row>
    <row r="489" spans="1:14" x14ac:dyDescent="0.3">
      <c r="A489" s="3">
        <v>44531</v>
      </c>
      <c r="B489" t="s">
        <v>33</v>
      </c>
      <c r="C489" s="1">
        <v>3.12</v>
      </c>
      <c r="D489">
        <f>22*60+53</f>
        <v>1373</v>
      </c>
      <c r="E489">
        <f>7*60+20</f>
        <v>440</v>
      </c>
      <c r="F489">
        <f>6*60+50</f>
        <v>410</v>
      </c>
      <c r="G489">
        <f>7*60+38</f>
        <v>458</v>
      </c>
      <c r="H489">
        <f>7*60+27</f>
        <v>447</v>
      </c>
      <c r="I489">
        <v>129</v>
      </c>
      <c r="J489" t="s">
        <v>435</v>
      </c>
      <c r="K489" s="2" t="s">
        <v>748</v>
      </c>
      <c r="L489">
        <f>COUNTIF($C$2:C489, "&lt;&gt;")</f>
        <v>488</v>
      </c>
      <c r="N489" s="6">
        <f t="shared" si="10"/>
        <v>41.346153846153847</v>
      </c>
    </row>
    <row r="490" spans="1:14" x14ac:dyDescent="0.3">
      <c r="A490" s="3">
        <v>44532</v>
      </c>
      <c r="B490" t="s">
        <v>102</v>
      </c>
      <c r="C490" s="1">
        <v>3.12</v>
      </c>
      <c r="D490">
        <f>28*60+39</f>
        <v>1719</v>
      </c>
      <c r="E490">
        <f>9*60+11</f>
        <v>551</v>
      </c>
      <c r="F490">
        <f>9*60+23</f>
        <v>563</v>
      </c>
      <c r="G490">
        <f>9*60+17</f>
        <v>557</v>
      </c>
      <c r="H490">
        <f>9*60+8</f>
        <v>548</v>
      </c>
      <c r="I490">
        <v>119</v>
      </c>
      <c r="J490" t="s">
        <v>104</v>
      </c>
      <c r="K490" s="2" t="s">
        <v>749</v>
      </c>
      <c r="L490">
        <f>COUNTIF($C$2:C490, "&lt;&gt;")</f>
        <v>489</v>
      </c>
      <c r="N490" s="6">
        <f t="shared" si="10"/>
        <v>38.141025641025642</v>
      </c>
    </row>
    <row r="491" spans="1:14" x14ac:dyDescent="0.3">
      <c r="A491" s="3">
        <v>44533</v>
      </c>
      <c r="B491" t="s">
        <v>102</v>
      </c>
      <c r="C491" s="1">
        <v>3.24</v>
      </c>
      <c r="D491">
        <f>31*60+57</f>
        <v>1917</v>
      </c>
      <c r="E491">
        <f>9*60+52</f>
        <v>592</v>
      </c>
      <c r="F491">
        <f>9*60+45</f>
        <v>585</v>
      </c>
      <c r="G491">
        <f>9*60+43</f>
        <v>583</v>
      </c>
      <c r="H491">
        <f>10*60+6</f>
        <v>606</v>
      </c>
      <c r="I491">
        <v>204</v>
      </c>
      <c r="J491" t="s">
        <v>104</v>
      </c>
      <c r="K491" s="2" t="s">
        <v>750</v>
      </c>
      <c r="L491">
        <f>COUNTIF($C$2:C491, "&lt;&gt;")</f>
        <v>490</v>
      </c>
      <c r="N491" s="6">
        <f t="shared" si="10"/>
        <v>62.962962962962962</v>
      </c>
    </row>
    <row r="492" spans="1:14" x14ac:dyDescent="0.3">
      <c r="A492" s="3">
        <v>44534</v>
      </c>
      <c r="B492" t="s">
        <v>102</v>
      </c>
      <c r="C492" s="1">
        <v>3.12</v>
      </c>
      <c r="D492">
        <f>29*60+38</f>
        <v>1778</v>
      </c>
      <c r="E492">
        <f>9*60+30</f>
        <v>570</v>
      </c>
      <c r="F492">
        <f>9*60+25</f>
        <v>565</v>
      </c>
      <c r="G492">
        <f>9*60+23</f>
        <v>563</v>
      </c>
      <c r="H492">
        <f>9*60+52</f>
        <v>592</v>
      </c>
      <c r="I492">
        <v>135</v>
      </c>
      <c r="J492" t="s">
        <v>104</v>
      </c>
      <c r="K492" s="2" t="s">
        <v>751</v>
      </c>
      <c r="L492">
        <f>COUNTIF($C$2:C492, "&lt;&gt;")</f>
        <v>491</v>
      </c>
      <c r="N492" s="6">
        <f t="shared" si="10"/>
        <v>43.269230769230766</v>
      </c>
    </row>
    <row r="493" spans="1:14" x14ac:dyDescent="0.3">
      <c r="A493" s="3">
        <v>44535</v>
      </c>
      <c r="B493" t="s">
        <v>705</v>
      </c>
      <c r="C493" s="1">
        <v>3.12</v>
      </c>
      <c r="D493">
        <f>26*60+59</f>
        <v>1619</v>
      </c>
      <c r="E493">
        <f>8*60+39</f>
        <v>519</v>
      </c>
      <c r="F493">
        <f>9*60+41</f>
        <v>581</v>
      </c>
      <c r="G493">
        <f>9*60</f>
        <v>540</v>
      </c>
      <c r="H493">
        <f>7*60+35</f>
        <v>455</v>
      </c>
      <c r="I493">
        <v>294</v>
      </c>
      <c r="J493" t="s">
        <v>705</v>
      </c>
      <c r="K493" s="2" t="s">
        <v>746</v>
      </c>
      <c r="L493">
        <f>COUNTIF($C$2:C493, "&lt;&gt;")</f>
        <v>492</v>
      </c>
      <c r="N493" s="6">
        <f t="shared" si="10"/>
        <v>94.230769230769226</v>
      </c>
    </row>
    <row r="494" spans="1:14" x14ac:dyDescent="0.3">
      <c r="A494" s="3">
        <v>44536</v>
      </c>
      <c r="B494" t="s">
        <v>72</v>
      </c>
      <c r="C494" s="1">
        <v>3.12</v>
      </c>
      <c r="D494">
        <f>24*60+42</f>
        <v>1482</v>
      </c>
      <c r="E494">
        <f>7*60+55</f>
        <v>475</v>
      </c>
      <c r="F494">
        <f>8*60+29</f>
        <v>509</v>
      </c>
      <c r="G494">
        <f>7*60+50</f>
        <v>470</v>
      </c>
      <c r="H494">
        <f>7*60+39</f>
        <v>459</v>
      </c>
      <c r="I494">
        <v>164</v>
      </c>
      <c r="J494" t="s">
        <v>71</v>
      </c>
      <c r="K494" s="2" t="s">
        <v>745</v>
      </c>
      <c r="L494">
        <f>COUNTIF($C$2:C494, "&lt;&gt;")</f>
        <v>493</v>
      </c>
      <c r="N494" s="6">
        <f t="shared" si="10"/>
        <v>52.564102564102562</v>
      </c>
    </row>
    <row r="495" spans="1:14" x14ac:dyDescent="0.3">
      <c r="A495" s="3">
        <v>44537</v>
      </c>
      <c r="B495" t="s">
        <v>102</v>
      </c>
      <c r="C495" s="1">
        <v>3.12</v>
      </c>
      <c r="D495">
        <f>27*60+9</f>
        <v>1629</v>
      </c>
      <c r="E495">
        <f>8*60+42</f>
        <v>522</v>
      </c>
      <c r="F495">
        <f>8*60+47</f>
        <v>527</v>
      </c>
      <c r="G495">
        <f>8*60+27</f>
        <v>507</v>
      </c>
      <c r="H495">
        <f>8*60+49</f>
        <v>529</v>
      </c>
      <c r="I495">
        <v>202</v>
      </c>
      <c r="J495" t="s">
        <v>104</v>
      </c>
      <c r="K495" s="2" t="s">
        <v>744</v>
      </c>
      <c r="L495">
        <f>COUNTIF($C$2:C495, "&lt;&gt;")</f>
        <v>494</v>
      </c>
      <c r="N495" s="6">
        <f t="shared" si="10"/>
        <v>64.743589743589737</v>
      </c>
    </row>
    <row r="496" spans="1:14" x14ac:dyDescent="0.3">
      <c r="A496" s="3">
        <v>44538</v>
      </c>
      <c r="B496" t="s">
        <v>33</v>
      </c>
      <c r="C496" s="1">
        <v>4.21</v>
      </c>
      <c r="D496">
        <f>30*60+25</f>
        <v>1825</v>
      </c>
      <c r="E496">
        <f>7*60+14</f>
        <v>434</v>
      </c>
      <c r="F496">
        <f>7*60+7</f>
        <v>427</v>
      </c>
      <c r="G496">
        <f>7*60+18</f>
        <v>438</v>
      </c>
      <c r="H496">
        <f>7*60+35</f>
        <v>455</v>
      </c>
      <c r="I496">
        <v>180</v>
      </c>
      <c r="J496" t="s">
        <v>123</v>
      </c>
      <c r="K496" s="2" t="s">
        <v>743</v>
      </c>
      <c r="L496">
        <f>COUNTIF($C$2:C496, "&lt;&gt;")</f>
        <v>495</v>
      </c>
      <c r="N496" s="6">
        <f t="shared" si="10"/>
        <v>42.75534441805226</v>
      </c>
    </row>
    <row r="497" spans="1:14" x14ac:dyDescent="0.3">
      <c r="A497" s="3">
        <v>44539</v>
      </c>
      <c r="B497" t="s">
        <v>102</v>
      </c>
      <c r="C497" s="1">
        <v>3.13</v>
      </c>
      <c r="D497">
        <f>29*60+23</f>
        <v>1763</v>
      </c>
      <c r="E497">
        <f>9*60+23</f>
        <v>563</v>
      </c>
      <c r="F497">
        <f>8*60+51</f>
        <v>531</v>
      </c>
      <c r="G497">
        <f>9*60+34</f>
        <v>574</v>
      </c>
      <c r="H497">
        <f>9*60+55</f>
        <v>595</v>
      </c>
      <c r="I497">
        <v>141</v>
      </c>
      <c r="J497" t="s">
        <v>104</v>
      </c>
      <c r="K497" s="2" t="s">
        <v>742</v>
      </c>
      <c r="L497">
        <f>COUNTIF($C$2:C497, "&lt;&gt;")</f>
        <v>496</v>
      </c>
      <c r="N497" s="6">
        <f t="shared" si="10"/>
        <v>45.047923322683708</v>
      </c>
    </row>
    <row r="498" spans="1:14" x14ac:dyDescent="0.3">
      <c r="A498" s="3">
        <v>44540</v>
      </c>
      <c r="B498" t="s">
        <v>102</v>
      </c>
      <c r="C498" s="1">
        <v>3.12</v>
      </c>
      <c r="D498">
        <f>28*60+47</f>
        <v>1727</v>
      </c>
      <c r="E498">
        <f>9*60+13</f>
        <v>553</v>
      </c>
      <c r="F498">
        <f>9*60+23</f>
        <v>563</v>
      </c>
      <c r="G498">
        <f>9*60+22</f>
        <v>562</v>
      </c>
      <c r="H498">
        <f>9*60+17</f>
        <v>557</v>
      </c>
      <c r="I498">
        <v>107</v>
      </c>
      <c r="J498" t="s">
        <v>104</v>
      </c>
      <c r="K498" s="2" t="s">
        <v>741</v>
      </c>
      <c r="L498">
        <f>COUNTIF($C$2:C498, "&lt;&gt;")</f>
        <v>497</v>
      </c>
      <c r="N498" s="6">
        <f t="shared" si="10"/>
        <v>34.294871794871796</v>
      </c>
    </row>
    <row r="499" spans="1:14" x14ac:dyDescent="0.3">
      <c r="A499" s="3">
        <v>44541</v>
      </c>
      <c r="B499" t="s">
        <v>754</v>
      </c>
      <c r="C499" s="1">
        <v>3.12</v>
      </c>
      <c r="D499">
        <f>30*60+45</f>
        <v>1845</v>
      </c>
      <c r="E499">
        <f>9*60+51</f>
        <v>591</v>
      </c>
      <c r="F499">
        <f>10*60+26</f>
        <v>626</v>
      </c>
      <c r="G499">
        <f>9*60+44</f>
        <v>584</v>
      </c>
      <c r="H499">
        <f>9*60+26</f>
        <v>566</v>
      </c>
      <c r="I499">
        <v>253</v>
      </c>
      <c r="J499" t="s">
        <v>755</v>
      </c>
      <c r="K499" s="2" t="s">
        <v>756</v>
      </c>
      <c r="L499">
        <f>COUNTIF($C$2:C499, "&lt;&gt;")</f>
        <v>498</v>
      </c>
      <c r="N499" s="6">
        <f t="shared" si="10"/>
        <v>81.089743589743591</v>
      </c>
    </row>
    <row r="500" spans="1:14" x14ac:dyDescent="0.3">
      <c r="A500" s="3">
        <v>44542</v>
      </c>
      <c r="B500" t="s">
        <v>9</v>
      </c>
      <c r="C500" s="1">
        <v>4.68</v>
      </c>
      <c r="D500">
        <f>40*60+52</f>
        <v>2452</v>
      </c>
      <c r="E500">
        <f>8*60+44</f>
        <v>524</v>
      </c>
      <c r="F500">
        <f>9*60+6</f>
        <v>546</v>
      </c>
      <c r="G500">
        <f>8*60+43</f>
        <v>523</v>
      </c>
      <c r="H500">
        <f>8*60+39</f>
        <v>519</v>
      </c>
      <c r="I500">
        <v>7</v>
      </c>
      <c r="J500" t="s">
        <v>54</v>
      </c>
      <c r="K500" s="2" t="s">
        <v>757</v>
      </c>
      <c r="L500">
        <f>COUNTIF($C$2:C500, "&lt;&gt;")</f>
        <v>499</v>
      </c>
      <c r="N500" s="6">
        <f t="shared" si="10"/>
        <v>1.4957264957264957</v>
      </c>
    </row>
    <row r="501" spans="1:14" x14ac:dyDescent="0.3">
      <c r="A501" s="3">
        <v>44543</v>
      </c>
      <c r="B501" t="s">
        <v>20</v>
      </c>
      <c r="C501" s="1">
        <v>4.08</v>
      </c>
      <c r="D501">
        <f>33*60+46</f>
        <v>2026</v>
      </c>
      <c r="E501">
        <f>8*60+17</f>
        <v>497</v>
      </c>
      <c r="F501">
        <f>8*60+25</f>
        <v>505</v>
      </c>
      <c r="G501">
        <f>7*60+54</f>
        <v>474</v>
      </c>
      <c r="H501">
        <f>8*60+10</f>
        <v>490</v>
      </c>
      <c r="I501">
        <v>98</v>
      </c>
      <c r="J501" t="s">
        <v>236</v>
      </c>
      <c r="K501" s="2" t="s">
        <v>758</v>
      </c>
      <c r="L501">
        <f>COUNTIF($C$2:C501, "&lt;&gt;")</f>
        <v>500</v>
      </c>
      <c r="N501" s="6">
        <f t="shared" si="10"/>
        <v>24.019607843137255</v>
      </c>
    </row>
    <row r="502" spans="1:14" x14ac:dyDescent="0.3">
      <c r="A502" s="3">
        <v>44544</v>
      </c>
      <c r="B502" t="s">
        <v>102</v>
      </c>
      <c r="C502" s="1">
        <v>3.12</v>
      </c>
      <c r="D502">
        <f>29*60+36</f>
        <v>1776</v>
      </c>
      <c r="E502">
        <f>9*60+29</f>
        <v>569</v>
      </c>
      <c r="F502">
        <f>9*60+27</f>
        <v>567</v>
      </c>
      <c r="G502">
        <f>9*60+40</f>
        <v>580</v>
      </c>
      <c r="H502">
        <f>9*60+30</f>
        <v>570</v>
      </c>
      <c r="I502">
        <v>150</v>
      </c>
      <c r="J502" t="s">
        <v>104</v>
      </c>
      <c r="K502" s="2" t="s">
        <v>759</v>
      </c>
      <c r="L502">
        <f>COUNTIF($C$2:C502, "&lt;&gt;")</f>
        <v>501</v>
      </c>
      <c r="N502" s="6">
        <f t="shared" si="10"/>
        <v>48.076923076923073</v>
      </c>
    </row>
    <row r="503" spans="1:14" x14ac:dyDescent="0.3">
      <c r="A503" s="3">
        <v>44545</v>
      </c>
      <c r="B503" t="s">
        <v>33</v>
      </c>
      <c r="C503" s="1">
        <v>4.26</v>
      </c>
      <c r="D503">
        <f>33*60+30</f>
        <v>2010</v>
      </c>
      <c r="E503">
        <f>7*60+52</f>
        <v>472</v>
      </c>
      <c r="F503">
        <f>7*60+45</f>
        <v>465</v>
      </c>
      <c r="G503">
        <f>7*60+50</f>
        <v>470</v>
      </c>
      <c r="H503">
        <f>7*60+56</f>
        <v>476</v>
      </c>
      <c r="I503">
        <v>180</v>
      </c>
      <c r="J503" t="s">
        <v>123</v>
      </c>
      <c r="K503" s="2" t="s">
        <v>760</v>
      </c>
      <c r="L503">
        <f>COUNTIF($C$2:C503, "&lt;&gt;")</f>
        <v>502</v>
      </c>
      <c r="N503" s="6">
        <f t="shared" si="10"/>
        <v>42.253521126760567</v>
      </c>
    </row>
    <row r="504" spans="1:14" x14ac:dyDescent="0.3">
      <c r="A504" s="3">
        <v>44546</v>
      </c>
      <c r="B504" t="s">
        <v>72</v>
      </c>
      <c r="C504" s="1">
        <v>3.14</v>
      </c>
      <c r="D504">
        <f>26*60+12</f>
        <v>1572</v>
      </c>
      <c r="E504">
        <f>8*60+21</f>
        <v>501</v>
      </c>
      <c r="F504">
        <f>9*60+9</f>
        <v>549</v>
      </c>
      <c r="G504">
        <f>8*60+18</f>
        <v>498</v>
      </c>
      <c r="H504">
        <f>7*60+51</f>
        <v>471</v>
      </c>
      <c r="I504">
        <v>182</v>
      </c>
      <c r="J504" t="s">
        <v>71</v>
      </c>
      <c r="K504" s="2" t="s">
        <v>761</v>
      </c>
      <c r="L504">
        <f>COUNTIF($C$2:C504, "&lt;&gt;")</f>
        <v>503</v>
      </c>
      <c r="N504" s="6">
        <f t="shared" si="10"/>
        <v>57.961783439490446</v>
      </c>
    </row>
    <row r="505" spans="1:14" x14ac:dyDescent="0.3">
      <c r="A505" s="3">
        <v>44547</v>
      </c>
      <c r="B505" t="s">
        <v>102</v>
      </c>
      <c r="C505" s="1">
        <v>3.22</v>
      </c>
      <c r="D505">
        <f>29*60+33</f>
        <v>1773</v>
      </c>
      <c r="E505">
        <f>9*60+11</f>
        <v>551</v>
      </c>
      <c r="F505">
        <f>9*60+15</f>
        <v>555</v>
      </c>
      <c r="G505">
        <f>9*60+28</f>
        <v>568</v>
      </c>
      <c r="H505">
        <f>9*60+8</f>
        <v>548</v>
      </c>
      <c r="I505">
        <v>128</v>
      </c>
      <c r="J505" t="s">
        <v>104</v>
      </c>
      <c r="K505" s="2" t="s">
        <v>763</v>
      </c>
      <c r="L505">
        <f>COUNTIF($C$2:C505, "&lt;&gt;")</f>
        <v>504</v>
      </c>
      <c r="N505" s="6">
        <f t="shared" si="10"/>
        <v>39.751552795031053</v>
      </c>
    </row>
    <row r="506" spans="1:14" x14ac:dyDescent="0.3">
      <c r="A506" s="3">
        <v>44548</v>
      </c>
      <c r="C506" s="1">
        <v>3.12</v>
      </c>
      <c r="D506">
        <f>30*60+33</f>
        <v>1833</v>
      </c>
      <c r="E506">
        <f>9*60+47</f>
        <v>587</v>
      </c>
      <c r="F506">
        <f>9*60+28</f>
        <v>568</v>
      </c>
      <c r="G506">
        <f>9*60+51</f>
        <v>591</v>
      </c>
      <c r="H506">
        <f>10*60+1</f>
        <v>601</v>
      </c>
      <c r="I506">
        <v>200</v>
      </c>
      <c r="J506" t="s">
        <v>104</v>
      </c>
      <c r="K506" s="2" t="s">
        <v>764</v>
      </c>
      <c r="L506">
        <f>COUNTIF($C$2:C506, "&lt;&gt;")</f>
        <v>505</v>
      </c>
      <c r="N506" s="6">
        <f t="shared" si="10"/>
        <v>64.102564102564102</v>
      </c>
    </row>
    <row r="507" spans="1:14" x14ac:dyDescent="0.3">
      <c r="A507" s="3">
        <v>44549</v>
      </c>
      <c r="B507" t="s">
        <v>9</v>
      </c>
      <c r="C507" s="1">
        <v>4.07</v>
      </c>
      <c r="D507">
        <f>36*60+10</f>
        <v>2170</v>
      </c>
      <c r="E507">
        <f>8*60+53</f>
        <v>533</v>
      </c>
      <c r="F507">
        <f>9*60</f>
        <v>540</v>
      </c>
      <c r="G507">
        <f>8*60+49</f>
        <v>529</v>
      </c>
      <c r="H507">
        <f>8*60+36</f>
        <v>516</v>
      </c>
      <c r="I507">
        <v>82</v>
      </c>
      <c r="J507" t="s">
        <v>94</v>
      </c>
      <c r="K507" s="2" t="s">
        <v>765</v>
      </c>
      <c r="L507">
        <f>COUNTIF($C$2:C507, "&lt;&gt;")</f>
        <v>506</v>
      </c>
      <c r="N507" s="6">
        <f t="shared" si="10"/>
        <v>20.147420147420146</v>
      </c>
    </row>
    <row r="508" spans="1:14" x14ac:dyDescent="0.3">
      <c r="A508" s="3">
        <v>44550</v>
      </c>
      <c r="B508" t="s">
        <v>20</v>
      </c>
      <c r="C508" s="1">
        <v>3.12</v>
      </c>
      <c r="D508">
        <f>25*60+51</f>
        <v>1551</v>
      </c>
      <c r="E508">
        <f>8*60+17</f>
        <v>497</v>
      </c>
      <c r="F508">
        <f>8*60+7</f>
        <v>487</v>
      </c>
      <c r="G508">
        <f>8*60+22</f>
        <v>502</v>
      </c>
      <c r="H508">
        <f>8*60+19</f>
        <v>499</v>
      </c>
      <c r="I508">
        <v>99</v>
      </c>
      <c r="J508" t="s">
        <v>389</v>
      </c>
      <c r="K508" s="2" t="s">
        <v>766</v>
      </c>
      <c r="L508">
        <f>COUNTIF($C$2:C508, "&lt;&gt;")</f>
        <v>507</v>
      </c>
      <c r="N508" s="6">
        <f t="shared" si="10"/>
        <v>31.73076923076923</v>
      </c>
    </row>
    <row r="509" spans="1:14" x14ac:dyDescent="0.3">
      <c r="A509" s="3">
        <v>44551</v>
      </c>
      <c r="B509" t="s">
        <v>72</v>
      </c>
      <c r="C509" s="1">
        <v>3.24</v>
      </c>
      <c r="D509">
        <f>28*60+20</f>
        <v>1700</v>
      </c>
      <c r="E509">
        <f>8*60+45</f>
        <v>525</v>
      </c>
      <c r="F509">
        <f>8*60+56</f>
        <v>536</v>
      </c>
      <c r="G509">
        <f>8*60+45</f>
        <v>525</v>
      </c>
      <c r="H509">
        <f>8*60+47</f>
        <v>527</v>
      </c>
      <c r="I509">
        <v>145</v>
      </c>
      <c r="J509" t="s">
        <v>71</v>
      </c>
      <c r="K509" s="2" t="s">
        <v>767</v>
      </c>
      <c r="L509">
        <f>COUNTIF($C$2:C509, "&lt;&gt;")</f>
        <v>508</v>
      </c>
      <c r="N509" s="6">
        <f t="shared" si="10"/>
        <v>44.753086419753082</v>
      </c>
    </row>
    <row r="510" spans="1:14" x14ac:dyDescent="0.3">
      <c r="A510" s="3">
        <v>44552</v>
      </c>
      <c r="B510" t="s">
        <v>33</v>
      </c>
      <c r="C510" s="1">
        <v>4.18</v>
      </c>
      <c r="D510">
        <f>32*60+44</f>
        <v>1964</v>
      </c>
      <c r="E510">
        <f>7*60+50</f>
        <v>470</v>
      </c>
      <c r="F510">
        <f>7*60+13</f>
        <v>433</v>
      </c>
      <c r="G510">
        <f>7*60+36</f>
        <v>456</v>
      </c>
      <c r="H510">
        <f>8*60+7</f>
        <v>487</v>
      </c>
      <c r="I510">
        <v>128</v>
      </c>
      <c r="J510" t="s">
        <v>123</v>
      </c>
      <c r="K510" s="2" t="s">
        <v>768</v>
      </c>
      <c r="L510">
        <f>COUNTIF($C$2:C510, "&lt;&gt;")</f>
        <v>509</v>
      </c>
      <c r="N510" s="6">
        <f t="shared" ref="N510:N519" si="11">I510/C510</f>
        <v>30.622009569377994</v>
      </c>
    </row>
    <row r="511" spans="1:14" x14ac:dyDescent="0.3">
      <c r="A511" s="3">
        <v>44553</v>
      </c>
      <c r="B511" t="s">
        <v>102</v>
      </c>
      <c r="C511" s="1">
        <v>3.13</v>
      </c>
      <c r="D511">
        <f>26*60+8</f>
        <v>1568</v>
      </c>
      <c r="E511">
        <f>8*60+21</f>
        <v>501</v>
      </c>
      <c r="F511">
        <f>8*60+25</f>
        <v>505</v>
      </c>
      <c r="G511">
        <f>7*60+53</f>
        <v>473</v>
      </c>
      <c r="H511">
        <f>8*60+57</f>
        <v>537</v>
      </c>
      <c r="I511">
        <v>108</v>
      </c>
      <c r="J511" t="s">
        <v>104</v>
      </c>
      <c r="K511" s="2" t="s">
        <v>770</v>
      </c>
      <c r="L511">
        <f>COUNTIF($C$2:C511, "&lt;&gt;")</f>
        <v>510</v>
      </c>
      <c r="N511" s="6">
        <f t="shared" si="11"/>
        <v>34.504792332268373</v>
      </c>
    </row>
    <row r="512" spans="1:14" x14ac:dyDescent="0.3">
      <c r="A512" s="3">
        <v>44554</v>
      </c>
      <c r="B512" t="s">
        <v>102</v>
      </c>
      <c r="C512" s="1">
        <v>3.13</v>
      </c>
      <c r="D512">
        <f>27*60+5</f>
        <v>1625</v>
      </c>
      <c r="E512">
        <f>8*60+39</f>
        <v>519</v>
      </c>
      <c r="F512">
        <f>8*60+43</f>
        <v>523</v>
      </c>
      <c r="G512">
        <f>8*60+45</f>
        <v>525</v>
      </c>
      <c r="H512">
        <f>8*60+42</f>
        <v>522</v>
      </c>
      <c r="I512">
        <v>129</v>
      </c>
      <c r="J512" t="s">
        <v>104</v>
      </c>
      <c r="K512" s="2" t="s">
        <v>771</v>
      </c>
      <c r="L512">
        <f>COUNTIF($C$2:C512, "&lt;&gt;")</f>
        <v>511</v>
      </c>
      <c r="N512" s="6">
        <f t="shared" si="11"/>
        <v>41.214057507987221</v>
      </c>
    </row>
    <row r="513" spans="1:14" x14ac:dyDescent="0.3">
      <c r="A513" s="3">
        <v>44555</v>
      </c>
      <c r="C513" s="1">
        <v>3.12</v>
      </c>
      <c r="D513">
        <f>30*60+1</f>
        <v>1801</v>
      </c>
      <c r="E513">
        <f>9*60+37</f>
        <v>577</v>
      </c>
      <c r="F513">
        <f>8*60+55</f>
        <v>535</v>
      </c>
      <c r="G513">
        <f>9*60+51</f>
        <v>591</v>
      </c>
      <c r="H513">
        <f>10*60+4</f>
        <v>604</v>
      </c>
      <c r="I513">
        <v>212</v>
      </c>
      <c r="J513" t="s">
        <v>104</v>
      </c>
      <c r="K513" s="2" t="s">
        <v>773</v>
      </c>
      <c r="L513">
        <f>COUNTIF($C$2:C513, "&lt;&gt;")</f>
        <v>512</v>
      </c>
      <c r="N513" s="6">
        <f t="shared" si="11"/>
        <v>67.948717948717942</v>
      </c>
    </row>
    <row r="514" spans="1:14" x14ac:dyDescent="0.3">
      <c r="A514" s="3">
        <v>44556</v>
      </c>
      <c r="B514" t="s">
        <v>102</v>
      </c>
      <c r="C514" s="1">
        <v>3.12</v>
      </c>
      <c r="D514">
        <f>29*60+48</f>
        <v>1788</v>
      </c>
      <c r="E514">
        <f>9*60+33</f>
        <v>573</v>
      </c>
      <c r="F514">
        <f>9*60+34</f>
        <v>574</v>
      </c>
      <c r="G514">
        <f>9*60+20</f>
        <v>560</v>
      </c>
      <c r="H514">
        <f>9*60+53</f>
        <v>593</v>
      </c>
      <c r="I514">
        <v>163</v>
      </c>
      <c r="J514" t="s">
        <v>104</v>
      </c>
      <c r="K514" s="2" t="s">
        <v>776</v>
      </c>
      <c r="L514">
        <f>COUNTIF($C$2:C514, "&lt;&gt;")</f>
        <v>513</v>
      </c>
      <c r="N514" s="6">
        <f t="shared" si="11"/>
        <v>52.243589743589745</v>
      </c>
    </row>
    <row r="515" spans="1:14" x14ac:dyDescent="0.3">
      <c r="A515" s="3">
        <v>44557</v>
      </c>
      <c r="B515" t="s">
        <v>20</v>
      </c>
      <c r="C515" s="1">
        <v>5.05</v>
      </c>
      <c r="D515">
        <f>44*60+53</f>
        <v>2693</v>
      </c>
      <c r="E515">
        <f>8*60+53</f>
        <v>533</v>
      </c>
      <c r="F515">
        <f>9*60+20</f>
        <v>560</v>
      </c>
      <c r="G515">
        <f>9*60+19</f>
        <v>559</v>
      </c>
      <c r="H515">
        <f>9*60+8</f>
        <v>548</v>
      </c>
      <c r="I515">
        <v>136</v>
      </c>
      <c r="J515" t="s">
        <v>21</v>
      </c>
      <c r="K515" s="2" t="s">
        <v>777</v>
      </c>
      <c r="L515">
        <f>COUNTIF($C$2:C515, "&lt;&gt;")</f>
        <v>514</v>
      </c>
      <c r="N515" s="6">
        <f t="shared" si="11"/>
        <v>26.930693069306933</v>
      </c>
    </row>
    <row r="516" spans="1:14" x14ac:dyDescent="0.3">
      <c r="A516" s="3">
        <v>44558</v>
      </c>
      <c r="B516" t="s">
        <v>102</v>
      </c>
      <c r="C516" s="1">
        <v>3.12</v>
      </c>
      <c r="D516">
        <f>27*60+19</f>
        <v>1639</v>
      </c>
      <c r="E516">
        <f>8*60+45</f>
        <v>525</v>
      </c>
      <c r="F516">
        <f>8*60+24</f>
        <v>504</v>
      </c>
      <c r="G516">
        <f>8*60+43</f>
        <v>523</v>
      </c>
      <c r="H516">
        <f>8*60+59</f>
        <v>539</v>
      </c>
      <c r="I516">
        <v>135</v>
      </c>
      <c r="J516" t="s">
        <v>104</v>
      </c>
      <c r="K516" s="2" t="s">
        <v>774</v>
      </c>
      <c r="L516">
        <f>COUNTIF($C$2:C516, "&lt;&gt;")</f>
        <v>515</v>
      </c>
      <c r="N516" s="6">
        <f t="shared" si="11"/>
        <v>43.269230769230766</v>
      </c>
    </row>
    <row r="517" spans="1:14" x14ac:dyDescent="0.3">
      <c r="A517" s="3">
        <v>44559</v>
      </c>
      <c r="B517" t="s">
        <v>33</v>
      </c>
      <c r="C517" s="1">
        <v>3.12</v>
      </c>
      <c r="D517">
        <f>23*60+44</f>
        <v>1424</v>
      </c>
      <c r="E517">
        <f>7*60+36</f>
        <v>456</v>
      </c>
      <c r="F517">
        <f>7*60+43</f>
        <v>463</v>
      </c>
      <c r="G517">
        <f>7*60+13</f>
        <v>433</v>
      </c>
      <c r="H517">
        <f>7*60+48</f>
        <v>468</v>
      </c>
      <c r="I517">
        <v>117</v>
      </c>
      <c r="J517" t="s">
        <v>435</v>
      </c>
      <c r="K517" s="2" t="s">
        <v>775</v>
      </c>
      <c r="L517">
        <f>COUNTIF($C$2:C517, "&lt;&gt;")</f>
        <v>516</v>
      </c>
      <c r="N517" s="6">
        <f t="shared" si="11"/>
        <v>37.5</v>
      </c>
    </row>
    <row r="518" spans="1:14" x14ac:dyDescent="0.3">
      <c r="A518" s="3">
        <v>44560</v>
      </c>
      <c r="B518" t="s">
        <v>102</v>
      </c>
      <c r="C518" s="1">
        <v>3.16</v>
      </c>
      <c r="D518">
        <f>26*60+45</f>
        <v>1605</v>
      </c>
      <c r="E518">
        <f>8*60+28</f>
        <v>508</v>
      </c>
      <c r="F518">
        <f>8*60+30</f>
        <v>510</v>
      </c>
      <c r="G518">
        <f>8*60+25</f>
        <v>505</v>
      </c>
      <c r="H518">
        <f>8*60+46</f>
        <v>526</v>
      </c>
      <c r="I518">
        <v>158</v>
      </c>
      <c r="J518" t="s">
        <v>104</v>
      </c>
      <c r="K518" s="2" t="s">
        <v>778</v>
      </c>
      <c r="L518">
        <f>COUNTIF($C$2:C518, "&lt;&gt;")</f>
        <v>517</v>
      </c>
      <c r="N518" s="6">
        <f t="shared" si="11"/>
        <v>50</v>
      </c>
    </row>
    <row r="519" spans="1:14" x14ac:dyDescent="0.3">
      <c r="A519" s="3">
        <v>44561</v>
      </c>
      <c r="B519" t="s">
        <v>799</v>
      </c>
      <c r="C519" s="1">
        <v>3.12</v>
      </c>
      <c r="D519">
        <f>28*60+30</f>
        <v>1710</v>
      </c>
      <c r="E519">
        <f>9*60+8</f>
        <v>548</v>
      </c>
      <c r="F519">
        <f>9*60+43</f>
        <v>583</v>
      </c>
      <c r="G519">
        <f>9*60+31</f>
        <v>571</v>
      </c>
      <c r="H519">
        <f>8*60+26</f>
        <v>506</v>
      </c>
      <c r="I519">
        <v>81</v>
      </c>
      <c r="J519" t="s">
        <v>800</v>
      </c>
      <c r="K519" s="2" t="s">
        <v>801</v>
      </c>
      <c r="L519">
        <f>COUNTIF($C$2:C519, "&lt;&gt;")</f>
        <v>518</v>
      </c>
      <c r="N519" s="6">
        <f t="shared" si="11"/>
        <v>25.96153846153846</v>
      </c>
    </row>
    <row r="521" spans="1:14" x14ac:dyDescent="0.3">
      <c r="C521" s="1">
        <f>SUM(C2:C519)+G521</f>
        <v>2450.0099999999907</v>
      </c>
      <c r="E521" t="s">
        <v>772</v>
      </c>
      <c r="G521">
        <f>SUM(F522:F594)</f>
        <v>85.07</v>
      </c>
    </row>
    <row r="522" spans="1:14" x14ac:dyDescent="0.3">
      <c r="C522" s="12">
        <f>COUNTA(C2:C519)</f>
        <v>518</v>
      </c>
      <c r="E522" s="5">
        <v>44543</v>
      </c>
      <c r="F522">
        <v>3.14</v>
      </c>
    </row>
    <row r="523" spans="1:14" x14ac:dyDescent="0.3">
      <c r="C523" s="1">
        <f>C521/527</f>
        <v>4.6489753320682938</v>
      </c>
      <c r="E523" s="5">
        <v>44465</v>
      </c>
      <c r="F523">
        <v>0.43</v>
      </c>
    </row>
    <row r="524" spans="1:14" x14ac:dyDescent="0.3">
      <c r="E524" s="5">
        <v>44445</v>
      </c>
      <c r="F524">
        <v>0.35</v>
      </c>
    </row>
    <row r="525" spans="1:14" x14ac:dyDescent="0.3">
      <c r="E525" s="5">
        <v>44443</v>
      </c>
      <c r="F525">
        <v>0.99</v>
      </c>
    </row>
    <row r="526" spans="1:14" x14ac:dyDescent="0.3">
      <c r="E526" s="5">
        <v>44441</v>
      </c>
      <c r="F526">
        <v>1.65</v>
      </c>
    </row>
    <row r="527" spans="1:14" x14ac:dyDescent="0.3">
      <c r="E527" s="5">
        <v>44434</v>
      </c>
      <c r="F527">
        <v>1.72</v>
      </c>
    </row>
    <row r="528" spans="1:14" x14ac:dyDescent="0.3">
      <c r="E528" s="5">
        <v>44431</v>
      </c>
      <c r="F528">
        <v>2.86</v>
      </c>
    </row>
    <row r="529" spans="5:6" x14ac:dyDescent="0.3">
      <c r="E529" s="5">
        <v>44427</v>
      </c>
      <c r="F529">
        <v>0.97</v>
      </c>
    </row>
    <row r="530" spans="5:6" x14ac:dyDescent="0.3">
      <c r="E530" s="5">
        <v>44387</v>
      </c>
      <c r="F530">
        <v>5.39</v>
      </c>
    </row>
    <row r="531" spans="5:6" x14ac:dyDescent="0.3">
      <c r="E531" s="5">
        <v>44383</v>
      </c>
      <c r="F531">
        <v>1.59</v>
      </c>
    </row>
    <row r="532" spans="5:6" x14ac:dyDescent="0.3">
      <c r="E532" s="5">
        <v>44364</v>
      </c>
      <c r="F532">
        <v>0.08</v>
      </c>
    </row>
    <row r="533" spans="5:6" x14ac:dyDescent="0.3">
      <c r="E533" s="5">
        <v>44352</v>
      </c>
      <c r="F533">
        <f>32.54-3.11</f>
        <v>29.43</v>
      </c>
    </row>
    <row r="534" spans="5:6" x14ac:dyDescent="0.3">
      <c r="E534" s="5">
        <v>44317</v>
      </c>
      <c r="F534">
        <v>0.03</v>
      </c>
    </row>
    <row r="535" spans="5:6" x14ac:dyDescent="0.3">
      <c r="E535" s="5">
        <v>44261</v>
      </c>
      <c r="F535">
        <v>2.77</v>
      </c>
    </row>
    <row r="536" spans="5:6" x14ac:dyDescent="0.3">
      <c r="E536" s="5">
        <v>44259</v>
      </c>
      <c r="F536">
        <f>1.5+1</f>
        <v>2.5</v>
      </c>
    </row>
    <row r="537" spans="5:6" x14ac:dyDescent="0.3">
      <c r="E537" s="5">
        <v>44251</v>
      </c>
      <c r="F537">
        <v>1.07</v>
      </c>
    </row>
    <row r="538" spans="5:6" x14ac:dyDescent="0.3">
      <c r="E538" s="5">
        <v>44248</v>
      </c>
      <c r="F538">
        <v>3.11</v>
      </c>
    </row>
    <row r="539" spans="5:6" x14ac:dyDescent="0.3">
      <c r="E539" s="5">
        <v>44226</v>
      </c>
      <c r="F539">
        <v>4.5999999999999996</v>
      </c>
    </row>
    <row r="540" spans="5:6" x14ac:dyDescent="0.3">
      <c r="E540" s="5">
        <v>44198</v>
      </c>
      <c r="F540">
        <f>2.02+0.65+0.7</f>
        <v>3.37</v>
      </c>
    </row>
    <row r="541" spans="5:6" x14ac:dyDescent="0.3">
      <c r="E541" s="5">
        <v>44459</v>
      </c>
      <c r="F541">
        <v>13.1</v>
      </c>
    </row>
    <row r="542" spans="5:6" x14ac:dyDescent="0.3">
      <c r="E542" s="5">
        <v>44452</v>
      </c>
      <c r="F542">
        <v>2.8</v>
      </c>
    </row>
    <row r="543" spans="5:6" x14ac:dyDescent="0.3">
      <c r="E543" s="5">
        <v>44431</v>
      </c>
      <c r="F543">
        <v>3.12</v>
      </c>
    </row>
  </sheetData>
  <hyperlinks>
    <hyperlink ref="K3" r:id="rId1" xr:uid="{D73EC97F-38CA-4B98-B1E6-2D9A838B40E6}"/>
    <hyperlink ref="K2" r:id="rId2" xr:uid="{4A345912-58EE-42CC-840D-366A65EFE2B2}"/>
    <hyperlink ref="K4" r:id="rId3" xr:uid="{FB56DDEB-37D4-4C46-8EF1-9CFFE8888823}"/>
    <hyperlink ref="K5" r:id="rId4" xr:uid="{75F92634-DD7A-4F4C-83ED-047550C5D137}"/>
    <hyperlink ref="K6" r:id="rId5" xr:uid="{50702D62-96D1-47A1-9DFC-7ABF0EC051A8}"/>
    <hyperlink ref="K7" r:id="rId6" xr:uid="{E1083478-A0B0-4394-9756-D116305308EF}"/>
    <hyperlink ref="K8" r:id="rId7" xr:uid="{8D132B8E-EA81-47C0-99F2-4AF222067EAE}"/>
    <hyperlink ref="K10" r:id="rId8" xr:uid="{F0FC5387-A8E0-452A-A5AF-E7E4951F19C8}"/>
    <hyperlink ref="K9" r:id="rId9" xr:uid="{FC4511C9-9FC2-4252-B754-123D164F6C73}"/>
    <hyperlink ref="K11" r:id="rId10" xr:uid="{4D24E265-41F3-4516-92DA-F88CF2ABE165}"/>
    <hyperlink ref="K12" r:id="rId11" xr:uid="{BCB76723-2D61-4C0E-9389-2196DC924B10}"/>
    <hyperlink ref="K13" r:id="rId12" xr:uid="{AD7476FD-A0EC-409F-B750-10ED7A5C8449}"/>
    <hyperlink ref="K14" r:id="rId13" xr:uid="{A9C71B65-CB28-469C-82A3-8C2299FB8EC7}"/>
    <hyperlink ref="K15" r:id="rId14" xr:uid="{878A62BE-4859-46BA-9E78-C93FECCAFF53}"/>
    <hyperlink ref="K16" r:id="rId15" xr:uid="{45518737-A126-48A1-B2A0-7E536392D343}"/>
    <hyperlink ref="K17" r:id="rId16" xr:uid="{F51E1562-8832-47B5-A634-A47E20318436}"/>
    <hyperlink ref="K18" r:id="rId17" xr:uid="{64D9A35D-BD0D-4215-8522-966D600F37F5}"/>
    <hyperlink ref="K19" r:id="rId18" xr:uid="{881AFC49-E108-4C65-9B17-0404E338473B}"/>
    <hyperlink ref="K20" r:id="rId19" xr:uid="{CDF9A19F-1002-4B81-BD72-27A221B308B0}"/>
    <hyperlink ref="K21" r:id="rId20" xr:uid="{96E28B47-939F-4C97-B7E4-750834AB682D}"/>
    <hyperlink ref="K22" r:id="rId21" xr:uid="{72FC3F4E-D4DC-485E-A41A-C78701D9DB84}"/>
    <hyperlink ref="K23" r:id="rId22" xr:uid="{ACEBAB6A-6620-4918-8FC9-8D61F974371C}"/>
    <hyperlink ref="K24" r:id="rId23" xr:uid="{4C2229B3-C90E-4813-B2CC-F0EB0E0D3B2B}"/>
    <hyperlink ref="K25" r:id="rId24" xr:uid="{5EF260A5-D4DC-4E1F-8ABF-92382F04A157}"/>
    <hyperlink ref="K26" r:id="rId25" xr:uid="{6BF7E4D2-AB24-40E4-8103-F43338D4277F}"/>
    <hyperlink ref="K27" r:id="rId26" xr:uid="{88AAFFFF-61FB-48D1-A493-4543A1CD75C9}"/>
    <hyperlink ref="K28" r:id="rId27" xr:uid="{E728797B-37FA-4F09-B6C1-89320FC2E4B6}"/>
    <hyperlink ref="K29" r:id="rId28" xr:uid="{D8FA3C23-4F39-4436-A211-5B7C7ADA1E75}"/>
    <hyperlink ref="K30" r:id="rId29" xr:uid="{3E021A2B-FD2B-47C4-9112-C3B804E488AF}"/>
    <hyperlink ref="K31" r:id="rId30" xr:uid="{A37DE775-AC8A-4862-916A-A5F6F7209675}"/>
    <hyperlink ref="K32" r:id="rId31" xr:uid="{3DC132FD-6ADD-4555-A357-C025095DC518}"/>
    <hyperlink ref="K33" r:id="rId32" xr:uid="{E3318B64-9245-4EFE-B964-7B103FDC7071}"/>
    <hyperlink ref="K34" r:id="rId33" xr:uid="{E69A2E2F-A3E2-4A3C-9D90-2913A8D8AF93}"/>
    <hyperlink ref="K35" r:id="rId34" xr:uid="{CDDD858B-C8AB-4EF0-B829-46B5983727DE}"/>
    <hyperlink ref="K36" r:id="rId35" xr:uid="{B226D90A-005C-40C5-93A2-1CBC000AE98D}"/>
    <hyperlink ref="K37" r:id="rId36" xr:uid="{7D68563E-753D-437C-A9E5-8A87B83B8041}"/>
    <hyperlink ref="K38" r:id="rId37" xr:uid="{B311B460-0DA7-4BCF-A5FB-B51F309FD7AD}"/>
    <hyperlink ref="K39" r:id="rId38" xr:uid="{88882032-FEF0-4D74-9A25-5470D3EC3E75}"/>
    <hyperlink ref="K40" r:id="rId39" xr:uid="{B969D426-93C7-49D0-8329-FABA42A521F1}"/>
    <hyperlink ref="K41" r:id="rId40" xr:uid="{5C0942AC-ED57-46BC-A33A-72CDE5F5BD65}"/>
    <hyperlink ref="K42" r:id="rId41" xr:uid="{585EAE18-4CA8-4028-972E-85058E61CCA9}"/>
    <hyperlink ref="K43" r:id="rId42" xr:uid="{3326EE42-C902-4CEC-8483-34FAE0A5ED60}"/>
    <hyperlink ref="K44" r:id="rId43" xr:uid="{1ECEB9B2-713C-4BA2-BBD6-894DACA819DB}"/>
    <hyperlink ref="K45" r:id="rId44" xr:uid="{AFBF9D90-224A-4B8E-A2D5-557A61D8CBA1}"/>
    <hyperlink ref="K46" r:id="rId45" xr:uid="{6485189F-6F57-478A-8FE4-36248CC9E332}"/>
    <hyperlink ref="K47" r:id="rId46" xr:uid="{E3592F35-855D-4183-A5BB-5E1674DA845E}"/>
    <hyperlink ref="K48" r:id="rId47" xr:uid="{B59237DA-3854-467B-88FE-F76D74B47514}"/>
    <hyperlink ref="K49" r:id="rId48" xr:uid="{102B29CB-A40C-44B8-8BF2-27E2144BA9AB}"/>
    <hyperlink ref="K50" r:id="rId49" xr:uid="{763054A0-BD97-43C4-92D6-8994F1496F31}"/>
    <hyperlink ref="K51" r:id="rId50" xr:uid="{7B77689B-C40E-448E-A15F-9580109847D4}"/>
    <hyperlink ref="K52" r:id="rId51" xr:uid="{642EF631-11BC-421E-8E76-07D526C04A93}"/>
    <hyperlink ref="K53" r:id="rId52" xr:uid="{7F0D68DC-7ABF-492D-B433-E2D99A02DA2B}"/>
    <hyperlink ref="K54" r:id="rId53" xr:uid="{AE2AA860-C194-4F38-BB7B-80DDFEB6ABA9}"/>
    <hyperlink ref="K55" r:id="rId54" xr:uid="{8FF781FC-F5D8-4083-83F5-D2EAAB36AFB5}"/>
    <hyperlink ref="K56" r:id="rId55" xr:uid="{4D8F4D51-B594-4343-A742-DAA6F761E84E}"/>
    <hyperlink ref="K57" r:id="rId56" xr:uid="{FC23E7B4-E5CF-4EE0-A544-415089DBD9B8}"/>
    <hyperlink ref="K58" r:id="rId57" xr:uid="{FB0166F1-769A-442E-AF93-9F6C57D98C6B}"/>
    <hyperlink ref="K60" r:id="rId58" xr:uid="{6B507947-96B6-4673-93CE-8E62F63F197B}"/>
    <hyperlink ref="K59" r:id="rId59" xr:uid="{04BF06DA-A49E-405C-81E0-68A554CA57EE}"/>
    <hyperlink ref="K61" r:id="rId60" xr:uid="{E3A78087-D6C0-49DF-A04C-9864767F9030}"/>
    <hyperlink ref="K62" r:id="rId61" xr:uid="{B3E2BDC7-E979-402A-BD3E-8FFABD9E7181}"/>
    <hyperlink ref="K63" r:id="rId62" xr:uid="{4B88B9AF-54FC-43B5-A8CD-A068471F01B8}"/>
    <hyperlink ref="K64" r:id="rId63" xr:uid="{899C524B-F65D-45B8-9262-5A8C7022E918}"/>
    <hyperlink ref="K65" r:id="rId64" xr:uid="{1E82F04B-DAAC-404E-8020-52F2BAB45EE2}"/>
    <hyperlink ref="K66" r:id="rId65" xr:uid="{546687F2-4A72-4508-B69E-A884B86CB669}"/>
    <hyperlink ref="K67" r:id="rId66" xr:uid="{1D4AA3FA-04C5-4119-AF37-604BDD924E7C}"/>
    <hyperlink ref="K68" r:id="rId67" xr:uid="{D69F9587-6755-4BE9-A9F3-B8C59144F3A0}"/>
    <hyperlink ref="K69" r:id="rId68" xr:uid="{52DF0AE9-FEE8-4396-B24F-F89F6F329BC5}"/>
    <hyperlink ref="K70" r:id="rId69" xr:uid="{8BF7A0E4-2397-41DC-BA56-5F37DA9DE0A5}"/>
    <hyperlink ref="K71" r:id="rId70" xr:uid="{21E4127E-DDCE-4B91-9289-5C22E8DA3B9E}"/>
    <hyperlink ref="K74" r:id="rId71" xr:uid="{E4751D54-C863-47FC-9051-9D738CC3739B}"/>
    <hyperlink ref="K73" r:id="rId72" xr:uid="{363332B9-8A5D-47C4-B2D5-EAC2C330D126}"/>
    <hyperlink ref="K72" r:id="rId73" xr:uid="{38A4882C-8258-4C9E-B65B-D34ADA40940C}"/>
    <hyperlink ref="K75" r:id="rId74" xr:uid="{C8D6343C-9FF8-439B-804F-B10FF10F2220}"/>
    <hyperlink ref="K76" r:id="rId75" xr:uid="{FABCD8A0-200F-4D3B-8E01-CB58DCD09065}"/>
    <hyperlink ref="K77" r:id="rId76" xr:uid="{C2AD9B1B-33A7-48FE-9ACB-852A8CFD5705}"/>
    <hyperlink ref="K78" r:id="rId77" xr:uid="{D8485704-A4D4-4C8B-AF36-FB48D5ED3B55}"/>
    <hyperlink ref="K79" r:id="rId78" xr:uid="{96921C94-2FFE-4F6C-80CE-E45216FCD6AB}"/>
    <hyperlink ref="K80" r:id="rId79" xr:uid="{F967FD38-9F21-44BD-A72D-99D7882146B7}"/>
    <hyperlink ref="K81" r:id="rId80" xr:uid="{3B032B7C-83C6-49F5-A94D-5CD4564AA08F}"/>
    <hyperlink ref="K82" r:id="rId81" xr:uid="{6930828B-CB1F-4CBA-8367-C798CDA9579A}"/>
    <hyperlink ref="K83" r:id="rId82" xr:uid="{8E87CCD8-A2CA-4FEC-BEFF-545C2478BDE3}"/>
    <hyperlink ref="K84" r:id="rId83" xr:uid="{19544471-6F8B-4E64-8871-6B2DD51281A3}"/>
    <hyperlink ref="K85" r:id="rId84" xr:uid="{FA45E510-B791-4AC3-B224-17CB3DF9F8FC}"/>
    <hyperlink ref="K86" r:id="rId85" xr:uid="{33EFAB9D-F664-43BF-837D-D30A65FCDFF5}"/>
    <hyperlink ref="K87" r:id="rId86" xr:uid="{DD7F4C72-3BBB-47FD-948F-EE09D978409D}"/>
    <hyperlink ref="K90" r:id="rId87" xr:uid="{9112ABC3-AA29-4EBB-B378-4EB0A863D2C8}"/>
    <hyperlink ref="K89" r:id="rId88" xr:uid="{E76176EF-7C9E-4BCA-9AFF-A5027ABF01BB}"/>
    <hyperlink ref="K92" r:id="rId89" xr:uid="{A987A053-45A3-44FC-8D96-B99962C96676}"/>
    <hyperlink ref="K91" r:id="rId90" xr:uid="{D5E150AA-A257-4084-91B0-0B3B5321B6C3}"/>
    <hyperlink ref="K93" r:id="rId91" xr:uid="{37916144-F984-480C-8D9D-A4545784C8D3}"/>
    <hyperlink ref="K94" r:id="rId92" xr:uid="{64F681CC-C760-468C-ADD2-3E6ABB622442}"/>
    <hyperlink ref="K96" r:id="rId93" xr:uid="{79E4D051-FAD9-457E-A61E-A6C7B443A78B}"/>
    <hyperlink ref="K97" r:id="rId94" xr:uid="{27281FC9-66F8-44D2-A3D4-5DA1A6574788}"/>
    <hyperlink ref="K98" r:id="rId95" xr:uid="{397F0D03-8DD0-401A-A901-24101AF043D6}"/>
    <hyperlink ref="K99" r:id="rId96" xr:uid="{61026BE2-FE34-431B-AB38-547016CFC09C}"/>
    <hyperlink ref="K101" r:id="rId97" xr:uid="{3BB84765-6FC7-437E-AAA0-9745A65CA69A}"/>
    <hyperlink ref="K107" r:id="rId98" xr:uid="{06161B20-5913-4CE3-A261-A64C0B38CAA5}"/>
    <hyperlink ref="M107" r:id="rId99" xr:uid="{525A845C-1679-4943-82B8-185C82023180}"/>
    <hyperlink ref="K102" r:id="rId100" xr:uid="{BCB0FD53-8D0D-4902-95F9-ABD6EDEE0D31}"/>
    <hyperlink ref="K106" r:id="rId101" xr:uid="{68882B0F-5041-4A91-8FD7-A0A76586220C}"/>
    <hyperlink ref="K104" r:id="rId102" xr:uid="{C78B6F80-5E7D-4E02-9FF2-19F010F31418}"/>
    <hyperlink ref="K105" r:id="rId103" xr:uid="{CEA2796F-F452-461A-B6B9-D1FCF484C96E}"/>
    <hyperlink ref="K103" r:id="rId104" xr:uid="{008CE666-4D55-4611-8B3E-C208E1CABCFD}"/>
    <hyperlink ref="K108" r:id="rId105" xr:uid="{8956CDF9-8BDD-4A5B-B348-6A2D0F9EACB8}"/>
    <hyperlink ref="K109" r:id="rId106" xr:uid="{439B36DA-D962-4CBF-B7E3-8121412807A4}"/>
    <hyperlink ref="K110" r:id="rId107" xr:uid="{FE110F01-D4BC-49B0-84BC-9D7EDBD6A963}"/>
    <hyperlink ref="K111" r:id="rId108" xr:uid="{4EA0D29E-54D4-46EE-A78B-A5E7B93008C3}"/>
    <hyperlink ref="K112" r:id="rId109" xr:uid="{A346F5B3-35C7-4B95-B84C-825404F849B7}"/>
    <hyperlink ref="K113" r:id="rId110" xr:uid="{1861AF4B-6B2B-47AD-8D0B-12D28754CB44}"/>
    <hyperlink ref="K114" r:id="rId111" xr:uid="{60BA3064-ADC3-40D1-8FB2-783DFC6981EC}"/>
    <hyperlink ref="K115" r:id="rId112" xr:uid="{28474791-B168-4C60-9492-32D367B84E83}"/>
    <hyperlink ref="K116" r:id="rId113" xr:uid="{B1D1B952-1EB7-4E90-9D9C-F67455E11C6A}"/>
    <hyperlink ref="K117" r:id="rId114" xr:uid="{858C3AD9-1C67-48A8-A603-4058562573EE}"/>
    <hyperlink ref="K118" r:id="rId115" xr:uid="{767F9192-D6D4-4A21-B00F-3E254799F66A}"/>
    <hyperlink ref="K119" r:id="rId116" xr:uid="{D92D964A-14FB-4D59-822B-1E84F5F472E0}"/>
    <hyperlink ref="K122" r:id="rId117" xr:uid="{D519CB91-5CE1-4111-AB5E-E81CD858893B}"/>
    <hyperlink ref="K120" r:id="rId118" xr:uid="{CAE45423-7704-4220-8486-EBD23E9084DE}"/>
    <hyperlink ref="K124" r:id="rId119" xr:uid="{63F23017-6E19-4067-A52D-099CD6C44BE7}"/>
    <hyperlink ref="K125" r:id="rId120" xr:uid="{05F5C395-3E19-431B-B05D-86BC8B251131}"/>
    <hyperlink ref="K126" r:id="rId121" xr:uid="{B4928191-4D9C-4308-9B20-BE28A65AB54E}"/>
    <hyperlink ref="K128" r:id="rId122" xr:uid="{0A72304B-4012-43FC-A970-4D44DD875BB2}"/>
    <hyperlink ref="K130" r:id="rId123" xr:uid="{DC98417B-D2BE-48CF-9133-90ABD9E068FC}"/>
    <hyperlink ref="K131" r:id="rId124" xr:uid="{9929B05D-323A-4547-A2DF-2EEFAB8086D1}"/>
    <hyperlink ref="K137" r:id="rId125" xr:uid="{BC7DFC69-02AC-4E3A-91FC-9833C9367F6F}"/>
    <hyperlink ref="M136" r:id="rId126" xr:uid="{EAC65514-F02D-4CC2-A512-8BF9D83438BC}"/>
    <hyperlink ref="K134" r:id="rId127" xr:uid="{32066BE0-4112-4A2D-9E99-1FF7026A46D5}"/>
    <hyperlink ref="K133" r:id="rId128" xr:uid="{0AD28DF6-F920-44BE-9DA5-4E97A056B225}"/>
    <hyperlink ref="K132" r:id="rId129" xr:uid="{019748DD-E844-4241-9A93-4FA65EFC560F}"/>
    <hyperlink ref="K138" r:id="rId130" xr:uid="{8D608838-848E-4A4C-A1F0-E9D325159ED5}"/>
    <hyperlink ref="K139" r:id="rId131" xr:uid="{F3BF6504-8D92-49E9-9F49-0F1D88C369D6}"/>
    <hyperlink ref="K140" r:id="rId132" xr:uid="{A1B92D0F-5C5D-45C4-B03C-9C81A336EDD8}"/>
    <hyperlink ref="K141" r:id="rId133" xr:uid="{01BF475E-AD7E-4C57-B6D3-19890D37906E}"/>
    <hyperlink ref="K144" r:id="rId134" xr:uid="{82B65B8D-6785-4FF0-966B-C5EBCDC3E182}"/>
    <hyperlink ref="K145" r:id="rId135" xr:uid="{05DFB0AC-A297-4967-82DA-2078D9B51F41}"/>
    <hyperlink ref="K147" r:id="rId136" xr:uid="{B25A98AD-D729-40B6-BFE3-123E9301D7C0}"/>
    <hyperlink ref="K148" r:id="rId137" xr:uid="{019A032B-6545-459D-BE35-A58A15363DDA}"/>
    <hyperlink ref="K149" r:id="rId138" xr:uid="{8AAF7B36-0D56-4183-9D26-D6997A894953}"/>
    <hyperlink ref="K150" r:id="rId139" xr:uid="{C1B3193C-15A9-47B2-A2F5-A3C09A092AA3}"/>
    <hyperlink ref="K151" r:id="rId140" xr:uid="{28D713CB-F3D8-4FBF-9BDF-77DF474B2052}"/>
    <hyperlink ref="K152" r:id="rId141" xr:uid="{C1055741-712D-40B2-B51A-9F888AC81B04}"/>
    <hyperlink ref="K153" r:id="rId142" xr:uid="{DCDBDFCF-7D77-4EFF-9A02-0A9881F1FDF8}"/>
    <hyperlink ref="K154" r:id="rId143" xr:uid="{C2EB74AE-288B-4737-A43C-432CB877925D}"/>
    <hyperlink ref="K155" r:id="rId144" xr:uid="{0A16808A-158F-46BE-8049-9B14812180B0}"/>
    <hyperlink ref="K157" r:id="rId145" xr:uid="{5EA79D6C-6C98-4F2D-B51A-298AA841C571}"/>
    <hyperlink ref="K158" r:id="rId146" xr:uid="{0B032A1F-408B-4156-BCA6-050957A78F9E}"/>
    <hyperlink ref="K159" r:id="rId147" xr:uid="{5E4D6C31-B626-441D-AA33-DEE998CED0E3}"/>
    <hyperlink ref="K167" r:id="rId148" xr:uid="{BBA8693F-F409-4F22-B35A-A1AD8A5A1FC7}"/>
    <hyperlink ref="K169" r:id="rId149" xr:uid="{CBAC7FB7-FF55-49BA-8655-7AC56E3497A7}"/>
    <hyperlink ref="K171" r:id="rId150" xr:uid="{F03B4927-B208-48C4-A15E-B08F1C87B6C8}"/>
    <hyperlink ref="K172" r:id="rId151" xr:uid="{4FCBA48A-8C68-4175-8025-367D6067A6C2}"/>
    <hyperlink ref="K183" r:id="rId152" xr:uid="{FE9AD46C-C936-4259-BE5B-5958805F32FE}"/>
    <hyperlink ref="K186" r:id="rId153" xr:uid="{D9BAB06C-D4FE-4DD8-99C8-2BB0A84C7E1F}"/>
    <hyperlink ref="K197" r:id="rId154" xr:uid="{B04CE159-2EF7-459F-9965-27444776E5AB}"/>
    <hyperlink ref="K219" r:id="rId155" xr:uid="{00221C62-E001-4665-8C5E-F228FAEAE991}"/>
    <hyperlink ref="K228" r:id="rId156" xr:uid="{3EB9CBC5-5074-425C-A1B3-23F553BECFA4}"/>
    <hyperlink ref="K241" r:id="rId157" xr:uid="{7233412F-87F7-4B9D-81E4-843393618D0B}"/>
    <hyperlink ref="K392" r:id="rId158" xr:uid="{4CCC32C9-4B39-478E-ADF1-735F9D6F5B15}"/>
    <hyperlink ref="K399" r:id="rId159" xr:uid="{51B4EA83-9F86-41C0-B93C-CBAE504FCCAC}"/>
    <hyperlink ref="K417" r:id="rId160" xr:uid="{DA9E9EC0-B0AF-46E0-98CF-97BF8DA34020}"/>
    <hyperlink ref="K419" r:id="rId161" xr:uid="{2422925D-B744-4989-87D0-B0AB990D9C45}"/>
    <hyperlink ref="K446" r:id="rId162" xr:uid="{319308C6-A914-49BB-B894-929AFBD84FAB}"/>
    <hyperlink ref="K447" r:id="rId163" xr:uid="{75E1C4EB-3237-4E1C-A0D1-D646671970EF}"/>
    <hyperlink ref="K448" r:id="rId164" xr:uid="{873C4A64-2EAF-4242-81B7-6FFC2FFFC2AB}"/>
    <hyperlink ref="K450" r:id="rId165" xr:uid="{B2DF927F-AE12-4BC6-94F7-CC49689B86B4}"/>
    <hyperlink ref="K449" r:id="rId166" xr:uid="{36AC2B44-3D34-4464-BFEC-7138C249C81B}"/>
    <hyperlink ref="K451" r:id="rId167" xr:uid="{1ED9E28D-87AB-47A6-88F6-5B1B6BC69124}"/>
    <hyperlink ref="K452" r:id="rId168" xr:uid="{B30CCFBB-29AB-427D-86E2-A00A329D865C}"/>
    <hyperlink ref="K453" r:id="rId169" xr:uid="{32A5DB71-B5ED-452C-8B5D-0BCCC58643FB}"/>
    <hyperlink ref="K454" r:id="rId170" xr:uid="{D937B530-B647-4087-AF03-41A70C511F9D}"/>
    <hyperlink ref="K455" r:id="rId171" xr:uid="{E1770BB9-CFD8-4EB3-A886-B96D6A26898D}"/>
    <hyperlink ref="K460" r:id="rId172" xr:uid="{E4AEDC02-03C5-49F5-9801-4E00E7A4E8C2}"/>
    <hyperlink ref="K459" r:id="rId173" xr:uid="{04CF223E-4C31-4034-9AEC-0D72B161FC8F}"/>
    <hyperlink ref="K461" r:id="rId174" xr:uid="{3CF8341E-EFEA-463B-AFFD-6540A34FF614}"/>
    <hyperlink ref="K464" r:id="rId175" xr:uid="{80482228-C5D2-478D-93FA-C4B838BC485D}"/>
    <hyperlink ref="K465" r:id="rId176" xr:uid="{EE605EE2-3C57-4082-851F-315129763957}"/>
    <hyperlink ref="K466" r:id="rId177" xr:uid="{4BE2CEF1-CE1E-407D-A45E-031BA6D62D6C}"/>
    <hyperlink ref="K467" r:id="rId178" xr:uid="{9D03B7B8-D763-4510-A350-212AD1BFCECC}"/>
    <hyperlink ref="K472" r:id="rId179" xr:uid="{CE9A2790-9DE4-4E7C-B8F1-5065BF84E739}"/>
    <hyperlink ref="K473" r:id="rId180" xr:uid="{55D037F0-89EC-4DD9-B54D-8A1EB0B7DE54}"/>
    <hyperlink ref="K471" r:id="rId181" xr:uid="{F755B362-21E7-4298-8721-009E773C5AE6}"/>
    <hyperlink ref="K469" r:id="rId182" xr:uid="{725F259C-44DE-4C2D-A9C0-029AE74F673E}"/>
    <hyperlink ref="K468" r:id="rId183" xr:uid="{F69DF99C-F548-4B0C-B6FD-A0E7F254E401}"/>
    <hyperlink ref="K474" r:id="rId184" xr:uid="{DBA9480B-ED60-4D3E-A6DC-4EFE677556DD}"/>
    <hyperlink ref="K476" r:id="rId185" xr:uid="{448C4F09-621E-46EA-B044-5A9A48334173}"/>
    <hyperlink ref="K475" r:id="rId186" xr:uid="{4E759A10-6F34-437E-9BBA-E6525679D998}"/>
    <hyperlink ref="K477" r:id="rId187" xr:uid="{E60999CD-4FC8-4358-A29C-E8FB1FFFAFB6}"/>
    <hyperlink ref="K479" r:id="rId188" xr:uid="{2DCC7C82-1F5B-419B-98C8-4AC019E140C1}"/>
    <hyperlink ref="K478" r:id="rId189" xr:uid="{CAA7D461-FC07-4669-A683-8ADE75C5880B}"/>
    <hyperlink ref="K480" r:id="rId190" xr:uid="{C798C317-0E37-4E06-9D98-AE9DBC43449D}"/>
    <hyperlink ref="K486" r:id="rId191" xr:uid="{798CB8E2-6527-4740-BFC8-2E24EC6F26B3}"/>
    <hyperlink ref="K485" r:id="rId192" xr:uid="{D4CE365A-4270-4116-ADBE-97005590017C}"/>
    <hyperlink ref="K484" r:id="rId193" xr:uid="{C8A135AB-E5FB-426D-99C1-C1A15FC745C7}"/>
    <hyperlink ref="K483" r:id="rId194" xr:uid="{5046D6AA-21E0-4170-9B44-B57198EB572A}"/>
    <hyperlink ref="K481" r:id="rId195" xr:uid="{8FD6885D-1C96-457A-9B0E-7BFACE93A2C3}"/>
    <hyperlink ref="K482" r:id="rId196" xr:uid="{50E9EFDE-7916-4069-A197-E11EAC5065CA}"/>
    <hyperlink ref="K487" r:id="rId197" xr:uid="{F170DC4F-B480-4BD6-94EF-CD672A84AB0A}"/>
    <hyperlink ref="K498" r:id="rId198" xr:uid="{753D9585-745B-4057-B23B-6B4899DCE815}"/>
    <hyperlink ref="K497" r:id="rId199" xr:uid="{1A741824-650B-4646-87FD-E038E18D7DB4}"/>
    <hyperlink ref="K496" r:id="rId200" xr:uid="{07D028A7-3DD0-4730-9906-F0E728F6F730}"/>
    <hyperlink ref="K495" r:id="rId201" xr:uid="{83025E7D-269C-4784-90E9-6C6A023141F1}"/>
    <hyperlink ref="K494" r:id="rId202" xr:uid="{13B0A0B2-BAE5-47C2-BB38-44ABF0BF7ABB}"/>
    <hyperlink ref="K493" r:id="rId203" xr:uid="{944BD146-BBEA-40CC-8293-7FB610362468}"/>
    <hyperlink ref="K488" r:id="rId204" xr:uid="{200CC179-FED9-4A31-860E-00CBC340C723}"/>
    <hyperlink ref="K489" r:id="rId205" xr:uid="{17464F1C-1778-4AE7-AAD1-D647E40BB4E3}"/>
    <hyperlink ref="K490" r:id="rId206" xr:uid="{6C3B4705-8822-46DA-BE1B-48D7743AA34F}"/>
    <hyperlink ref="K491" r:id="rId207" xr:uid="{3BDE7DF1-6831-4C32-AA1D-F8B03DCDA51E}"/>
    <hyperlink ref="K492" r:id="rId208" xr:uid="{C3E43B6F-4184-4A92-8814-71A73FC89723}"/>
    <hyperlink ref="K499" r:id="rId209" xr:uid="{8AE8DC48-BAC5-410F-8439-8B562DDB9AC3}"/>
    <hyperlink ref="K500" r:id="rId210" xr:uid="{0E9E0340-E117-4D85-8612-FBE59D649FF1}"/>
    <hyperlink ref="K501" r:id="rId211" xr:uid="{55D19C5D-EC6B-4AB3-8AAA-E1A9B16D7D2E}"/>
    <hyperlink ref="K502" r:id="rId212" xr:uid="{EAE13880-4A21-488A-BA05-8593E9C0C63E}"/>
    <hyperlink ref="K503" r:id="rId213" xr:uid="{F5A0A0BB-ABF7-4847-B940-F0CF70059D53}"/>
    <hyperlink ref="K504" r:id="rId214" xr:uid="{ADE05D48-7524-45C1-BF66-2FA1D8E4488C}"/>
    <hyperlink ref="K505" r:id="rId215" xr:uid="{B5128D36-E289-450B-9EA6-980367D5B627}"/>
    <hyperlink ref="K506" r:id="rId216" xr:uid="{FF8FC5F0-AD31-4BC6-A91E-050D191257A8}"/>
    <hyperlink ref="K507" r:id="rId217" xr:uid="{FF6C5126-A1AA-49B0-8341-20A37E22D44A}"/>
    <hyperlink ref="K508" r:id="rId218" xr:uid="{846929FF-1948-4EB9-921B-0FA5984772C5}"/>
    <hyperlink ref="K509" r:id="rId219" xr:uid="{5BFFAC40-C90A-4B5B-BDCB-3391CCFE1ADC}"/>
    <hyperlink ref="K510" r:id="rId220" xr:uid="{68B4BF87-B17C-46D8-A345-B42FFFA7BC2A}"/>
    <hyperlink ref="K425" r:id="rId221" xr:uid="{2683A206-2246-48AA-8F57-F9A7D4FBB1B3}"/>
    <hyperlink ref="K511" r:id="rId222" xr:uid="{9218076D-B22C-42D4-837B-36DB1E884058}"/>
    <hyperlink ref="K512" r:id="rId223" xr:uid="{7B796DC9-3FA6-40AE-A310-042278E96A92}"/>
    <hyperlink ref="K513" r:id="rId224" xr:uid="{11C44F1C-9954-415C-B0AA-1F031E21A9B1}"/>
    <hyperlink ref="K516" r:id="rId225" xr:uid="{F4520DA9-2709-45F4-A1B3-C630770FBA14}"/>
    <hyperlink ref="K517" r:id="rId226" xr:uid="{32FC3E28-FE6C-4BFC-8657-0BADCF3E52C3}"/>
    <hyperlink ref="K514" r:id="rId227" xr:uid="{32F655E9-41A0-453B-B4A6-91335AA84825}"/>
    <hyperlink ref="K515" r:id="rId228" xr:uid="{A8C46182-A95D-455A-B615-BAFA118799C5}"/>
    <hyperlink ref="K518" r:id="rId229" xr:uid="{C973215E-4583-4791-BAA4-5AE3C53F429C}"/>
    <hyperlink ref="K519" r:id="rId230" xr:uid="{C1F29116-5B51-4570-8B73-810A9B0C2161}"/>
  </hyperlinks>
  <pageMargins left="0.7" right="0.7" top="0.75" bottom="0.75" header="0.3" footer="0.3"/>
  <pageSetup orientation="portrait" r:id="rId231"/>
  <tableParts count="1">
    <tablePart r:id="rId2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E3E-EE9F-45DF-A2CD-4CBB2DE21776}">
  <dimension ref="A1"/>
  <sheetViews>
    <sheetView topLeftCell="A19" workbookViewId="0">
      <selection activeCell="C45" sqref="C4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B1A2-33EE-4B7F-A4EA-BD372AE842F3}">
  <dimension ref="A1"/>
  <sheetViews>
    <sheetView workbookViewId="0">
      <selection activeCell="D45" sqref="D4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A489-B14A-4DC2-8F3A-DE53CB4C8B28}">
  <dimension ref="A1:H18"/>
  <sheetViews>
    <sheetView workbookViewId="0">
      <selection activeCell="E3" sqref="E3"/>
    </sheetView>
  </sheetViews>
  <sheetFormatPr defaultRowHeight="14.4" x14ac:dyDescent="0.3"/>
  <cols>
    <col min="1" max="1" width="17" style="8" customWidth="1"/>
    <col min="2" max="2" width="13.33203125" style="6" customWidth="1"/>
    <col min="4" max="4" width="22.6640625" customWidth="1"/>
    <col min="5" max="5" width="13.5546875" customWidth="1"/>
    <col min="6" max="6" width="12.33203125" style="5" customWidth="1"/>
    <col min="7" max="7" width="11.77734375" style="5" customWidth="1"/>
    <col min="8" max="8" width="7.5546875" customWidth="1"/>
  </cols>
  <sheetData>
    <row r="1" spans="1:8" x14ac:dyDescent="0.3">
      <c r="A1" s="8" t="s">
        <v>134</v>
      </c>
      <c r="B1" s="6" t="s">
        <v>141</v>
      </c>
      <c r="C1" t="s">
        <v>469</v>
      </c>
      <c r="D1" t="s">
        <v>154</v>
      </c>
      <c r="E1" t="s">
        <v>153</v>
      </c>
      <c r="F1" s="5" t="s">
        <v>142</v>
      </c>
    </row>
    <row r="2" spans="1:8" x14ac:dyDescent="0.3">
      <c r="A2" s="8" t="s">
        <v>133</v>
      </c>
      <c r="B2" s="6">
        <f>SUMIFS('Kris''s Streak'!$C$2:'Kris''s Streak'!$C$154, 'Kris''s Streak'!$A$2:'Kris''s Streak'!$A$154, "&gt;=" &amp; F2, 'Kris''s Streak'!$A$2:'Kris''s Streak'!$A$154,  "&lt;=" &amp; G2)</f>
        <v>147.29000000000002</v>
      </c>
      <c r="C2" s="11" t="s">
        <v>465</v>
      </c>
      <c r="D2">
        <f>SUMIFS('Kris''s Streak'!$D$2:'Kris''s Streak'!$D$154, 'Kris''s Streak'!$A$2:'Kris''s Streak'!$A$154, "&gt;=" &amp; F2, 'Kris''s Streak'!$A$2:'Kris''s Streak'!$A$154,  "&lt;=" &amp; G2)/SUMIFS('Kris''s Streak'!$C$2:'Kris''s Streak'!$C$154, 'Kris''s Streak'!$A$2:'Kris''s Streak'!$A$154, "&gt;=" &amp; F2, 'Kris''s Streak'!$A$2:'Kris''s Streak'!$A$154,  "&lt;=" &amp; G2)</f>
        <v>498.01751646411833</v>
      </c>
      <c r="E2" s="9" t="str">
        <f>CONCATENATE(ROUNDDOWN(D2/60,0),":",IF(ROUNDDOWN(D2-ROUNDDOWN(D2/60,0)*60,0)&gt;=10,ROUNDDOWN(D2-ROUNDDOWN(D2/60,0)*60,3),CONCATENATE("0",ROUNDDOWN(D2-ROUNDDOWN(D2/60,0)*60,3))))</f>
        <v>8:18.017</v>
      </c>
      <c r="F2" s="5">
        <v>44044</v>
      </c>
      <c r="G2" s="5">
        <v>44074</v>
      </c>
    </row>
    <row r="3" spans="1:8" x14ac:dyDescent="0.3">
      <c r="A3" s="8" t="s">
        <v>135</v>
      </c>
      <c r="B3" s="6">
        <f>SUMIFS('Kris''s Streak'!$C$2:'Kris''s Streak'!$C$624, 'Kris''s Streak'!$A$2:'Kris''s Streak'!$A$624, "&gt;=" &amp; F3, 'Kris''s Streak'!$A$2:'Kris''s Streak'!$A$624,  "&lt;=" &amp; G3)</f>
        <v>140.57</v>
      </c>
      <c r="C3" s="11" t="s">
        <v>464</v>
      </c>
      <c r="D3">
        <f>SUMIFS('Kris''s Streak'!$D$2:'Kris''s Streak'!$D$624, 'Kris''s Streak'!$A$2:'Kris''s Streak'!$A$624, "&gt;=" &amp; F3, 'Kris''s Streak'!$A$2:'Kris''s Streak'!$A$624,  "&lt;=" &amp; G3)/SUMIFS('Kris''s Streak'!$C$2:'Kris''s Streak'!$C$624, 'Kris''s Streak'!$A$2:'Kris''s Streak'!$A$624, "&gt;=" &amp; F3, 'Kris''s Streak'!$A$2:'Kris''s Streak'!$A$624,  "&lt;=" &amp; G3)</f>
        <v>490.66657181475426</v>
      </c>
      <c r="E3" s="9" t="str">
        <f>CONCATENATE(ROUNDDOWN(D3/60,0),":",IF(ROUNDDOWN(D3-ROUNDDOWN(D3/60,0)*60,0)&gt;=10,ROUNDDOWN(D3-ROUNDDOWN(D3/60,0)*60,3),CONCATENATE("0",ROUNDDOWN(D3-ROUNDDOWN(D3/60,0)*60,3))))</f>
        <v>8:10.666</v>
      </c>
      <c r="F3" s="5">
        <v>44075</v>
      </c>
      <c r="G3" s="5">
        <v>44104</v>
      </c>
    </row>
    <row r="4" spans="1:8" x14ac:dyDescent="0.3">
      <c r="A4" s="8" t="s">
        <v>136</v>
      </c>
      <c r="B4" s="6">
        <f>SUMIFS('Kris''s Streak'!$C$2:'Kris''s Streak'!$C$154, 'Kris''s Streak'!$A$2:'Kris''s Streak'!$A$154, "&gt;=" &amp; F4, 'Kris''s Streak'!$A$2:'Kris''s Streak'!$A$154,  "&lt;=" &amp; G4)</f>
        <v>161.79</v>
      </c>
      <c r="C4" s="11" t="s">
        <v>463</v>
      </c>
      <c r="D4">
        <f>SUMIFS('Kris''s Streak'!$D$2:'Kris''s Streak'!$D$154, 'Kris''s Streak'!$A$2:'Kris''s Streak'!$A$154, "&gt;=" &amp; F4, 'Kris''s Streak'!$A$2:'Kris''s Streak'!$A$154,  "&lt;=" &amp; G4)/SUMIFS('Kris''s Streak'!$C$2:'Kris''s Streak'!$C$154, 'Kris''s Streak'!$A$2:'Kris''s Streak'!$A$154, "&gt;=" &amp; F4, 'Kris''s Streak'!$A$2:'Kris''s Streak'!$A$154,  "&lt;=" &amp; G4)</f>
        <v>491.8041906174671</v>
      </c>
      <c r="E4" s="9" t="str">
        <f t="shared" ref="E4:E18" si="0">CONCATENATE(ROUNDDOWN(D4/60,0),":",IF(ROUNDDOWN(D4-ROUNDDOWN(D4/60,0)*60,0)&gt;=10,ROUNDDOWN(D4-ROUNDDOWN(D4/60,0)*60,3),CONCATENATE("0",ROUNDDOWN(D4-ROUNDDOWN(D4/60,0)*60,3))))</f>
        <v>8:11.804</v>
      </c>
      <c r="F4" s="5">
        <v>44105</v>
      </c>
      <c r="G4" s="5">
        <v>44135</v>
      </c>
    </row>
    <row r="5" spans="1:8" x14ac:dyDescent="0.3">
      <c r="A5" s="8" t="s">
        <v>137</v>
      </c>
      <c r="B5" s="6">
        <f>SUMIFS('Kris''s Streak'!$C$2:'Kris''s Streak'!$C$154, 'Kris''s Streak'!$A$2:'Kris''s Streak'!$A$154, "&gt;=" &amp; F5, 'Kris''s Streak'!$A$2:'Kris''s Streak'!$A$154,  "&lt;=" &amp; G5)</f>
        <v>195.79000000000005</v>
      </c>
      <c r="C5" s="11" t="s">
        <v>462</v>
      </c>
      <c r="D5">
        <f>SUMIFS('Kris''s Streak'!$D$2:'Kris''s Streak'!$D$154, 'Kris''s Streak'!$A$2:'Kris''s Streak'!$A$154, "&gt;=" &amp; F5, 'Kris''s Streak'!$A$2:'Kris''s Streak'!$A$154,  "&lt;=" &amp; G5)/SUMIFS('Kris''s Streak'!$C$2:'Kris''s Streak'!$C$154, 'Kris''s Streak'!$A$2:'Kris''s Streak'!$A$154, "&gt;=" &amp; F5, 'Kris''s Streak'!$A$2:'Kris''s Streak'!$A$154,  "&lt;=" &amp; G5)</f>
        <v>494.87716430869796</v>
      </c>
      <c r="E5" s="9" t="str">
        <f t="shared" si="0"/>
        <v>8:14.877</v>
      </c>
      <c r="F5" s="5">
        <v>44136</v>
      </c>
      <c r="G5" s="5">
        <v>44165</v>
      </c>
    </row>
    <row r="6" spans="1:8" x14ac:dyDescent="0.3">
      <c r="A6" s="8" t="s">
        <v>138</v>
      </c>
      <c r="B6" s="6">
        <f>SUMIFS('Kris''s Streak'!$C$2:'Kris''s Streak'!$C$154, 'Kris''s Streak'!$A$2:'Kris''s Streak'!$A$154, "&gt;=" &amp; F6, 'Kris''s Streak'!$A$2:'Kris''s Streak'!$A$154,  "&lt;=" &amp; G6)</f>
        <v>195.92000000000002</v>
      </c>
      <c r="C6" s="11" t="s">
        <v>461</v>
      </c>
      <c r="D6">
        <f>SUMIFS('Kris''s Streak'!$D$2:'Kris''s Streak'!$D$154, 'Kris''s Streak'!$A$2:'Kris''s Streak'!$A$154, "&gt;=" &amp; F6, 'Kris''s Streak'!$A$2:'Kris''s Streak'!$A$154,  "&lt;=" &amp; G6)/SUMIFS('Kris''s Streak'!$C$2:'Kris''s Streak'!$C$154, 'Kris''s Streak'!$A$2:'Kris''s Streak'!$A$154, "&gt;=" &amp; F6, 'Kris''s Streak'!$A$2:'Kris''s Streak'!$A$154,  "&lt;=" &amp; G6)</f>
        <v>518.37995100040825</v>
      </c>
      <c r="E6" s="9" t="str">
        <f t="shared" si="0"/>
        <v>8:38.379</v>
      </c>
      <c r="F6" s="5">
        <v>44166</v>
      </c>
      <c r="G6" s="5">
        <v>44196</v>
      </c>
      <c r="H6">
        <f>SUM(B2:B6)</f>
        <v>841.36000000000013</v>
      </c>
    </row>
    <row r="7" spans="1:8" x14ac:dyDescent="0.3">
      <c r="A7" s="8" t="s">
        <v>139</v>
      </c>
      <c r="B7" s="6">
        <f>SUMIFS('Kris''s Streak'!$C$155:'Kris''s Streak'!$C$624, 'Kris''s Streak'!$A$155:'Kris''s Streak'!$A$624, "&gt;=" &amp; F7, 'Kris''s Streak'!$A$155:'Kris''s Streak'!$A$624,  "&lt;=" &amp; G7)</f>
        <v>196.92</v>
      </c>
      <c r="C7" s="11" t="s">
        <v>460</v>
      </c>
      <c r="D7">
        <f>SUMIFS('Kris''s Streak'!$D$155:'Kris''s Streak'!$D$624, 'Kris''s Streak'!$A$155:'Kris''s Streak'!$A$624, "&gt;=" &amp; F7, 'Kris''s Streak'!$A$155:'Kris''s Streak'!$A$624,  "&lt;=" &amp; G7)/SUMIFS('Kris''s Streak'!$C$155:'Kris''s Streak'!$C$624, 'Kris''s Streak'!$A$155:'Kris''s Streak'!$A$624, "&gt;=" &amp; F7, 'Kris''s Streak'!$A$155:'Kris''s Streak'!$A$624,  "&lt;=" &amp; G7)</f>
        <v>504.91570180784078</v>
      </c>
      <c r="E7" s="9" t="str">
        <f t="shared" si="0"/>
        <v>8:24.915</v>
      </c>
      <c r="F7" s="5">
        <v>44197</v>
      </c>
      <c r="G7" s="5">
        <v>44227</v>
      </c>
    </row>
    <row r="8" spans="1:8" x14ac:dyDescent="0.3">
      <c r="A8" s="8" t="s">
        <v>140</v>
      </c>
      <c r="B8" s="6">
        <f>SUMIFS('Kris''s Streak'!$C$155:'Kris''s Streak'!$C$624, 'Kris''s Streak'!$A$155:'Kris''s Streak'!$A$624, "&gt;=" &amp; F8, 'Kris''s Streak'!$A$155:'Kris''s Streak'!$A$624,  "&lt;=" &amp; G8)</f>
        <v>147.59000000000003</v>
      </c>
      <c r="C8" s="11" t="s">
        <v>459</v>
      </c>
      <c r="D8">
        <f>SUMIFS('Kris''s Streak'!$D$155:'Kris''s Streak'!$D$624, 'Kris''s Streak'!$A$155:'Kris''s Streak'!$A$624, "&gt;=" &amp; F8, 'Kris''s Streak'!$A$155:'Kris''s Streak'!$A$624,  "&lt;=" &amp; G8)/SUMIFS('Kris''s Streak'!$C$155:'Kris''s Streak'!$C$624, 'Kris''s Streak'!$A$155:'Kris''s Streak'!$A$624, "&gt;=" &amp; F8, 'Kris''s Streak'!$A$155:'Kris''s Streak'!$A$624,  "&lt;=" &amp; G8)</f>
        <v>498.17060776475358</v>
      </c>
      <c r="E8" s="9" t="str">
        <f t="shared" si="0"/>
        <v>8:18.17</v>
      </c>
      <c r="F8" s="5">
        <v>44228</v>
      </c>
      <c r="G8" s="5">
        <v>44255</v>
      </c>
    </row>
    <row r="9" spans="1:8" x14ac:dyDescent="0.3">
      <c r="A9" s="8" t="s">
        <v>143</v>
      </c>
      <c r="B9" s="6">
        <f>SUMIFS('Kris''s Streak'!$C$155:'Kris''s Streak'!$C$624, 'Kris''s Streak'!$A$155:'Kris''s Streak'!$A$624, "&gt;=" &amp; F9, 'Kris''s Streak'!$A$155:'Kris''s Streak'!$A$624,  "&lt;=" &amp; G9)</f>
        <v>128.34</v>
      </c>
      <c r="C9" s="11" t="s">
        <v>458</v>
      </c>
      <c r="D9">
        <f>SUMIFS('Kris''s Streak'!$D$155:'Kris''s Streak'!$D$624, 'Kris''s Streak'!$A$155:'Kris''s Streak'!$A$624, "&gt;=" &amp; F9, 'Kris''s Streak'!$A$155:'Kris''s Streak'!$A$624,  "&lt;=" &amp; G9)/SUMIFS('Kris''s Streak'!$C$155:'Kris''s Streak'!$C$624, 'Kris''s Streak'!$A$155:'Kris''s Streak'!$A$624, "&gt;=" &amp; F9, 'Kris''s Streak'!$A$155:'Kris''s Streak'!$A$624,  "&lt;=" &amp; G9)</f>
        <v>514.52392083528127</v>
      </c>
      <c r="E9" s="9" t="str">
        <f t="shared" si="0"/>
        <v>8:34.523</v>
      </c>
      <c r="F9" s="5">
        <v>44256</v>
      </c>
      <c r="G9" s="5">
        <v>44286</v>
      </c>
    </row>
    <row r="10" spans="1:8" x14ac:dyDescent="0.3">
      <c r="A10" s="8" t="s">
        <v>144</v>
      </c>
      <c r="B10" s="6">
        <f>SUMIFS('Kris''s Streak'!$C$155:'Kris''s Streak'!$C$624, 'Kris''s Streak'!$A$155:'Kris''s Streak'!$A$624, "&gt;=" &amp; F10, 'Kris''s Streak'!$A$155:'Kris''s Streak'!$A$624,  "&lt;=" &amp; G10)</f>
        <v>116.22000000000001</v>
      </c>
      <c r="C10" s="11" t="s">
        <v>457</v>
      </c>
      <c r="D10">
        <f>SUMIFS('Kris''s Streak'!$D$155:'Kris''s Streak'!$D$624, 'Kris''s Streak'!$A$155:'Kris''s Streak'!$A$624, "&gt;=" &amp; F10, 'Kris''s Streak'!$A$155:'Kris''s Streak'!$A$624,  "&lt;=" &amp; G10)/SUMIFS('Kris''s Streak'!$C$155:'Kris''s Streak'!$C$624, 'Kris''s Streak'!$A$155:'Kris''s Streak'!$A$624, "&gt;=" &amp; F10, 'Kris''s Streak'!$A$155:'Kris''s Streak'!$A$624,  "&lt;=" &amp; G10)</f>
        <v>532.04267768026148</v>
      </c>
      <c r="E10" s="9" t="str">
        <f t="shared" si="0"/>
        <v>8:52.042</v>
      </c>
      <c r="F10" s="5">
        <v>44287</v>
      </c>
      <c r="G10" s="5">
        <v>44316</v>
      </c>
    </row>
    <row r="11" spans="1:8" x14ac:dyDescent="0.3">
      <c r="A11" s="8" t="s">
        <v>145</v>
      </c>
      <c r="B11" s="6">
        <f>SUMIFS('Kris''s Streak'!$C$155:'Kris''s Streak'!$C$624, 'Kris''s Streak'!$A$155:'Kris''s Streak'!$A$624, "&gt;=" &amp; F11, 'Kris''s Streak'!$A$155:'Kris''s Streak'!$A$624,  "&lt;=" &amp; G11)</f>
        <v>139.39999999999998</v>
      </c>
      <c r="C11" s="11" t="s">
        <v>508</v>
      </c>
      <c r="D11">
        <f>SUMIFS('Kris''s Streak'!$D$155:'Kris''s Streak'!$D$624, 'Kris''s Streak'!$A$155:'Kris''s Streak'!$A$624, "&gt;=" &amp; F11, 'Kris''s Streak'!$A$155:'Kris''s Streak'!$A$624,  "&lt;=" &amp; G11)/SUMIFS('Kris''s Streak'!$C$155:'Kris''s Streak'!$C$624, 'Kris''s Streak'!$A$155:'Kris''s Streak'!$A$624, "&gt;=" &amp; F11, 'Kris''s Streak'!$A$155:'Kris''s Streak'!$A$624,  "&lt;=" &amp; G11)</f>
        <v>522.69727403156389</v>
      </c>
      <c r="E11" s="9" t="str">
        <f t="shared" si="0"/>
        <v>8:42.697</v>
      </c>
      <c r="F11" s="5">
        <v>44317</v>
      </c>
      <c r="G11" s="5">
        <v>44347</v>
      </c>
    </row>
    <row r="12" spans="1:8" x14ac:dyDescent="0.3">
      <c r="A12" s="8" t="s">
        <v>146</v>
      </c>
      <c r="B12" s="6">
        <f>SUMIFS('Kris''s Streak'!$C$155:'Kris''s Streak'!$C$624, 'Kris''s Streak'!$A$155:'Kris''s Streak'!$A$624, "&gt;=" &amp; F12, 'Kris''s Streak'!$A$155:'Kris''s Streak'!$A$624,  "&lt;=" &amp; G12)+29.43</f>
        <v>152.98000000000002</v>
      </c>
      <c r="C12" s="11" t="s">
        <v>549</v>
      </c>
      <c r="D12">
        <f>SUMIFS('Kris''s Streak'!$D$155:'Kris''s Streak'!$D$624, 'Kris''s Streak'!$A$155:'Kris''s Streak'!$A$624, "&gt;=" &amp; F12, 'Kris''s Streak'!$A$155:'Kris''s Streak'!$A$624,  "&lt;=" &amp; G12)/SUMIFS('Kris''s Streak'!$C$155:'Kris''s Streak'!$C$624, 'Kris''s Streak'!$A$155:'Kris''s Streak'!$A$624, "&gt;=" &amp; F12, 'Kris''s Streak'!$A$155:'Kris''s Streak'!$A$624,  "&lt;=" &amp; G12)</f>
        <v>543.91744233103998</v>
      </c>
      <c r="E12" s="9" t="str">
        <f t="shared" si="0"/>
        <v>9:03.917</v>
      </c>
      <c r="F12" s="5">
        <v>44348</v>
      </c>
      <c r="G12" s="5">
        <v>44377</v>
      </c>
    </row>
    <row r="13" spans="1:8" x14ac:dyDescent="0.3">
      <c r="A13" s="8" t="s">
        <v>147</v>
      </c>
      <c r="B13" s="6">
        <f>SUMIFS('Kris''s Streak'!$C$155:'Kris''s Streak'!$C$624, 'Kris''s Streak'!$A$155:'Kris''s Streak'!$A$624, "&gt;=" &amp; F13, 'Kris''s Streak'!$A$155:'Kris''s Streak'!$A$624,  "&lt;=" &amp; G13)</f>
        <v>108.9</v>
      </c>
      <c r="C13" s="11" t="s">
        <v>584</v>
      </c>
      <c r="D13">
        <f>SUMIFS('Kris''s Streak'!$D$155:'Kris''s Streak'!$D$624, 'Kris''s Streak'!$A$155:'Kris''s Streak'!$A$624, "&gt;=" &amp; F13, 'Kris''s Streak'!$A$155:'Kris''s Streak'!$A$624,  "&lt;=" &amp; G13)/SUMIFS('Kris''s Streak'!$C$155:'Kris''s Streak'!$C$624, 'Kris''s Streak'!$A$155:'Kris''s Streak'!$A$624, "&gt;=" &amp; F13, 'Kris''s Streak'!$A$155:'Kris''s Streak'!$A$624,  "&lt;=" &amp; G13)</f>
        <v>523.33333333333326</v>
      </c>
      <c r="E13" s="9" t="str">
        <f t="shared" si="0"/>
        <v>8:43.333</v>
      </c>
      <c r="F13" s="5">
        <v>44378</v>
      </c>
      <c r="G13" s="5">
        <v>44408</v>
      </c>
    </row>
    <row r="14" spans="1:8" x14ac:dyDescent="0.3">
      <c r="A14" s="8" t="s">
        <v>148</v>
      </c>
      <c r="B14" s="6">
        <f>SUMIFS('Kris''s Streak'!$C$155:'Kris''s Streak'!$C$624, 'Kris''s Streak'!$A$155:'Kris''s Streak'!$A$624, "&gt;=" &amp; F14, 'Kris''s Streak'!$A$155:'Kris''s Streak'!$A$624,  "&lt;=" &amp; G14)</f>
        <v>134</v>
      </c>
      <c r="C14" s="11" t="s">
        <v>622</v>
      </c>
      <c r="D14">
        <f>SUMIFS('Kris''s Streak'!$D$155:'Kris''s Streak'!$D$624, 'Kris''s Streak'!$A$155:'Kris''s Streak'!$A$624, "&gt;=" &amp; F14, 'Kris''s Streak'!$A$155:'Kris''s Streak'!$A$624,  "&lt;=" &amp; G14)/SUMIFS('Kris''s Streak'!$C$155:'Kris''s Streak'!$C$624, 'Kris''s Streak'!$A$155:'Kris''s Streak'!$A$624, "&gt;=" &amp; F14, 'Kris''s Streak'!$A$155:'Kris''s Streak'!$A$624,  "&lt;=" &amp; G14)</f>
        <v>532.47761194029852</v>
      </c>
      <c r="E14" s="9" t="str">
        <f t="shared" si="0"/>
        <v>8:52.477</v>
      </c>
      <c r="F14" s="5">
        <v>44409</v>
      </c>
      <c r="G14" s="5">
        <v>44439</v>
      </c>
    </row>
    <row r="15" spans="1:8" x14ac:dyDescent="0.3">
      <c r="A15" s="8" t="s">
        <v>149</v>
      </c>
      <c r="B15" s="6">
        <f>SUMIFS('Kris''s Streak'!$C$155:'Kris''s Streak'!$C$624, 'Kris''s Streak'!$A$155:'Kris''s Streak'!$A$624, "&gt;=" &amp; F15, 'Kris''s Streak'!$A$155:'Kris''s Streak'!$A$624,  "&lt;=" &amp; G15)</f>
        <v>106.13</v>
      </c>
      <c r="C15" s="11" t="s">
        <v>663</v>
      </c>
      <c r="D15">
        <f>SUMIFS('Kris''s Streak'!$D$155:'Kris''s Streak'!$D$624, 'Kris''s Streak'!$A$155:'Kris''s Streak'!$A$624, "&gt;=" &amp; F15, 'Kris''s Streak'!$A$155:'Kris''s Streak'!$A$624,  "&lt;=" &amp; G15)/SUMIFS('Kris''s Streak'!$C$155:'Kris''s Streak'!$C$624, 'Kris''s Streak'!$A$155:'Kris''s Streak'!$A$624, "&gt;=" &amp; F15, 'Kris''s Streak'!$A$155:'Kris''s Streak'!$A$624,  "&lt;=" &amp; G15)</f>
        <v>509.11146706868936</v>
      </c>
      <c r="E15" s="9" t="str">
        <f t="shared" si="0"/>
        <v>8:29.111</v>
      </c>
      <c r="F15" s="5">
        <v>44440</v>
      </c>
      <c r="G15" s="5">
        <v>44469</v>
      </c>
    </row>
    <row r="16" spans="1:8" x14ac:dyDescent="0.3">
      <c r="A16" s="8" t="s">
        <v>150</v>
      </c>
      <c r="B16" s="6">
        <f>SUMIFS('Kris''s Streak'!$C$155:'Kris''s Streak'!$C$624, 'Kris''s Streak'!$A$155:'Kris''s Streak'!$A$624, "&gt;=" &amp; F16, 'Kris''s Streak'!$A$155:'Kris''s Streak'!$A$624,  "&lt;=" &amp; G16)</f>
        <v>104.55</v>
      </c>
      <c r="C16" s="11" t="s">
        <v>707</v>
      </c>
      <c r="D16">
        <f>SUMIFS('Kris''s Streak'!$D$155:'Kris''s Streak'!$D$624, 'Kris''s Streak'!$A$155:'Kris''s Streak'!$A$624, "&gt;=" &amp; F16, 'Kris''s Streak'!$A$155:'Kris''s Streak'!$A$624,  "&lt;=" &amp; G16)/SUMIFS('Kris''s Streak'!$C$155:'Kris''s Streak'!$C$624, 'Kris''s Streak'!$A$155:'Kris''s Streak'!$A$624, "&gt;=" &amp; F16, 'Kris''s Streak'!$A$155:'Kris''s Streak'!$A$624,  "&lt;=" &amp; G16)</f>
        <v>518.03921568627447</v>
      </c>
      <c r="E16" s="9" t="str">
        <f t="shared" si="0"/>
        <v>8:38.039</v>
      </c>
      <c r="F16" s="5">
        <v>44470</v>
      </c>
      <c r="G16" s="5">
        <v>44500</v>
      </c>
    </row>
    <row r="17" spans="1:8" x14ac:dyDescent="0.3">
      <c r="A17" s="8" t="s">
        <v>151</v>
      </c>
      <c r="B17" s="6">
        <f>SUMIFS('Kris''s Streak'!$C$155:'Kris''s Streak'!$C$624, 'Kris''s Streak'!$A$155:'Kris''s Streak'!$A$624, "&gt;=" &amp; F17, 'Kris''s Streak'!$A$155:'Kris''s Streak'!$A$624,  "&lt;=" &amp; G17)</f>
        <v>112.14</v>
      </c>
      <c r="C17" s="11" t="s">
        <v>762</v>
      </c>
      <c r="D17">
        <f>SUMIFS('Kris''s Streak'!$D$155:'Kris''s Streak'!$D$624, 'Kris''s Streak'!$A$155:'Kris''s Streak'!$A$624, "&gt;=" &amp; F17, 'Kris''s Streak'!$A$155:'Kris''s Streak'!$A$624,  "&lt;=" &amp; G17)/SUMIFS('Kris''s Streak'!$C$155:'Kris''s Streak'!$C$624, 'Kris''s Streak'!$A$155:'Kris''s Streak'!$A$624, "&gt;=" &amp; F17, 'Kris''s Streak'!$A$155:'Kris''s Streak'!$A$624,  "&lt;=" &amp; G17)</f>
        <v>513.62582486177996</v>
      </c>
      <c r="E17" s="9" t="str">
        <f t="shared" si="0"/>
        <v>8:33.625</v>
      </c>
      <c r="F17" s="5">
        <v>44501</v>
      </c>
      <c r="G17" s="5">
        <v>44530</v>
      </c>
    </row>
    <row r="18" spans="1:8" x14ac:dyDescent="0.3">
      <c r="A18" s="8" t="s">
        <v>152</v>
      </c>
      <c r="B18" s="6">
        <f>SUMIFS('Kris''s Streak'!$C$155:'Kris''s Streak'!$C$624, 'Kris''s Streak'!$A$155:'Kris''s Streak'!$A$624, "&gt;=" &amp; F18, 'Kris''s Streak'!$A$155:'Kris''s Streak'!$A$624,  "&lt;=" &amp; G18)</f>
        <v>105.83999999999999</v>
      </c>
      <c r="C18" s="11" t="s">
        <v>802</v>
      </c>
      <c r="D18">
        <f>SUMIFS('Kris''s Streak'!$D$155:'Kris''s Streak'!$D$624, 'Kris''s Streak'!$A$155:'Kris''s Streak'!$A$624, "&gt;=" &amp; F18, 'Kris''s Streak'!$A$155:'Kris''s Streak'!$A$624,  "&lt;=" &amp; G18)/SUMIFS('Kris''s Streak'!$C$155:'Kris''s Streak'!$C$624, 'Kris''s Streak'!$A$155:'Kris''s Streak'!$A$624, "&gt;=" &amp; F18, 'Kris''s Streak'!$A$155:'Kris''s Streak'!$A$624,  "&lt;=" &amp; G18)</f>
        <v>523.02532123960702</v>
      </c>
      <c r="E18" s="9" t="str">
        <f t="shared" si="0"/>
        <v>8:43.025</v>
      </c>
      <c r="F18" s="5">
        <v>44531</v>
      </c>
      <c r="G18" s="5">
        <v>44561</v>
      </c>
      <c r="H18" s="1">
        <f>SUM(B7:B18)</f>
        <v>1553.01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9ECC-C5FE-4FCE-AFCE-C466BBC02DFD}">
  <dimension ref="A1:H62"/>
  <sheetViews>
    <sheetView workbookViewId="0">
      <selection activeCell="C15" sqref="A14:C15"/>
    </sheetView>
  </sheetViews>
  <sheetFormatPr defaultRowHeight="14.4" x14ac:dyDescent="0.3"/>
  <cols>
    <col min="1" max="1" width="23.88671875" customWidth="1"/>
    <col min="2" max="2" width="18.5546875" customWidth="1"/>
    <col min="3" max="3" width="22.109375" customWidth="1"/>
    <col min="5" max="5" width="12.6640625" customWidth="1"/>
    <col min="8" max="8" width="16.88671875" customWidth="1"/>
  </cols>
  <sheetData>
    <row r="1" spans="1:4" x14ac:dyDescent="0.3">
      <c r="A1" t="s">
        <v>112</v>
      </c>
      <c r="B1" t="s">
        <v>11</v>
      </c>
      <c r="C1" t="s">
        <v>113</v>
      </c>
    </row>
    <row r="2" spans="1:4" x14ac:dyDescent="0.3">
      <c r="A2" t="s">
        <v>36</v>
      </c>
      <c r="B2" cm="1">
        <f t="array" ref="B2">MIN(IF('Kris''s Streak'!M2:'Kris''s Streak'!M843&lt;&gt;"Track Workout",IF('Kris''s Streak'!C2:'Kris''s Streak'!C843&gt;3,'Kris''s Streak'!E2:'Kris''s Streak'!E843), 898))</f>
        <v>392</v>
      </c>
      <c r="C2" s="4" t="str">
        <f>CONCATENATE(ROUNDDOWN(B2/60,0),":",IF(ROUNDDOWN(B2-ROUNDDOWN(B2/60,0)*60,0)&gt;=10,ROUNDDOWN(B2-ROUNDDOWN(B2/60,0)*60,0),CONCATENATE("0",ROUNDDOWN(B2-ROUNDDOWN(B2/60,0)*60,0))))</f>
        <v>6:32</v>
      </c>
    </row>
    <row r="3" spans="1:4" x14ac:dyDescent="0.3">
      <c r="A3" t="s">
        <v>25</v>
      </c>
      <c r="B3" cm="1">
        <f t="array" ref="B3">MIN(IF('Kris''s Streak'!M3:'Kris''s Streak'!M844&lt;&gt;"Track Workout",IF('Kris''s Streak'!C3:'Kris''s Streak'!C844&gt;3,'Kris''s Streak'!E3:'Kris''s Streak'!E844), 898))</f>
        <v>392</v>
      </c>
      <c r="C3" s="4" t="str">
        <f t="shared" ref="C3:C9" si="0">CONCATENATE(ROUNDDOWN(B3/60,0),":",IF(ROUNDDOWN(B3-ROUNDDOWN(B3/60,0)*60,0)&gt;=10,ROUNDDOWN(B3-ROUNDDOWN(B3/60,0)*60,0),CONCATENATE("0",ROUNDDOWN(B3-ROUNDDOWN(B3/60,0)*60,0))))</f>
        <v>6:32</v>
      </c>
    </row>
    <row r="4" spans="1:4" x14ac:dyDescent="0.3">
      <c r="A4" t="s">
        <v>27</v>
      </c>
      <c r="B4" cm="1">
        <f t="array" ref="B4">MIN(IF('Kris''s Streak'!M2:'Kris''s Streak'!M843&lt;&gt;"Track Workout",IF('Kris''s Streak'!C2:'Kris''s Streak'!C843&gt;4,'Kris''s Streak'!E2:'Kris''s Streak'!E843), 898))</f>
        <v>413</v>
      </c>
      <c r="C4" s="4" t="str">
        <f t="shared" si="0"/>
        <v>6:53</v>
      </c>
    </row>
    <row r="5" spans="1:4" x14ac:dyDescent="0.3">
      <c r="A5" t="s">
        <v>23</v>
      </c>
      <c r="B5" cm="1">
        <f t="array" ref="B5">MIN(IF('Kris''s Streak'!C2:'Kris''s Streak'!C843&gt;5,'Kris''s Streak'!E2:'Kris''s Streak'!E843))</f>
        <v>435</v>
      </c>
      <c r="C5" s="4" t="str">
        <f t="shared" si="0"/>
        <v>7:15</v>
      </c>
    </row>
    <row r="6" spans="1:4" x14ac:dyDescent="0.3">
      <c r="A6" t="s">
        <v>26</v>
      </c>
      <c r="B6" cm="1">
        <f t="array" ref="B6">MIN(IF('Kris''s Streak'!C2:'Kris''s Streak'!C843&gt;6.21,'Kris''s Streak'!E2:'Kris''s Streak'!E843))</f>
        <v>435</v>
      </c>
      <c r="C6" s="4" t="str">
        <f>CONCATENATE(ROUNDDOWN(B6/60,0),":",IF(ROUNDDOWN(B6-ROUNDDOWN(B6/60,0)*60,0)&gt;=10,ROUNDDOWN(B6-ROUNDDOWN(B6/60,0)*60,0),CONCATENATE("0",ROUNDDOWN(B6-ROUNDDOWN(B6/60,0)*60,0))))</f>
        <v>7:15</v>
      </c>
    </row>
    <row r="7" spans="1:4" x14ac:dyDescent="0.3">
      <c r="A7" t="s">
        <v>126</v>
      </c>
      <c r="B7" cm="1">
        <f t="array" ref="B7">MIN(IF('Kris''s Streak'!C2:'Kris''s Streak'!C843&gt;9.32,'Kris''s Streak'!E2:'Kris''s Streak'!E843))</f>
        <v>438</v>
      </c>
      <c r="C7" s="7" t="str">
        <f>CONCATENATE(ROUNDDOWN(B7/60,0),":",IF(ROUNDDOWN(B7-ROUNDDOWN(B7/60,0)*60,0)&gt;=10,ROUNDDOWN(B7-ROUNDDOWN(B7/60,0)*60,0),CONCATENATE("0",ROUNDDOWN(B7-ROUNDDOWN(B7/60,0)*60,0))))</f>
        <v>7:18</v>
      </c>
    </row>
    <row r="8" spans="1:4" x14ac:dyDescent="0.3">
      <c r="A8" t="s">
        <v>22</v>
      </c>
      <c r="B8" cm="1">
        <f t="array" ref="B8">MIN(IF('Kris''s Streak'!C2:'Kris''s Streak'!C843&gt;10,'Kris''s Streak'!E2:'Kris''s Streak'!E843))</f>
        <v>438</v>
      </c>
      <c r="C8" s="4" t="str">
        <f t="shared" si="0"/>
        <v>7:18</v>
      </c>
    </row>
    <row r="9" spans="1:4" x14ac:dyDescent="0.3">
      <c r="A9" t="s">
        <v>24</v>
      </c>
      <c r="B9" cm="1">
        <f t="array" ref="B9">MIN(IF('Kris''s Streak'!C2:'Kris''s Streak'!C843&gt;13.1,'Kris''s Streak'!E2:'Kris''s Streak'!E843))</f>
        <v>476</v>
      </c>
      <c r="C9" s="4" t="str">
        <f t="shared" si="0"/>
        <v>7:56</v>
      </c>
    </row>
    <row r="10" spans="1:4" x14ac:dyDescent="0.3">
      <c r="A10" t="s">
        <v>125</v>
      </c>
      <c r="B10" cm="1">
        <f t="array" ref="B10">MIN(IF('Kris''s Streak'!C2:'Kris''s Streak'!C843&gt;15,'Kris''s Streak'!E2:'Kris''s Streak'!E843))</f>
        <v>513</v>
      </c>
      <c r="C10" s="7" t="str">
        <f t="shared" ref="C10:C13" si="1">CONCATENATE(ROUNDDOWN(B10/60,0),":",IF(ROUNDDOWN(B10-ROUNDDOWN(B10/60,0)*60,0)&gt;=10,ROUNDDOWN(B10-ROUNDDOWN(B10/60,0)*60,0),CONCATENATE("0",ROUNDDOWN(B10-ROUNDDOWN(B10/60,0)*60,0))))</f>
        <v>8:33</v>
      </c>
    </row>
    <row r="11" spans="1:4" x14ac:dyDescent="0.3">
      <c r="A11" t="s">
        <v>127</v>
      </c>
      <c r="B11" cm="1">
        <f t="array" ref="B11">MIN(IF('Kris''s Streak'!C2:'Kris''s Streak'!C843&gt;20,'Kris''s Streak'!E2:'Kris''s Streak'!E843))</f>
        <v>513</v>
      </c>
      <c r="C11" s="7" t="str">
        <f t="shared" si="1"/>
        <v>8:33</v>
      </c>
    </row>
    <row r="12" spans="1:4" x14ac:dyDescent="0.3">
      <c r="A12" t="s">
        <v>128</v>
      </c>
      <c r="B12" cm="1">
        <f t="array" ref="B12">MIN(IF('Kris''s Streak'!C2:'Kris''s Streak'!C843&gt;(26 + 385/1760),'Kris''s Streak'!E2:'Kris''s Streak'!E843))</f>
        <v>513</v>
      </c>
      <c r="C12" s="7" t="str">
        <f t="shared" si="1"/>
        <v>8:33</v>
      </c>
    </row>
    <row r="13" spans="1:4" x14ac:dyDescent="0.3">
      <c r="A13" t="s">
        <v>129</v>
      </c>
      <c r="B13">
        <f>(7*3600+57*60+20)/31.06856</f>
        <v>921.83223168373422</v>
      </c>
      <c r="C13" s="7" t="str">
        <f t="shared" si="1"/>
        <v>15:21</v>
      </c>
      <c r="D13">
        <f>(7*3600+57*60+20)/32.54</f>
        <v>880.1475107559927</v>
      </c>
    </row>
    <row r="15" spans="1:4" x14ac:dyDescent="0.3">
      <c r="A15" t="s">
        <v>283</v>
      </c>
      <c r="B15" t="s">
        <v>351</v>
      </c>
      <c r="C15" s="5" t="s">
        <v>780</v>
      </c>
    </row>
    <row r="16" spans="1:4" x14ac:dyDescent="0.3">
      <c r="A16" t="s">
        <v>284</v>
      </c>
      <c r="B16">
        <f>7*60+48</f>
        <v>468</v>
      </c>
      <c r="C16">
        <f>7*60+35</f>
        <v>455</v>
      </c>
    </row>
    <row r="17" spans="1:3" x14ac:dyDescent="0.3">
      <c r="A17" t="s">
        <v>285</v>
      </c>
      <c r="B17">
        <f>7*60+56</f>
        <v>476</v>
      </c>
      <c r="C17">
        <f>7*60+54</f>
        <v>474</v>
      </c>
    </row>
    <row r="18" spans="1:3" x14ac:dyDescent="0.3">
      <c r="A18" t="s">
        <v>286</v>
      </c>
      <c r="B18">
        <f>8*60+4</f>
        <v>484</v>
      </c>
      <c r="C18">
        <f>8*60+31</f>
        <v>511</v>
      </c>
    </row>
    <row r="19" spans="1:3" x14ac:dyDescent="0.3">
      <c r="A19" t="s">
        <v>287</v>
      </c>
      <c r="B19">
        <f>8*60+5</f>
        <v>485</v>
      </c>
      <c r="C19">
        <f>8*60+32</f>
        <v>512</v>
      </c>
    </row>
    <row r="20" spans="1:3" x14ac:dyDescent="0.3">
      <c r="A20" t="s">
        <v>288</v>
      </c>
      <c r="B20">
        <f>8*60+12</f>
        <v>492</v>
      </c>
      <c r="C20">
        <f>8*60+13</f>
        <v>493</v>
      </c>
    </row>
    <row r="21" spans="1:3" x14ac:dyDescent="0.3">
      <c r="A21" t="s">
        <v>289</v>
      </c>
      <c r="B21">
        <f>7*60+49</f>
        <v>469</v>
      </c>
      <c r="C21">
        <f>8*60+3</f>
        <v>483</v>
      </c>
    </row>
    <row r="22" spans="1:3" x14ac:dyDescent="0.3">
      <c r="A22" t="s">
        <v>290</v>
      </c>
      <c r="B22">
        <f>8*60+1</f>
        <v>481</v>
      </c>
      <c r="C22">
        <f>8*60+1</f>
        <v>481</v>
      </c>
    </row>
    <row r="23" spans="1:3" x14ac:dyDescent="0.3">
      <c r="A23" t="s">
        <v>291</v>
      </c>
      <c r="B23">
        <f>7*60+53</f>
        <v>473</v>
      </c>
      <c r="C23">
        <f>8*60+18</f>
        <v>498</v>
      </c>
    </row>
    <row r="24" spans="1:3" x14ac:dyDescent="0.3">
      <c r="A24" t="s">
        <v>292</v>
      </c>
      <c r="B24">
        <f>8*60+5</f>
        <v>485</v>
      </c>
      <c r="C24">
        <f>8*60+18</f>
        <v>498</v>
      </c>
    </row>
    <row r="25" spans="1:3" x14ac:dyDescent="0.3">
      <c r="A25" t="s">
        <v>293</v>
      </c>
      <c r="B25">
        <f>8*60+3</f>
        <v>483</v>
      </c>
      <c r="C25">
        <f>8*60+15</f>
        <v>495</v>
      </c>
    </row>
    <row r="26" spans="1:3" x14ac:dyDescent="0.3">
      <c r="A26" t="s">
        <v>294</v>
      </c>
      <c r="B26">
        <f>8*60+6</f>
        <v>486</v>
      </c>
      <c r="C26">
        <f>8*60+15</f>
        <v>495</v>
      </c>
    </row>
    <row r="27" spans="1:3" x14ac:dyDescent="0.3">
      <c r="A27" t="s">
        <v>295</v>
      </c>
      <c r="B27">
        <f>8*60+11</f>
        <v>491</v>
      </c>
      <c r="C27">
        <f>8*60+27</f>
        <v>507</v>
      </c>
    </row>
    <row r="28" spans="1:3" x14ac:dyDescent="0.3">
      <c r="A28" t="s">
        <v>296</v>
      </c>
      <c r="B28">
        <f>8*60+16</f>
        <v>496</v>
      </c>
      <c r="C28">
        <f>8*60+37</f>
        <v>517</v>
      </c>
    </row>
    <row r="29" spans="1:3" x14ac:dyDescent="0.3">
      <c r="A29" t="s">
        <v>297</v>
      </c>
      <c r="B29">
        <f>8*60+25</f>
        <v>505</v>
      </c>
      <c r="C29">
        <f>8*60+39</f>
        <v>519</v>
      </c>
    </row>
    <row r="30" spans="1:3" x14ac:dyDescent="0.3">
      <c r="A30" t="s">
        <v>298</v>
      </c>
      <c r="B30">
        <f>8*60+39</f>
        <v>519</v>
      </c>
      <c r="C30">
        <f>8*60+55</f>
        <v>535</v>
      </c>
    </row>
    <row r="31" spans="1:3" x14ac:dyDescent="0.3">
      <c r="A31" t="s">
        <v>299</v>
      </c>
      <c r="B31">
        <f>8*60+43</f>
        <v>523</v>
      </c>
      <c r="C31">
        <f>8*60+42</f>
        <v>522</v>
      </c>
    </row>
    <row r="32" spans="1:3" x14ac:dyDescent="0.3">
      <c r="A32" t="s">
        <v>300</v>
      </c>
      <c r="B32">
        <f>9*60+22</f>
        <v>562</v>
      </c>
      <c r="C32">
        <f>9*60</f>
        <v>540</v>
      </c>
    </row>
    <row r="33" spans="1:8" x14ac:dyDescent="0.3">
      <c r="A33" t="s">
        <v>301</v>
      </c>
      <c r="B33">
        <f>9*60+3</f>
        <v>543</v>
      </c>
      <c r="C33">
        <f>9*60+15</f>
        <v>555</v>
      </c>
    </row>
    <row r="34" spans="1:8" x14ac:dyDescent="0.3">
      <c r="A34" t="s">
        <v>302</v>
      </c>
      <c r="B34">
        <f>9*60+14</f>
        <v>554</v>
      </c>
      <c r="C34">
        <f>9*60+34</f>
        <v>574</v>
      </c>
    </row>
    <row r="35" spans="1:8" x14ac:dyDescent="0.3">
      <c r="A35" t="s">
        <v>303</v>
      </c>
      <c r="B35">
        <f>9*60+10</f>
        <v>550</v>
      </c>
      <c r="C35">
        <f>9*60+24</f>
        <v>564</v>
      </c>
    </row>
    <row r="36" spans="1:8" x14ac:dyDescent="0.3">
      <c r="A36" t="s">
        <v>304</v>
      </c>
      <c r="B36">
        <f>9*60+6</f>
        <v>546</v>
      </c>
      <c r="C36">
        <f>9*60+37</f>
        <v>577</v>
      </c>
    </row>
    <row r="37" spans="1:8" x14ac:dyDescent="0.3">
      <c r="A37" t="s">
        <v>305</v>
      </c>
      <c r="B37">
        <f>9*60+12</f>
        <v>552</v>
      </c>
      <c r="C37">
        <f>10*60+10</f>
        <v>610</v>
      </c>
      <c r="H37" s="9"/>
    </row>
    <row r="38" spans="1:8" x14ac:dyDescent="0.3">
      <c r="A38" t="s">
        <v>306</v>
      </c>
      <c r="B38">
        <f>9*60+56</f>
        <v>596</v>
      </c>
      <c r="C38">
        <f>11*60+26</f>
        <v>686</v>
      </c>
      <c r="H38" s="9"/>
    </row>
    <row r="39" spans="1:8" x14ac:dyDescent="0.3">
      <c r="A39" t="s">
        <v>307</v>
      </c>
      <c r="B39">
        <f>8*60+58</f>
        <v>538</v>
      </c>
      <c r="C39">
        <f>11*60+52</f>
        <v>712</v>
      </c>
    </row>
    <row r="40" spans="1:8" x14ac:dyDescent="0.3">
      <c r="A40" t="s">
        <v>308</v>
      </c>
      <c r="B40">
        <f>9*60+8</f>
        <v>548</v>
      </c>
      <c r="C40">
        <f>12*60+32</f>
        <v>752</v>
      </c>
    </row>
    <row r="41" spans="1:8" x14ac:dyDescent="0.3">
      <c r="A41" t="s">
        <v>309</v>
      </c>
      <c r="B41">
        <f>9*60+18</f>
        <v>558</v>
      </c>
      <c r="C41">
        <f>10*60+49</f>
        <v>649</v>
      </c>
    </row>
    <row r="42" spans="1:8" x14ac:dyDescent="0.3">
      <c r="A42" t="s">
        <v>326</v>
      </c>
      <c r="B42">
        <f>0.25*(7*60+38)</f>
        <v>114.5</v>
      </c>
      <c r="C42">
        <f>0.25*(10*60+18)</f>
        <v>154.5</v>
      </c>
      <c r="H42" s="9"/>
    </row>
    <row r="43" spans="1:8" x14ac:dyDescent="0.3">
      <c r="B43">
        <f>SUM(B16:B42)/60</f>
        <v>224.625</v>
      </c>
      <c r="C43">
        <f>SUM(C16:C42)/60</f>
        <v>239.47499999999999</v>
      </c>
    </row>
    <row r="45" spans="1:8" x14ac:dyDescent="0.3">
      <c r="A45" t="s">
        <v>785</v>
      </c>
      <c r="B45">
        <f>SUM(B16:B20)/60</f>
        <v>40.083333333333336</v>
      </c>
      <c r="C45">
        <f>SUM(C16:C20)/60</f>
        <v>40.75</v>
      </c>
    </row>
    <row r="46" spans="1:8" x14ac:dyDescent="0.3">
      <c r="A46" s="9" t="s">
        <v>782</v>
      </c>
      <c r="B46">
        <f>B47-B45</f>
        <v>39.85</v>
      </c>
      <c r="C46">
        <f>C47-C45</f>
        <v>40.916666666666671</v>
      </c>
    </row>
    <row r="47" spans="1:8" x14ac:dyDescent="0.3">
      <c r="A47" t="s">
        <v>781</v>
      </c>
      <c r="B47">
        <f>SUM(B16:B25)/60</f>
        <v>79.933333333333337</v>
      </c>
      <c r="C47">
        <f>SUM(C16:C25)/60</f>
        <v>81.666666666666671</v>
      </c>
    </row>
    <row r="48" spans="1:8" x14ac:dyDescent="0.3">
      <c r="A48" t="s">
        <v>783</v>
      </c>
      <c r="B48">
        <f>SUM(B16:B28)/60</f>
        <v>104.48333333333333</v>
      </c>
      <c r="C48">
        <f>SUM(C16:C28)/60</f>
        <v>106.98333333333333</v>
      </c>
    </row>
    <row r="49" spans="1:3" x14ac:dyDescent="0.3">
      <c r="A49" s="9" t="s">
        <v>786</v>
      </c>
      <c r="B49">
        <f>B50-B47</f>
        <v>41.61666666666666</v>
      </c>
      <c r="C49">
        <f>C50-C47</f>
        <v>42.883333333333326</v>
      </c>
    </row>
    <row r="50" spans="1:3" x14ac:dyDescent="0.3">
      <c r="A50" t="s">
        <v>784</v>
      </c>
      <c r="B50">
        <f>SUM(B16:B30)/60</f>
        <v>121.55</v>
      </c>
      <c r="C50">
        <f>SUM(C16:C30)/60</f>
        <v>124.55</v>
      </c>
    </row>
    <row r="51" spans="1:3" x14ac:dyDescent="0.3">
      <c r="A51" s="9" t="s">
        <v>788</v>
      </c>
      <c r="B51">
        <f>B52-B50</f>
        <v>45.533333333333346</v>
      </c>
      <c r="C51">
        <f>C52-C50</f>
        <v>45.916666666666671</v>
      </c>
    </row>
    <row r="52" spans="1:3" x14ac:dyDescent="0.3">
      <c r="A52" t="s">
        <v>787</v>
      </c>
      <c r="B52">
        <f>SUM(B16:B35)/60</f>
        <v>167.08333333333334</v>
      </c>
      <c r="C52">
        <f>SUM(C16:C35)/60</f>
        <v>170.46666666666667</v>
      </c>
    </row>
    <row r="53" spans="1:3" x14ac:dyDescent="0.3">
      <c r="A53" s="9" t="s">
        <v>791</v>
      </c>
      <c r="B53">
        <f>B54-B52</f>
        <v>46.333333333333314</v>
      </c>
      <c r="C53">
        <f>C54-C52</f>
        <v>55.616666666666674</v>
      </c>
    </row>
    <row r="54" spans="1:3" x14ac:dyDescent="0.3">
      <c r="A54" s="13" t="s">
        <v>790</v>
      </c>
      <c r="B54">
        <f>SUM(B16:B40)/60</f>
        <v>213.41666666666666</v>
      </c>
      <c r="C54">
        <f>SUM(C16:C40)/60</f>
        <v>226.08333333333334</v>
      </c>
    </row>
    <row r="55" spans="1:3" x14ac:dyDescent="0.3">
      <c r="A55" s="9" t="s">
        <v>792</v>
      </c>
      <c r="B55" s="9" t="str">
        <f>CONCATENATE(ROUNDDOWN(B41/60,0),":",IF(ROUNDDOWN(B41-ROUNDDOWN(B41/60,0)*60,0)&gt;=10,ROUNDDOWN(B41-ROUNDDOWN(B41/60,0)*60,0),CONCATENATE("0",ROUNDDOWN(B41-ROUNDDOWN(B41/60,0)*60,0))))</f>
        <v>9:18</v>
      </c>
      <c r="C55" s="9" t="str">
        <f>CONCATENATE(ROUNDDOWN(C41/60,0),":",IF(ROUNDDOWN(C41-ROUNDDOWN(C41/60,0)*60,0)&gt;=10,ROUNDDOWN(C41-ROUNDDOWN(C41/60,0)*60,0),CONCATENATE("0",ROUNDDOWN(C41-ROUNDDOWN(C41/60,0)*60,0))))</f>
        <v>10:49</v>
      </c>
    </row>
    <row r="56" spans="1:3" x14ac:dyDescent="0.3">
      <c r="A56" t="s">
        <v>793</v>
      </c>
      <c r="B56" s="9" t="str">
        <f>CONCATENATE(ROUNDDOWN(B43/60,0)," hours, ",IF(ROUNDDOWN(B43-ROUNDDOWN(B43/60,0)*60,0)&gt;=10,ROUNDDOWN(B43-ROUNDDOWN(B43/60,0)*60,0),CONCATENATE("0",ROUNDDOWN(B43-ROUNDDOWN(B43/60,0)*60,0))), " minutes")</f>
        <v>3 hours, 44 minutes</v>
      </c>
      <c r="C56" s="9" t="str">
        <f>CONCATENATE(ROUNDDOWN(C43/60,0)," hours, ",IF(ROUNDDOWN(C43-ROUNDDOWN(C43/60,0)*60,0)&gt;=10,ROUNDDOWN(C43-ROUNDDOWN(C43/60,0)*60,0),CONCATENATE("0",ROUNDDOWN(C43-ROUNDDOWN(C43/60,0)*60,0))), " minutes")</f>
        <v>3 hours, 59 minutes</v>
      </c>
    </row>
    <row r="57" spans="1:3" x14ac:dyDescent="0.3">
      <c r="A57" s="9" t="s">
        <v>795</v>
      </c>
      <c r="B57" s="9" t="str">
        <f>CONCATENATE(ROUNDDOWN(MAX(B16:B41)/60,0),":",IF(ROUNDDOWN(MAX(B16:B41)-ROUNDDOWN(MAX(B16:B41)/60,0)*60,0)&gt;=10,ROUNDDOWN(MAX(B16:B41)-ROUNDDOWN(MAX(B16:B41)/60,0)*60,0),CONCATENATE("0",ROUNDDOWN(MAX(B16:B41)-ROUNDDOWN(MAX(B16:B41)/60,0)*60,0))))</f>
        <v>9:56</v>
      </c>
      <c r="C57" s="9" t="str">
        <f>CONCATENATE(ROUNDDOWN(MAX(C16:C41)/60,0),":",IF(ROUNDDOWN(MAX(C16:C41)-ROUNDDOWN(MAX(C16:C41)/60,0)*60,0)&gt;=10,ROUNDDOWN(MAX(C16:C41)-ROUNDDOWN(MAX(C16:C41)/60,0)*60,0),CONCATENATE("0",ROUNDDOWN(MAX(C16:C41)-ROUNDDOWN(MAX(C16:C41)/60,0)*60,0))))</f>
        <v>12:32</v>
      </c>
    </row>
    <row r="58" spans="1:3" x14ac:dyDescent="0.3">
      <c r="A58" s="9" t="s">
        <v>796</v>
      </c>
      <c r="B58" s="9" t="str">
        <f>INDEX(A16:A41,MATCH(MAX(B16:B41),B16:B41,0))</f>
        <v>Mile 23</v>
      </c>
      <c r="C58" s="9" t="str">
        <f>INDEX(A16:A41,MATCH(MAX(C16:C41),C16:C41,0))</f>
        <v>Mile 25</v>
      </c>
    </row>
    <row r="59" spans="1:3" x14ac:dyDescent="0.3">
      <c r="A59" s="9" t="s">
        <v>797</v>
      </c>
      <c r="B59" s="9" t="str">
        <f>CONCATENATE(ROUNDDOWN(MIN(B16:B41)/60,0),":",IF(ROUNDDOWN(MIN(B16:B41)-ROUNDDOWN(MIN(B16:B41)/60,0)*60,0)&gt;=10,ROUNDDOWN(MIN(B16:B41)-ROUNDDOWN(MIN(B16:B41)/60,0)*60,0),CONCATENATE("0",ROUNDDOWN(MIN(B16:B41)-ROUNDDOWN(MIN(B16:B41)/60,0)*60,0))))</f>
        <v>7:48</v>
      </c>
      <c r="C59" s="9" t="str">
        <f>CONCATENATE(ROUNDDOWN(MIN(C16:C41)/60,0),":",IF(ROUNDDOWN(MIN(C16:C41)-ROUNDDOWN(MIN(C16:C41)/60,0)*60,0)&gt;=10,ROUNDDOWN(MIN(C16:C41)-ROUNDDOWN(MIN(C16:C41)/60,0)*60,0),CONCATENATE("0",ROUNDDOWN(MIN(C16:C41)-ROUNDDOWN(MIN(C16:C41)/60,0)*60,0))))</f>
        <v>7:35</v>
      </c>
    </row>
    <row r="60" spans="1:3" x14ac:dyDescent="0.3">
      <c r="A60" s="9" t="s">
        <v>798</v>
      </c>
      <c r="B60" s="9" t="str">
        <f>INDEX(A16:A41,MATCH(MIN(B16:B41),B16:B41,0))</f>
        <v>Mile 1</v>
      </c>
      <c r="C60" s="9" t="str">
        <f>INDEX(A16:A41,MATCH(MIN(C16:C41),C16:C41,0))</f>
        <v>Mile 1</v>
      </c>
    </row>
    <row r="61" spans="1:3" x14ac:dyDescent="0.3">
      <c r="A61" t="s">
        <v>789</v>
      </c>
    </row>
    <row r="62" spans="1:3" x14ac:dyDescent="0.3">
      <c r="A62" s="9" t="s">
        <v>794</v>
      </c>
      <c r="B62">
        <f>SUM(B16:B33)/60</f>
        <v>148.68333333333334</v>
      </c>
      <c r="C62">
        <f>SUM(C16:C33)/60</f>
        <v>151.5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E962-B835-48A2-BF86-2239DDFA1299}">
  <dimension ref="A1:O63"/>
  <sheetViews>
    <sheetView topLeftCell="A31" workbookViewId="0">
      <selection activeCell="A52" sqref="A52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12.109375" bestFit="1" customWidth="1"/>
    <col min="4" max="4" width="14.33203125" bestFit="1" customWidth="1"/>
    <col min="5" max="5" width="17.21875" bestFit="1" customWidth="1"/>
    <col min="6" max="6" width="18.21875" bestFit="1" customWidth="1"/>
    <col min="7" max="9" width="12.88671875" bestFit="1" customWidth="1"/>
    <col min="10" max="10" width="19" bestFit="1" customWidth="1"/>
    <col min="11" max="11" width="26.77734375" bestFit="1" customWidth="1"/>
    <col min="12" max="12" width="42.33203125" bestFit="1" customWidth="1"/>
    <col min="13" max="13" width="10.5546875" bestFit="1" customWidth="1"/>
    <col min="14" max="14" width="40.109375" bestFit="1" customWidth="1"/>
    <col min="15" max="15" width="24.6640625" bestFit="1" customWidth="1"/>
    <col min="16" max="16" width="18.44140625" bestFit="1" customWidth="1"/>
  </cols>
  <sheetData>
    <row r="1" spans="1:15" x14ac:dyDescent="0.3">
      <c r="A1" t="s">
        <v>122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19</v>
      </c>
      <c r="K1" t="s">
        <v>3</v>
      </c>
      <c r="L1" t="s">
        <v>7</v>
      </c>
      <c r="M1" t="s">
        <v>14</v>
      </c>
      <c r="N1" t="s">
        <v>13</v>
      </c>
      <c r="O1" t="s">
        <v>779</v>
      </c>
    </row>
    <row r="2" spans="1:15" x14ac:dyDescent="0.3">
      <c r="A2" s="6">
        <f t="shared" ref="A2:A33" si="0">ROW(A2)-1</f>
        <v>1</v>
      </c>
      <c r="B2" s="5">
        <v>44046</v>
      </c>
      <c r="C2" s="6" t="s">
        <v>20</v>
      </c>
      <c r="D2">
        <v>5.0199999999999996</v>
      </c>
      <c r="E2">
        <v>2227</v>
      </c>
      <c r="F2">
        <v>444</v>
      </c>
      <c r="G2">
        <v>426</v>
      </c>
      <c r="H2">
        <v>410</v>
      </c>
      <c r="I2">
        <v>449</v>
      </c>
      <c r="J2">
        <v>95</v>
      </c>
      <c r="K2" s="6" t="s">
        <v>21</v>
      </c>
      <c r="L2" s="6" t="s">
        <v>28</v>
      </c>
      <c r="M2">
        <v>3</v>
      </c>
      <c r="N2" s="6" t="s">
        <v>32</v>
      </c>
      <c r="O2" s="6">
        <v>18.924302788844624</v>
      </c>
    </row>
    <row r="3" spans="1:15" x14ac:dyDescent="0.3">
      <c r="A3" s="6">
        <f t="shared" si="0"/>
        <v>2</v>
      </c>
      <c r="B3" s="5">
        <v>44053</v>
      </c>
      <c r="C3" s="6" t="s">
        <v>20</v>
      </c>
      <c r="D3">
        <v>5.04</v>
      </c>
      <c r="E3">
        <v>2425</v>
      </c>
      <c r="F3">
        <v>480</v>
      </c>
      <c r="G3">
        <v>455</v>
      </c>
      <c r="H3">
        <v>456</v>
      </c>
      <c r="I3">
        <v>490</v>
      </c>
      <c r="J3">
        <v>95</v>
      </c>
      <c r="K3" s="6" t="s">
        <v>21</v>
      </c>
      <c r="L3" s="6" t="s">
        <v>46</v>
      </c>
      <c r="M3">
        <v>10</v>
      </c>
      <c r="N3" s="6"/>
      <c r="O3" s="6">
        <v>18.849206349206348</v>
      </c>
    </row>
    <row r="4" spans="1:15" x14ac:dyDescent="0.3">
      <c r="A4" s="6">
        <f t="shared" si="0"/>
        <v>3</v>
      </c>
      <c r="B4" s="5">
        <v>44060</v>
      </c>
      <c r="C4" s="6" t="s">
        <v>20</v>
      </c>
      <c r="D4">
        <v>5.01</v>
      </c>
      <c r="E4">
        <v>2328</v>
      </c>
      <c r="F4">
        <v>464</v>
      </c>
      <c r="G4">
        <v>445</v>
      </c>
      <c r="H4">
        <v>436</v>
      </c>
      <c r="I4">
        <v>494</v>
      </c>
      <c r="J4">
        <v>95</v>
      </c>
      <c r="K4" s="6" t="s">
        <v>21</v>
      </c>
      <c r="L4" s="6" t="s">
        <v>58</v>
      </c>
      <c r="M4">
        <v>17</v>
      </c>
      <c r="N4" s="6"/>
      <c r="O4" s="6">
        <v>18.962075848303392</v>
      </c>
    </row>
    <row r="5" spans="1:15" x14ac:dyDescent="0.3">
      <c r="A5" s="6">
        <f t="shared" si="0"/>
        <v>4</v>
      </c>
      <c r="B5" s="5">
        <v>44074</v>
      </c>
      <c r="C5" s="6" t="s">
        <v>20</v>
      </c>
      <c r="D5">
        <v>5.0999999999999996</v>
      </c>
      <c r="E5">
        <v>2255</v>
      </c>
      <c r="F5">
        <v>441</v>
      </c>
      <c r="G5">
        <v>430</v>
      </c>
      <c r="H5">
        <v>428</v>
      </c>
      <c r="I5">
        <v>435</v>
      </c>
      <c r="J5">
        <v>94</v>
      </c>
      <c r="K5" s="6" t="s">
        <v>21</v>
      </c>
      <c r="L5" s="6" t="s">
        <v>79</v>
      </c>
      <c r="M5">
        <v>31</v>
      </c>
      <c r="N5" s="6"/>
      <c r="O5" s="6">
        <v>18.43137254901961</v>
      </c>
    </row>
    <row r="6" spans="1:15" x14ac:dyDescent="0.3">
      <c r="A6" s="6">
        <f t="shared" si="0"/>
        <v>5</v>
      </c>
      <c r="B6" s="5">
        <v>44081</v>
      </c>
      <c r="C6" s="6" t="s">
        <v>20</v>
      </c>
      <c r="D6">
        <v>5.01</v>
      </c>
      <c r="E6">
        <v>2440</v>
      </c>
      <c r="F6">
        <v>487</v>
      </c>
      <c r="G6">
        <v>506</v>
      </c>
      <c r="H6">
        <v>488</v>
      </c>
      <c r="I6">
        <v>512</v>
      </c>
      <c r="J6">
        <v>95</v>
      </c>
      <c r="K6" s="6" t="s">
        <v>21</v>
      </c>
      <c r="L6" s="6" t="s">
        <v>87</v>
      </c>
      <c r="M6">
        <v>38</v>
      </c>
      <c r="N6" s="6"/>
      <c r="O6" s="6">
        <v>18.962075848303392</v>
      </c>
    </row>
    <row r="7" spans="1:15" x14ac:dyDescent="0.3">
      <c r="A7" s="6">
        <f t="shared" si="0"/>
        <v>6</v>
      </c>
      <c r="B7" s="5">
        <v>44088</v>
      </c>
      <c r="C7" s="6" t="s">
        <v>20</v>
      </c>
      <c r="D7">
        <v>14.18</v>
      </c>
      <c r="E7">
        <v>6973</v>
      </c>
      <c r="F7">
        <v>492</v>
      </c>
      <c r="G7">
        <v>496</v>
      </c>
      <c r="H7">
        <v>466</v>
      </c>
      <c r="I7">
        <v>504</v>
      </c>
      <c r="J7">
        <v>252</v>
      </c>
      <c r="K7" s="6" t="s">
        <v>21</v>
      </c>
      <c r="L7" s="6" t="s">
        <v>98</v>
      </c>
      <c r="M7">
        <v>45</v>
      </c>
      <c r="N7" s="6"/>
      <c r="O7" s="6">
        <v>17.77150916784203</v>
      </c>
    </row>
    <row r="8" spans="1:15" x14ac:dyDescent="0.3">
      <c r="A8" s="6">
        <f t="shared" si="0"/>
        <v>7</v>
      </c>
      <c r="B8" s="5">
        <v>44095</v>
      </c>
      <c r="C8" s="6" t="s">
        <v>20</v>
      </c>
      <c r="D8">
        <v>5.01</v>
      </c>
      <c r="E8">
        <v>2368</v>
      </c>
      <c r="F8">
        <v>472</v>
      </c>
      <c r="G8">
        <v>470</v>
      </c>
      <c r="H8">
        <v>464</v>
      </c>
      <c r="I8">
        <v>490</v>
      </c>
      <c r="J8">
        <v>95</v>
      </c>
      <c r="K8" s="6" t="s">
        <v>21</v>
      </c>
      <c r="L8" s="6" t="s">
        <v>108</v>
      </c>
      <c r="M8">
        <v>52</v>
      </c>
      <c r="N8" s="6"/>
      <c r="O8" s="6">
        <v>18.962075848303392</v>
      </c>
    </row>
    <row r="9" spans="1:15" x14ac:dyDescent="0.3">
      <c r="A9" s="6">
        <f t="shared" si="0"/>
        <v>8</v>
      </c>
      <c r="B9" s="5">
        <v>44102</v>
      </c>
      <c r="C9" s="6" t="s">
        <v>20</v>
      </c>
      <c r="D9">
        <v>5.01</v>
      </c>
      <c r="E9">
        <v>2295</v>
      </c>
      <c r="F9">
        <v>457</v>
      </c>
      <c r="G9">
        <v>441</v>
      </c>
      <c r="H9">
        <v>455</v>
      </c>
      <c r="I9">
        <v>471</v>
      </c>
      <c r="J9">
        <v>95</v>
      </c>
      <c r="K9" s="6" t="s">
        <v>21</v>
      </c>
      <c r="L9" s="6" t="s">
        <v>119</v>
      </c>
      <c r="M9">
        <v>59</v>
      </c>
      <c r="N9" s="6"/>
      <c r="O9" s="6">
        <v>18.962075848303392</v>
      </c>
    </row>
    <row r="10" spans="1:15" x14ac:dyDescent="0.3">
      <c r="A10" s="6">
        <f t="shared" si="0"/>
        <v>9</v>
      </c>
      <c r="B10" s="5">
        <v>44123</v>
      </c>
      <c r="C10" s="6" t="s">
        <v>20</v>
      </c>
      <c r="D10">
        <v>6.05</v>
      </c>
      <c r="E10">
        <v>2867</v>
      </c>
      <c r="F10">
        <v>473</v>
      </c>
      <c r="G10">
        <v>495</v>
      </c>
      <c r="H10">
        <v>477</v>
      </c>
      <c r="I10">
        <v>495</v>
      </c>
      <c r="J10">
        <v>131</v>
      </c>
      <c r="K10" s="6" t="s">
        <v>68</v>
      </c>
      <c r="L10" s="6" t="s">
        <v>182</v>
      </c>
      <c r="M10">
        <v>80</v>
      </c>
      <c r="N10" s="6"/>
      <c r="O10" s="6">
        <v>21.652892561983471</v>
      </c>
    </row>
    <row r="11" spans="1:15" x14ac:dyDescent="0.3">
      <c r="A11" s="6">
        <f t="shared" si="0"/>
        <v>10</v>
      </c>
      <c r="B11" s="5">
        <v>44130</v>
      </c>
      <c r="C11" s="6" t="s">
        <v>20</v>
      </c>
      <c r="D11">
        <v>6.01</v>
      </c>
      <c r="E11">
        <v>2745</v>
      </c>
      <c r="F11">
        <v>456</v>
      </c>
      <c r="G11">
        <v>462</v>
      </c>
      <c r="H11">
        <v>441</v>
      </c>
      <c r="I11">
        <v>450</v>
      </c>
      <c r="J11">
        <v>127</v>
      </c>
      <c r="K11" s="6" t="s">
        <v>68</v>
      </c>
      <c r="L11" s="6" t="s">
        <v>190</v>
      </c>
      <c r="M11">
        <v>87</v>
      </c>
      <c r="N11" s="6"/>
      <c r="O11" s="6">
        <v>21.131447587354408</v>
      </c>
    </row>
    <row r="12" spans="1:15" x14ac:dyDescent="0.3">
      <c r="A12" s="6">
        <f t="shared" si="0"/>
        <v>11</v>
      </c>
      <c r="B12" s="5">
        <v>44137</v>
      </c>
      <c r="C12" s="6" t="s">
        <v>20</v>
      </c>
      <c r="D12">
        <v>8.01</v>
      </c>
      <c r="E12">
        <v>4083</v>
      </c>
      <c r="F12">
        <v>509</v>
      </c>
      <c r="G12">
        <v>522</v>
      </c>
      <c r="H12">
        <v>487</v>
      </c>
      <c r="I12">
        <v>498</v>
      </c>
      <c r="J12">
        <v>163</v>
      </c>
      <c r="K12" s="6" t="s">
        <v>68</v>
      </c>
      <c r="L12" s="6" t="s">
        <v>198</v>
      </c>
      <c r="M12">
        <v>94</v>
      </c>
      <c r="N12" s="6"/>
      <c r="O12" s="6">
        <v>20.349563046192259</v>
      </c>
    </row>
    <row r="13" spans="1:15" x14ac:dyDescent="0.3">
      <c r="A13" s="6">
        <f t="shared" si="0"/>
        <v>12</v>
      </c>
      <c r="B13" s="5">
        <v>44144</v>
      </c>
      <c r="C13" s="6" t="s">
        <v>20</v>
      </c>
      <c r="D13">
        <v>7.09</v>
      </c>
      <c r="E13">
        <v>3693</v>
      </c>
      <c r="F13">
        <v>521</v>
      </c>
      <c r="G13">
        <v>548</v>
      </c>
      <c r="H13">
        <v>511</v>
      </c>
      <c r="I13">
        <v>529</v>
      </c>
      <c r="J13">
        <v>142</v>
      </c>
      <c r="K13" s="6" t="s">
        <v>68</v>
      </c>
      <c r="L13" s="6" t="s">
        <v>208</v>
      </c>
      <c r="M13">
        <v>101</v>
      </c>
      <c r="N13" s="6"/>
      <c r="O13" s="6">
        <v>20.028208744710859</v>
      </c>
    </row>
    <row r="14" spans="1:15" x14ac:dyDescent="0.3">
      <c r="A14" s="6">
        <f t="shared" si="0"/>
        <v>13</v>
      </c>
      <c r="B14" s="5">
        <v>44151</v>
      </c>
      <c r="C14" s="6" t="s">
        <v>20</v>
      </c>
      <c r="D14">
        <v>7.02</v>
      </c>
      <c r="E14">
        <v>3447</v>
      </c>
      <c r="F14">
        <v>491</v>
      </c>
      <c r="G14">
        <v>495</v>
      </c>
      <c r="H14">
        <v>470</v>
      </c>
      <c r="I14">
        <v>486</v>
      </c>
      <c r="J14">
        <v>161</v>
      </c>
      <c r="K14" s="6" t="s">
        <v>68</v>
      </c>
      <c r="L14" s="6" t="s">
        <v>217</v>
      </c>
      <c r="M14">
        <v>108</v>
      </c>
      <c r="N14" s="6"/>
      <c r="O14" s="6">
        <v>22.934472934472936</v>
      </c>
    </row>
    <row r="15" spans="1:15" x14ac:dyDescent="0.3">
      <c r="A15" s="6">
        <f t="shared" si="0"/>
        <v>14</v>
      </c>
      <c r="B15" s="5">
        <v>44158</v>
      </c>
      <c r="C15" s="6" t="s">
        <v>20</v>
      </c>
      <c r="D15">
        <v>7.06</v>
      </c>
      <c r="E15">
        <v>3473</v>
      </c>
      <c r="F15">
        <v>492</v>
      </c>
      <c r="G15">
        <v>487</v>
      </c>
      <c r="H15">
        <v>479</v>
      </c>
      <c r="I15">
        <v>495</v>
      </c>
      <c r="J15">
        <v>141</v>
      </c>
      <c r="K15" s="6" t="s">
        <v>68</v>
      </c>
      <c r="L15" s="6" t="s">
        <v>227</v>
      </c>
      <c r="M15">
        <v>115</v>
      </c>
      <c r="N15" s="6"/>
      <c r="O15" s="6">
        <v>19.971671388101985</v>
      </c>
    </row>
    <row r="16" spans="1:15" x14ac:dyDescent="0.3">
      <c r="A16" s="6">
        <f t="shared" si="0"/>
        <v>15</v>
      </c>
      <c r="B16" s="5">
        <v>44165</v>
      </c>
      <c r="C16" s="6" t="s">
        <v>20</v>
      </c>
      <c r="D16">
        <v>7.01</v>
      </c>
      <c r="E16">
        <v>3292</v>
      </c>
      <c r="F16">
        <v>469</v>
      </c>
      <c r="G16">
        <v>469</v>
      </c>
      <c r="H16">
        <v>443</v>
      </c>
      <c r="I16">
        <v>474</v>
      </c>
      <c r="J16">
        <v>123</v>
      </c>
      <c r="K16" s="6" t="s">
        <v>236</v>
      </c>
      <c r="L16" s="6" t="s">
        <v>237</v>
      </c>
      <c r="M16">
        <v>122</v>
      </c>
      <c r="N16" s="6"/>
      <c r="O16" s="6">
        <v>17.546362339514978</v>
      </c>
    </row>
    <row r="17" spans="1:15" x14ac:dyDescent="0.3">
      <c r="A17" s="6">
        <f t="shared" si="0"/>
        <v>16</v>
      </c>
      <c r="B17" s="5">
        <v>44172</v>
      </c>
      <c r="C17" s="6" t="s">
        <v>20</v>
      </c>
      <c r="D17">
        <v>9</v>
      </c>
      <c r="E17">
        <v>5873</v>
      </c>
      <c r="F17">
        <v>652</v>
      </c>
      <c r="G17">
        <v>552</v>
      </c>
      <c r="H17">
        <v>560</v>
      </c>
      <c r="I17">
        <v>747</v>
      </c>
      <c r="J17">
        <v>161</v>
      </c>
      <c r="K17" s="6" t="s">
        <v>236</v>
      </c>
      <c r="L17" s="6" t="s">
        <v>248</v>
      </c>
      <c r="M17">
        <v>129</v>
      </c>
      <c r="N17" s="6"/>
      <c r="O17" s="6">
        <v>17.888888888888889</v>
      </c>
    </row>
    <row r="18" spans="1:15" x14ac:dyDescent="0.3">
      <c r="A18" s="6">
        <f t="shared" si="0"/>
        <v>17</v>
      </c>
      <c r="B18" s="5">
        <v>44179</v>
      </c>
      <c r="C18" s="6" t="s">
        <v>20</v>
      </c>
      <c r="D18">
        <v>7.04</v>
      </c>
      <c r="E18">
        <v>3580</v>
      </c>
      <c r="F18">
        <v>508</v>
      </c>
      <c r="G18">
        <v>523</v>
      </c>
      <c r="H18">
        <v>471</v>
      </c>
      <c r="I18">
        <v>511</v>
      </c>
      <c r="J18">
        <v>142</v>
      </c>
      <c r="K18" s="6" t="s">
        <v>68</v>
      </c>
      <c r="L18" s="6" t="s">
        <v>250</v>
      </c>
      <c r="M18">
        <v>136</v>
      </c>
      <c r="N18" s="6"/>
      <c r="O18" s="6">
        <v>20.170454545454547</v>
      </c>
    </row>
    <row r="19" spans="1:15" x14ac:dyDescent="0.3">
      <c r="A19" s="6">
        <f t="shared" si="0"/>
        <v>18</v>
      </c>
      <c r="B19" s="5">
        <v>44186</v>
      </c>
      <c r="C19" s="6" t="s">
        <v>20</v>
      </c>
      <c r="D19">
        <v>7.04</v>
      </c>
      <c r="E19">
        <v>3405</v>
      </c>
      <c r="F19">
        <v>483</v>
      </c>
      <c r="G19">
        <v>507</v>
      </c>
      <c r="H19">
        <v>470</v>
      </c>
      <c r="I19">
        <v>486</v>
      </c>
      <c r="J19">
        <v>143</v>
      </c>
      <c r="K19" s="6" t="s">
        <v>68</v>
      </c>
      <c r="L19" s="6" t="s">
        <v>265</v>
      </c>
      <c r="M19">
        <v>143</v>
      </c>
      <c r="N19" s="6"/>
      <c r="O19" s="6">
        <v>20.3125</v>
      </c>
    </row>
    <row r="20" spans="1:15" x14ac:dyDescent="0.3">
      <c r="A20" s="6">
        <f t="shared" si="0"/>
        <v>19</v>
      </c>
      <c r="B20" s="5">
        <v>44200</v>
      </c>
      <c r="C20" s="6" t="s">
        <v>20</v>
      </c>
      <c r="D20">
        <v>5.13</v>
      </c>
      <c r="E20">
        <v>2496</v>
      </c>
      <c r="F20">
        <v>486</v>
      </c>
      <c r="G20">
        <v>516</v>
      </c>
      <c r="H20">
        <v>480</v>
      </c>
      <c r="I20">
        <v>491</v>
      </c>
      <c r="J20">
        <v>92</v>
      </c>
      <c r="K20" s="6" t="s">
        <v>21</v>
      </c>
      <c r="L20" s="6" t="s">
        <v>311</v>
      </c>
      <c r="M20">
        <v>157</v>
      </c>
      <c r="N20" s="6"/>
      <c r="O20" s="6">
        <v>17.933723196881093</v>
      </c>
    </row>
    <row r="21" spans="1:15" x14ac:dyDescent="0.3">
      <c r="A21" s="6">
        <f t="shared" si="0"/>
        <v>20</v>
      </c>
      <c r="B21" s="5">
        <v>44207</v>
      </c>
      <c r="C21" s="6" t="s">
        <v>20</v>
      </c>
      <c r="D21">
        <v>5.0599999999999996</v>
      </c>
      <c r="E21">
        <v>2452</v>
      </c>
      <c r="F21">
        <v>484</v>
      </c>
      <c r="G21">
        <v>509</v>
      </c>
      <c r="H21">
        <v>435</v>
      </c>
      <c r="I21">
        <v>499</v>
      </c>
      <c r="J21">
        <v>118</v>
      </c>
      <c r="K21" s="6" t="s">
        <v>21</v>
      </c>
      <c r="L21" s="6" t="s">
        <v>318</v>
      </c>
      <c r="M21">
        <v>164</v>
      </c>
      <c r="N21" s="6"/>
      <c r="O21" s="6">
        <v>23.320158102766801</v>
      </c>
    </row>
    <row r="22" spans="1:15" x14ac:dyDescent="0.3">
      <c r="A22" s="6">
        <f t="shared" si="0"/>
        <v>21</v>
      </c>
      <c r="B22" s="5">
        <v>44214</v>
      </c>
      <c r="C22" s="6" t="s">
        <v>20</v>
      </c>
      <c r="D22">
        <v>9.75</v>
      </c>
      <c r="E22">
        <v>5119</v>
      </c>
      <c r="F22">
        <v>525</v>
      </c>
      <c r="G22">
        <v>532</v>
      </c>
      <c r="H22">
        <v>484</v>
      </c>
      <c r="I22">
        <v>517</v>
      </c>
      <c r="J22">
        <v>164</v>
      </c>
      <c r="K22" s="6" t="s">
        <v>21</v>
      </c>
      <c r="L22" s="6" t="s">
        <v>327</v>
      </c>
      <c r="M22">
        <v>171</v>
      </c>
      <c r="N22" s="6"/>
      <c r="O22" s="6">
        <v>16.820512820512821</v>
      </c>
    </row>
    <row r="23" spans="1:15" x14ac:dyDescent="0.3">
      <c r="A23" s="6">
        <f t="shared" si="0"/>
        <v>22</v>
      </c>
      <c r="B23" s="5">
        <v>44221</v>
      </c>
      <c r="C23" s="6" t="s">
        <v>20</v>
      </c>
      <c r="D23">
        <v>4.1100000000000003</v>
      </c>
      <c r="E23">
        <v>1965</v>
      </c>
      <c r="F23">
        <v>477</v>
      </c>
      <c r="G23">
        <v>516</v>
      </c>
      <c r="H23">
        <v>476</v>
      </c>
      <c r="I23">
        <v>467</v>
      </c>
      <c r="J23">
        <v>63</v>
      </c>
      <c r="K23" s="6" t="s">
        <v>236</v>
      </c>
      <c r="L23" s="6" t="s">
        <v>334</v>
      </c>
      <c r="M23">
        <v>178</v>
      </c>
      <c r="N23" s="6"/>
      <c r="O23" s="6">
        <v>15.32846715328467</v>
      </c>
    </row>
    <row r="24" spans="1:15" x14ac:dyDescent="0.3">
      <c r="A24" s="6">
        <f t="shared" si="0"/>
        <v>23</v>
      </c>
      <c r="B24" s="5">
        <v>44235</v>
      </c>
      <c r="C24" s="6" t="s">
        <v>20</v>
      </c>
      <c r="D24">
        <v>9.01</v>
      </c>
      <c r="E24">
        <v>4617</v>
      </c>
      <c r="F24">
        <v>512</v>
      </c>
      <c r="G24">
        <v>484</v>
      </c>
      <c r="H24">
        <v>490</v>
      </c>
      <c r="I24">
        <v>514</v>
      </c>
      <c r="J24">
        <v>194</v>
      </c>
      <c r="K24" s="6" t="s">
        <v>236</v>
      </c>
      <c r="L24" s="6" t="s">
        <v>348</v>
      </c>
      <c r="M24">
        <v>192</v>
      </c>
      <c r="N24" s="6"/>
      <c r="O24" s="6">
        <v>21.531631520532741</v>
      </c>
    </row>
    <row r="25" spans="1:15" x14ac:dyDescent="0.3">
      <c r="A25" s="6">
        <f t="shared" si="0"/>
        <v>24</v>
      </c>
      <c r="B25" s="5">
        <v>44242</v>
      </c>
      <c r="C25" s="6" t="s">
        <v>20</v>
      </c>
      <c r="D25">
        <v>4.03</v>
      </c>
      <c r="E25">
        <v>1973</v>
      </c>
      <c r="F25">
        <v>489</v>
      </c>
      <c r="G25">
        <v>517</v>
      </c>
      <c r="H25">
        <v>485</v>
      </c>
      <c r="I25">
        <v>480</v>
      </c>
      <c r="J25">
        <v>85</v>
      </c>
      <c r="K25" s="6" t="s">
        <v>236</v>
      </c>
      <c r="L25" s="6" t="s">
        <v>356</v>
      </c>
      <c r="M25">
        <v>199</v>
      </c>
      <c r="N25" s="6"/>
      <c r="O25" s="6">
        <v>21.091811414392055</v>
      </c>
    </row>
    <row r="26" spans="1:15" x14ac:dyDescent="0.3">
      <c r="A26" s="6">
        <f t="shared" si="0"/>
        <v>25</v>
      </c>
      <c r="B26" s="5">
        <v>44249</v>
      </c>
      <c r="C26" s="6" t="s">
        <v>20</v>
      </c>
      <c r="D26">
        <v>5.1100000000000003</v>
      </c>
      <c r="E26">
        <v>2348</v>
      </c>
      <c r="F26">
        <v>459</v>
      </c>
      <c r="G26">
        <v>494</v>
      </c>
      <c r="H26">
        <v>447</v>
      </c>
      <c r="I26">
        <v>462</v>
      </c>
      <c r="J26">
        <v>93</v>
      </c>
      <c r="K26" s="6" t="s">
        <v>21</v>
      </c>
      <c r="L26" s="6" t="s">
        <v>364</v>
      </c>
      <c r="M26">
        <v>206</v>
      </c>
      <c r="N26" s="6"/>
      <c r="O26" s="6">
        <v>18.199608610567513</v>
      </c>
    </row>
    <row r="27" spans="1:15" x14ac:dyDescent="0.3">
      <c r="A27" s="6">
        <f t="shared" si="0"/>
        <v>26</v>
      </c>
      <c r="B27" s="5">
        <v>44256</v>
      </c>
      <c r="C27" s="6" t="s">
        <v>20</v>
      </c>
      <c r="D27">
        <v>10.18</v>
      </c>
      <c r="E27">
        <v>5024</v>
      </c>
      <c r="F27">
        <v>493</v>
      </c>
      <c r="G27">
        <v>501</v>
      </c>
      <c r="H27">
        <v>478</v>
      </c>
      <c r="I27">
        <v>499</v>
      </c>
      <c r="J27">
        <v>183</v>
      </c>
      <c r="K27" s="6" t="s">
        <v>21</v>
      </c>
      <c r="L27" s="6" t="s">
        <v>371</v>
      </c>
      <c r="M27">
        <v>213</v>
      </c>
      <c r="N27" s="6"/>
      <c r="O27" s="6">
        <v>17.976424361493123</v>
      </c>
    </row>
    <row r="28" spans="1:15" x14ac:dyDescent="0.3">
      <c r="A28" s="6">
        <f t="shared" si="0"/>
        <v>27</v>
      </c>
      <c r="B28" s="5">
        <v>44263</v>
      </c>
      <c r="C28" s="6" t="s">
        <v>20</v>
      </c>
      <c r="D28">
        <v>5.0199999999999996</v>
      </c>
      <c r="E28">
        <v>2637</v>
      </c>
      <c r="F28">
        <v>525</v>
      </c>
      <c r="G28">
        <v>565</v>
      </c>
      <c r="H28">
        <v>526</v>
      </c>
      <c r="I28">
        <v>513</v>
      </c>
      <c r="J28">
        <v>108</v>
      </c>
      <c r="K28" s="6" t="s">
        <v>21</v>
      </c>
      <c r="L28" s="6" t="s">
        <v>381</v>
      </c>
      <c r="M28">
        <v>220</v>
      </c>
      <c r="N28" s="6"/>
      <c r="O28" s="6">
        <v>21.513944223107572</v>
      </c>
    </row>
    <row r="29" spans="1:15" x14ac:dyDescent="0.3">
      <c r="A29" s="6">
        <f t="shared" si="0"/>
        <v>28</v>
      </c>
      <c r="B29" s="5">
        <v>44270</v>
      </c>
      <c r="C29" s="6" t="s">
        <v>20</v>
      </c>
      <c r="D29">
        <v>3.14</v>
      </c>
      <c r="E29">
        <v>1760</v>
      </c>
      <c r="F29">
        <v>560</v>
      </c>
      <c r="G29">
        <v>563</v>
      </c>
      <c r="H29">
        <v>554</v>
      </c>
      <c r="I29">
        <v>564</v>
      </c>
      <c r="J29">
        <v>95</v>
      </c>
      <c r="K29" s="6" t="s">
        <v>389</v>
      </c>
      <c r="L29" s="6" t="s">
        <v>388</v>
      </c>
      <c r="M29">
        <v>227</v>
      </c>
      <c r="N29" s="6"/>
      <c r="O29" s="6">
        <v>30.254777070063692</v>
      </c>
    </row>
    <row r="30" spans="1:15" x14ac:dyDescent="0.3">
      <c r="A30" s="6">
        <f t="shared" si="0"/>
        <v>29</v>
      </c>
      <c r="B30" s="5">
        <v>44277</v>
      </c>
      <c r="C30" s="6" t="s">
        <v>20</v>
      </c>
      <c r="D30">
        <v>3.11</v>
      </c>
      <c r="E30">
        <v>1551</v>
      </c>
      <c r="F30">
        <v>497</v>
      </c>
      <c r="G30">
        <v>489</v>
      </c>
      <c r="H30">
        <v>495</v>
      </c>
      <c r="I30">
        <v>513</v>
      </c>
      <c r="J30">
        <v>95</v>
      </c>
      <c r="K30" s="6" t="s">
        <v>389</v>
      </c>
      <c r="L30" s="6" t="s">
        <v>401</v>
      </c>
      <c r="M30">
        <v>234</v>
      </c>
      <c r="N30" s="6"/>
      <c r="O30" s="6">
        <v>30.54662379421222</v>
      </c>
    </row>
    <row r="31" spans="1:15" x14ac:dyDescent="0.3">
      <c r="A31" s="6">
        <f t="shared" si="0"/>
        <v>30</v>
      </c>
      <c r="B31" s="5">
        <v>44284</v>
      </c>
      <c r="C31" s="6" t="s">
        <v>20</v>
      </c>
      <c r="D31">
        <v>3.14</v>
      </c>
      <c r="E31">
        <v>1935</v>
      </c>
      <c r="F31">
        <v>616</v>
      </c>
      <c r="G31">
        <v>603</v>
      </c>
      <c r="H31">
        <v>602</v>
      </c>
      <c r="I31">
        <v>641</v>
      </c>
      <c r="J31">
        <v>72</v>
      </c>
      <c r="K31" s="6" t="s">
        <v>389</v>
      </c>
      <c r="L31" s="6" t="s">
        <v>413</v>
      </c>
      <c r="M31">
        <v>241</v>
      </c>
      <c r="N31" s="6"/>
      <c r="O31" s="6">
        <v>22.929936305732483</v>
      </c>
    </row>
    <row r="32" spans="1:15" x14ac:dyDescent="0.3">
      <c r="A32" s="6">
        <f t="shared" si="0"/>
        <v>31</v>
      </c>
      <c r="B32" s="5">
        <v>44291</v>
      </c>
      <c r="C32" s="6" t="s">
        <v>20</v>
      </c>
      <c r="D32">
        <v>3.13</v>
      </c>
      <c r="E32">
        <v>1853</v>
      </c>
      <c r="F32">
        <v>592</v>
      </c>
      <c r="G32">
        <v>586</v>
      </c>
      <c r="H32">
        <v>589</v>
      </c>
      <c r="I32">
        <v>599</v>
      </c>
      <c r="J32">
        <v>64</v>
      </c>
      <c r="K32" s="6" t="s">
        <v>389</v>
      </c>
      <c r="L32" s="6" t="s">
        <v>423</v>
      </c>
      <c r="M32">
        <v>248</v>
      </c>
      <c r="N32" s="6"/>
      <c r="O32" s="6">
        <v>20.447284345047919</v>
      </c>
    </row>
    <row r="33" spans="1:15" x14ac:dyDescent="0.3">
      <c r="A33" s="6">
        <f t="shared" si="0"/>
        <v>32</v>
      </c>
      <c r="B33" s="5">
        <v>44298</v>
      </c>
      <c r="C33" s="6" t="s">
        <v>20</v>
      </c>
      <c r="D33">
        <v>3.13</v>
      </c>
      <c r="E33">
        <v>1835</v>
      </c>
      <c r="F33">
        <v>586</v>
      </c>
      <c r="G33">
        <v>598</v>
      </c>
      <c r="H33">
        <v>580</v>
      </c>
      <c r="I33">
        <v>592</v>
      </c>
      <c r="J33">
        <v>55</v>
      </c>
      <c r="K33" s="6" t="s">
        <v>389</v>
      </c>
      <c r="L33" s="6" t="s">
        <v>432</v>
      </c>
      <c r="M33">
        <v>255</v>
      </c>
      <c r="N33" s="6"/>
      <c r="O33" s="6">
        <v>17.571884984025559</v>
      </c>
    </row>
    <row r="34" spans="1:15" x14ac:dyDescent="0.3">
      <c r="A34" s="6">
        <f t="shared" ref="A34:A63" si="1">ROW(A34)-1</f>
        <v>33</v>
      </c>
      <c r="B34" s="5">
        <v>44305</v>
      </c>
      <c r="C34" s="6" t="s">
        <v>20</v>
      </c>
      <c r="D34">
        <v>4</v>
      </c>
      <c r="E34">
        <v>2239</v>
      </c>
      <c r="F34">
        <v>559</v>
      </c>
      <c r="G34">
        <v>580</v>
      </c>
      <c r="H34">
        <v>533</v>
      </c>
      <c r="I34">
        <v>572</v>
      </c>
      <c r="J34">
        <v>220</v>
      </c>
      <c r="K34" s="6" t="s">
        <v>236</v>
      </c>
      <c r="L34" s="6" t="s">
        <v>441</v>
      </c>
      <c r="M34">
        <v>262</v>
      </c>
      <c r="N34" s="6"/>
      <c r="O34" s="6">
        <v>55</v>
      </c>
    </row>
    <row r="35" spans="1:15" x14ac:dyDescent="0.3">
      <c r="A35" s="6">
        <f t="shared" si="1"/>
        <v>34</v>
      </c>
      <c r="B35" s="5">
        <v>44312</v>
      </c>
      <c r="C35" s="6" t="s">
        <v>20</v>
      </c>
      <c r="D35">
        <v>3.14</v>
      </c>
      <c r="E35">
        <v>1786</v>
      </c>
      <c r="F35">
        <v>568</v>
      </c>
      <c r="G35">
        <v>571</v>
      </c>
      <c r="H35">
        <v>578</v>
      </c>
      <c r="I35">
        <v>566</v>
      </c>
      <c r="J35">
        <v>59</v>
      </c>
      <c r="K35" s="6" t="s">
        <v>389</v>
      </c>
      <c r="L35" s="6" t="s">
        <v>453</v>
      </c>
      <c r="M35">
        <v>269</v>
      </c>
      <c r="N35" s="6"/>
      <c r="O35" s="6">
        <v>18.789808917197451</v>
      </c>
    </row>
    <row r="36" spans="1:15" x14ac:dyDescent="0.3">
      <c r="A36" s="6">
        <f t="shared" si="1"/>
        <v>35</v>
      </c>
      <c r="B36" s="5">
        <v>44319</v>
      </c>
      <c r="C36" s="6" t="s">
        <v>20</v>
      </c>
      <c r="D36">
        <v>3.11</v>
      </c>
      <c r="E36">
        <v>1646</v>
      </c>
      <c r="F36">
        <v>529</v>
      </c>
      <c r="G36">
        <v>575</v>
      </c>
      <c r="H36">
        <v>523</v>
      </c>
      <c r="I36">
        <v>493</v>
      </c>
      <c r="J36">
        <v>111</v>
      </c>
      <c r="K36" s="6" t="s">
        <v>389</v>
      </c>
      <c r="L36" s="6" t="s">
        <v>468</v>
      </c>
      <c r="M36">
        <v>276</v>
      </c>
      <c r="N36" s="6"/>
      <c r="O36" s="6">
        <v>35.69131832797428</v>
      </c>
    </row>
    <row r="37" spans="1:15" x14ac:dyDescent="0.3">
      <c r="A37" s="6">
        <f t="shared" si="1"/>
        <v>36</v>
      </c>
      <c r="B37" s="5">
        <v>44333</v>
      </c>
      <c r="C37" s="6" t="s">
        <v>20</v>
      </c>
      <c r="D37">
        <v>3.15</v>
      </c>
      <c r="E37">
        <v>1644</v>
      </c>
      <c r="F37">
        <v>521</v>
      </c>
      <c r="G37">
        <v>545</v>
      </c>
      <c r="H37">
        <v>548</v>
      </c>
      <c r="I37">
        <v>468</v>
      </c>
      <c r="J37">
        <v>59</v>
      </c>
      <c r="K37" s="6" t="s">
        <v>389</v>
      </c>
      <c r="L37" s="6" t="s">
        <v>487</v>
      </c>
      <c r="M37">
        <v>290</v>
      </c>
      <c r="N37" s="6"/>
      <c r="O37" s="6">
        <v>18.730158730158731</v>
      </c>
    </row>
    <row r="38" spans="1:15" x14ac:dyDescent="0.3">
      <c r="A38" s="6">
        <f t="shared" si="1"/>
        <v>37</v>
      </c>
      <c r="B38" s="5">
        <v>44340</v>
      </c>
      <c r="C38" s="6" t="s">
        <v>20</v>
      </c>
      <c r="D38">
        <v>3.32</v>
      </c>
      <c r="E38">
        <v>1955</v>
      </c>
      <c r="F38">
        <v>587</v>
      </c>
      <c r="G38">
        <v>602</v>
      </c>
      <c r="H38">
        <v>572</v>
      </c>
      <c r="I38">
        <v>625</v>
      </c>
      <c r="J38">
        <v>72</v>
      </c>
      <c r="K38" s="6" t="s">
        <v>389</v>
      </c>
      <c r="L38" s="6" t="s">
        <v>492</v>
      </c>
      <c r="M38">
        <v>297</v>
      </c>
      <c r="N38" s="6"/>
      <c r="O38" s="6">
        <v>21.686746987951807</v>
      </c>
    </row>
    <row r="39" spans="1:15" x14ac:dyDescent="0.3">
      <c r="A39" s="6">
        <f t="shared" si="1"/>
        <v>38</v>
      </c>
      <c r="B39" s="5">
        <v>44347</v>
      </c>
      <c r="C39" s="6" t="s">
        <v>20</v>
      </c>
      <c r="D39">
        <v>3.16</v>
      </c>
      <c r="E39">
        <v>1696</v>
      </c>
      <c r="F39">
        <v>535</v>
      </c>
      <c r="G39">
        <v>561</v>
      </c>
      <c r="H39">
        <v>522</v>
      </c>
      <c r="I39">
        <v>537</v>
      </c>
      <c r="J39">
        <v>69</v>
      </c>
      <c r="K39" s="6" t="s">
        <v>389</v>
      </c>
      <c r="L39" s="6" t="s">
        <v>505</v>
      </c>
      <c r="M39">
        <v>304</v>
      </c>
      <c r="N39" s="6"/>
      <c r="O39" s="6">
        <v>21.835443037974681</v>
      </c>
    </row>
    <row r="40" spans="1:15" x14ac:dyDescent="0.3">
      <c r="A40" s="6">
        <f t="shared" si="1"/>
        <v>39</v>
      </c>
      <c r="B40" s="5">
        <v>44354</v>
      </c>
      <c r="C40" s="6" t="s">
        <v>20</v>
      </c>
      <c r="D40">
        <v>3.11</v>
      </c>
      <c r="E40">
        <v>1686</v>
      </c>
      <c r="F40">
        <v>542</v>
      </c>
      <c r="G40">
        <v>527</v>
      </c>
      <c r="H40">
        <v>582</v>
      </c>
      <c r="I40">
        <v>506</v>
      </c>
      <c r="J40">
        <v>62</v>
      </c>
      <c r="K40" s="6" t="s">
        <v>389</v>
      </c>
      <c r="L40" s="6" t="s">
        <v>518</v>
      </c>
      <c r="M40">
        <v>311</v>
      </c>
      <c r="N40" s="6"/>
      <c r="O40" s="6">
        <v>19.935691318327976</v>
      </c>
    </row>
    <row r="41" spans="1:15" x14ac:dyDescent="0.3">
      <c r="A41" s="6">
        <f t="shared" si="1"/>
        <v>40</v>
      </c>
      <c r="B41" s="5">
        <v>44361</v>
      </c>
      <c r="C41" s="6" t="s">
        <v>20</v>
      </c>
      <c r="D41">
        <v>5.54</v>
      </c>
      <c r="E41">
        <v>3067</v>
      </c>
      <c r="F41">
        <v>553</v>
      </c>
      <c r="G41">
        <v>570</v>
      </c>
      <c r="H41">
        <v>557</v>
      </c>
      <c r="I41">
        <v>568</v>
      </c>
      <c r="J41">
        <v>124</v>
      </c>
      <c r="K41" s="6" t="s">
        <v>21</v>
      </c>
      <c r="L41" s="6" t="s">
        <v>529</v>
      </c>
      <c r="M41">
        <v>318</v>
      </c>
      <c r="N41" s="6"/>
      <c r="O41" s="6">
        <v>22.382671480144403</v>
      </c>
    </row>
    <row r="42" spans="1:15" x14ac:dyDescent="0.3">
      <c r="A42" s="6">
        <f t="shared" si="1"/>
        <v>41</v>
      </c>
      <c r="B42" s="5">
        <v>44368</v>
      </c>
      <c r="C42" s="6" t="s">
        <v>20</v>
      </c>
      <c r="D42">
        <v>3.15</v>
      </c>
      <c r="E42">
        <v>1679</v>
      </c>
      <c r="F42">
        <v>533</v>
      </c>
      <c r="G42">
        <v>521</v>
      </c>
      <c r="H42">
        <v>542</v>
      </c>
      <c r="I42">
        <v>546</v>
      </c>
      <c r="J42">
        <v>66</v>
      </c>
      <c r="K42" s="6" t="s">
        <v>389</v>
      </c>
      <c r="L42" s="6" t="s">
        <v>536</v>
      </c>
      <c r="M42">
        <v>325</v>
      </c>
      <c r="N42" s="6"/>
      <c r="O42" s="6">
        <v>20.952380952380953</v>
      </c>
    </row>
    <row r="43" spans="1:15" x14ac:dyDescent="0.3">
      <c r="A43" s="6">
        <f t="shared" si="1"/>
        <v>42</v>
      </c>
      <c r="B43" s="5">
        <v>44375</v>
      </c>
      <c r="C43" s="6" t="s">
        <v>20</v>
      </c>
      <c r="D43">
        <v>5.04</v>
      </c>
      <c r="E43">
        <v>2864</v>
      </c>
      <c r="F43">
        <v>567</v>
      </c>
      <c r="G43">
        <v>515</v>
      </c>
      <c r="H43">
        <v>495</v>
      </c>
      <c r="I43">
        <v>557</v>
      </c>
      <c r="J43">
        <v>98</v>
      </c>
      <c r="K43" s="6" t="s">
        <v>21</v>
      </c>
      <c r="L43" s="6" t="s">
        <v>541</v>
      </c>
      <c r="M43">
        <v>332</v>
      </c>
      <c r="N43" s="6"/>
      <c r="O43" s="6">
        <v>19.444444444444443</v>
      </c>
    </row>
    <row r="44" spans="1:15" x14ac:dyDescent="0.3">
      <c r="A44" s="6">
        <f t="shared" si="1"/>
        <v>43</v>
      </c>
      <c r="B44" s="5">
        <v>44389</v>
      </c>
      <c r="C44" s="6" t="s">
        <v>20</v>
      </c>
      <c r="D44">
        <v>5.05</v>
      </c>
      <c r="E44">
        <v>3067</v>
      </c>
      <c r="F44">
        <v>607</v>
      </c>
      <c r="G44">
        <v>544</v>
      </c>
      <c r="H44">
        <v>531</v>
      </c>
      <c r="I44">
        <v>641</v>
      </c>
      <c r="J44">
        <v>121</v>
      </c>
      <c r="K44" s="6" t="s">
        <v>21</v>
      </c>
      <c r="L44" s="6" t="s">
        <v>559</v>
      </c>
      <c r="M44">
        <v>346</v>
      </c>
      <c r="N44" s="6"/>
      <c r="O44" s="6">
        <v>23.96039603960396</v>
      </c>
    </row>
    <row r="45" spans="1:15" x14ac:dyDescent="0.3">
      <c r="A45" s="6">
        <f t="shared" si="1"/>
        <v>44</v>
      </c>
      <c r="B45" s="5">
        <v>44396</v>
      </c>
      <c r="C45" s="6" t="s">
        <v>20</v>
      </c>
      <c r="D45">
        <v>3.18</v>
      </c>
      <c r="E45">
        <v>1855</v>
      </c>
      <c r="F45">
        <v>583</v>
      </c>
      <c r="G45">
        <v>579</v>
      </c>
      <c r="H45">
        <v>633</v>
      </c>
      <c r="I45">
        <v>549</v>
      </c>
      <c r="J45">
        <v>66</v>
      </c>
      <c r="K45" s="6" t="s">
        <v>389</v>
      </c>
      <c r="L45" s="6" t="s">
        <v>566</v>
      </c>
      <c r="M45">
        <v>353</v>
      </c>
      <c r="N45" s="6"/>
      <c r="O45" s="6">
        <v>20.754716981132074</v>
      </c>
    </row>
    <row r="46" spans="1:15" x14ac:dyDescent="0.3">
      <c r="A46" s="6">
        <f t="shared" si="1"/>
        <v>45</v>
      </c>
      <c r="B46" s="5">
        <v>44403</v>
      </c>
      <c r="C46" s="6" t="s">
        <v>20</v>
      </c>
      <c r="D46">
        <v>3.13</v>
      </c>
      <c r="E46">
        <v>1703</v>
      </c>
      <c r="F46">
        <v>543</v>
      </c>
      <c r="G46">
        <v>549</v>
      </c>
      <c r="H46">
        <v>538</v>
      </c>
      <c r="I46">
        <v>542</v>
      </c>
      <c r="J46">
        <v>56</v>
      </c>
      <c r="K46" s="6" t="s">
        <v>389</v>
      </c>
      <c r="L46" s="6" t="s">
        <v>570</v>
      </c>
      <c r="M46">
        <v>360</v>
      </c>
      <c r="N46" s="6"/>
      <c r="O46" s="6">
        <v>17.891373801916934</v>
      </c>
    </row>
    <row r="47" spans="1:15" x14ac:dyDescent="0.3">
      <c r="A47" s="6">
        <f t="shared" si="1"/>
        <v>46</v>
      </c>
      <c r="B47" s="5">
        <v>44417</v>
      </c>
      <c r="C47" s="6" t="s">
        <v>20</v>
      </c>
      <c r="D47">
        <v>3.11</v>
      </c>
      <c r="E47">
        <v>1864</v>
      </c>
      <c r="F47">
        <v>598</v>
      </c>
      <c r="G47">
        <v>633</v>
      </c>
      <c r="H47">
        <v>619</v>
      </c>
      <c r="I47">
        <v>553</v>
      </c>
      <c r="J47">
        <v>57</v>
      </c>
      <c r="K47" s="6" t="s">
        <v>389</v>
      </c>
      <c r="L47" s="6" t="s">
        <v>597</v>
      </c>
      <c r="M47">
        <v>374</v>
      </c>
      <c r="N47" s="6"/>
      <c r="O47" s="6">
        <v>18.327974276527332</v>
      </c>
    </row>
    <row r="48" spans="1:15" x14ac:dyDescent="0.3">
      <c r="A48" s="6">
        <f t="shared" si="1"/>
        <v>47</v>
      </c>
      <c r="B48" s="5">
        <v>44431</v>
      </c>
      <c r="C48" s="6" t="s">
        <v>20</v>
      </c>
      <c r="D48">
        <v>5.03</v>
      </c>
      <c r="E48">
        <v>2411</v>
      </c>
      <c r="F48">
        <v>479</v>
      </c>
      <c r="G48">
        <v>499</v>
      </c>
      <c r="H48">
        <v>473</v>
      </c>
      <c r="I48">
        <v>487</v>
      </c>
      <c r="J48">
        <v>93</v>
      </c>
      <c r="K48" s="6" t="s">
        <v>21</v>
      </c>
      <c r="L48" s="6" t="s">
        <v>608</v>
      </c>
      <c r="M48">
        <v>388</v>
      </c>
      <c r="N48" s="6"/>
      <c r="O48" s="6">
        <v>18.489065606361827</v>
      </c>
    </row>
    <row r="49" spans="1:15" x14ac:dyDescent="0.3">
      <c r="A49" s="6">
        <f t="shared" si="1"/>
        <v>48</v>
      </c>
      <c r="B49" s="5">
        <v>44438</v>
      </c>
      <c r="C49" s="6" t="s">
        <v>20</v>
      </c>
      <c r="D49">
        <v>5.01</v>
      </c>
      <c r="E49">
        <v>2263</v>
      </c>
      <c r="F49">
        <v>451</v>
      </c>
      <c r="G49">
        <v>427</v>
      </c>
      <c r="H49">
        <v>464</v>
      </c>
      <c r="I49">
        <v>468</v>
      </c>
      <c r="J49">
        <v>83</v>
      </c>
      <c r="K49" s="6" t="s">
        <v>21</v>
      </c>
      <c r="L49" s="6" t="s">
        <v>619</v>
      </c>
      <c r="M49">
        <v>395</v>
      </c>
      <c r="N49" s="6"/>
      <c r="O49" s="6">
        <v>16.56686626746507</v>
      </c>
    </row>
    <row r="50" spans="1:15" x14ac:dyDescent="0.3">
      <c r="A50" s="6">
        <f t="shared" si="1"/>
        <v>49</v>
      </c>
      <c r="B50" s="5">
        <v>44452</v>
      </c>
      <c r="C50" s="6" t="s">
        <v>20</v>
      </c>
      <c r="D50">
        <v>3.12</v>
      </c>
      <c r="E50">
        <v>1361</v>
      </c>
      <c r="F50">
        <v>436</v>
      </c>
      <c r="G50">
        <v>457</v>
      </c>
      <c r="H50">
        <v>425</v>
      </c>
      <c r="I50">
        <v>430</v>
      </c>
      <c r="J50">
        <v>56</v>
      </c>
      <c r="K50" s="6" t="s">
        <v>389</v>
      </c>
      <c r="L50" s="6" t="s">
        <v>641</v>
      </c>
      <c r="M50">
        <v>409</v>
      </c>
      <c r="N50" s="6"/>
      <c r="O50" s="6">
        <v>17.948717948717949</v>
      </c>
    </row>
    <row r="51" spans="1:15" x14ac:dyDescent="0.3">
      <c r="A51" s="6">
        <f t="shared" si="1"/>
        <v>50</v>
      </c>
      <c r="B51" s="5">
        <v>44459</v>
      </c>
      <c r="C51" s="6" t="s">
        <v>20</v>
      </c>
      <c r="D51">
        <v>3.13</v>
      </c>
      <c r="E51">
        <v>1814</v>
      </c>
      <c r="F51">
        <v>579</v>
      </c>
      <c r="G51">
        <v>580</v>
      </c>
      <c r="H51">
        <v>589</v>
      </c>
      <c r="I51">
        <v>564</v>
      </c>
      <c r="J51">
        <v>59</v>
      </c>
      <c r="K51" s="6" t="s">
        <v>389</v>
      </c>
      <c r="L51" s="6" t="s">
        <v>650</v>
      </c>
      <c r="M51">
        <v>416</v>
      </c>
      <c r="N51" s="6"/>
      <c r="O51" s="6">
        <v>18.849840255591054</v>
      </c>
    </row>
    <row r="52" spans="1:15" x14ac:dyDescent="0.3">
      <c r="A52" s="6">
        <f t="shared" si="1"/>
        <v>51</v>
      </c>
      <c r="B52" s="5">
        <v>44466</v>
      </c>
      <c r="C52" s="6" t="s">
        <v>20</v>
      </c>
      <c r="D52">
        <v>3.13</v>
      </c>
      <c r="E52">
        <v>1416</v>
      </c>
      <c r="F52">
        <v>452</v>
      </c>
      <c r="G52">
        <v>457</v>
      </c>
      <c r="H52">
        <v>456</v>
      </c>
      <c r="I52">
        <v>454</v>
      </c>
      <c r="J52">
        <v>102</v>
      </c>
      <c r="K52" s="6" t="s">
        <v>389</v>
      </c>
      <c r="L52" s="6" t="s">
        <v>662</v>
      </c>
      <c r="M52">
        <v>423</v>
      </c>
      <c r="N52" s="6"/>
      <c r="O52" s="6">
        <v>32.587859424920126</v>
      </c>
    </row>
    <row r="53" spans="1:15" x14ac:dyDescent="0.3">
      <c r="A53" s="6">
        <f t="shared" si="1"/>
        <v>52</v>
      </c>
      <c r="B53" s="5">
        <v>44487</v>
      </c>
      <c r="C53" s="6" t="s">
        <v>20</v>
      </c>
      <c r="D53">
        <v>4.0199999999999996</v>
      </c>
      <c r="E53">
        <v>1889</v>
      </c>
      <c r="F53">
        <v>470</v>
      </c>
      <c r="G53">
        <v>459</v>
      </c>
      <c r="H53">
        <v>455</v>
      </c>
      <c r="I53">
        <v>502</v>
      </c>
      <c r="J53">
        <v>93</v>
      </c>
      <c r="K53" s="6" t="s">
        <v>236</v>
      </c>
      <c r="L53" s="6" t="s">
        <v>668</v>
      </c>
      <c r="M53">
        <v>444</v>
      </c>
      <c r="N53" s="6"/>
      <c r="O53" s="6">
        <v>23.134328358208961</v>
      </c>
    </row>
    <row r="54" spans="1:15" x14ac:dyDescent="0.3">
      <c r="A54" s="6">
        <f t="shared" si="1"/>
        <v>53</v>
      </c>
      <c r="B54" s="5">
        <v>44494</v>
      </c>
      <c r="C54" s="6" t="s">
        <v>20</v>
      </c>
      <c r="D54">
        <v>3.13</v>
      </c>
      <c r="E54">
        <v>1665</v>
      </c>
      <c r="F54">
        <v>532</v>
      </c>
      <c r="G54">
        <v>511</v>
      </c>
      <c r="H54">
        <v>535</v>
      </c>
      <c r="I54">
        <v>557</v>
      </c>
      <c r="J54">
        <v>87</v>
      </c>
      <c r="K54" s="6" t="s">
        <v>389</v>
      </c>
      <c r="L54" s="6" t="s">
        <v>694</v>
      </c>
      <c r="M54">
        <v>451</v>
      </c>
      <c r="N54" s="6"/>
      <c r="O54" s="6">
        <v>27.795527156549522</v>
      </c>
    </row>
    <row r="55" spans="1:15" x14ac:dyDescent="0.3">
      <c r="A55" s="6">
        <f t="shared" si="1"/>
        <v>54</v>
      </c>
      <c r="B55" s="5">
        <v>44501</v>
      </c>
      <c r="C55" s="6" t="s">
        <v>20</v>
      </c>
      <c r="D55">
        <v>3.14</v>
      </c>
      <c r="E55">
        <v>1363</v>
      </c>
      <c r="F55">
        <v>434</v>
      </c>
      <c r="G55">
        <v>432</v>
      </c>
      <c r="H55">
        <v>425</v>
      </c>
      <c r="I55">
        <v>455</v>
      </c>
      <c r="J55">
        <v>55</v>
      </c>
      <c r="K55" s="6" t="s">
        <v>389</v>
      </c>
      <c r="L55" s="6" t="s">
        <v>701</v>
      </c>
      <c r="M55">
        <v>458</v>
      </c>
      <c r="N55" s="6"/>
      <c r="O55" s="6">
        <v>17.515923566878982</v>
      </c>
    </row>
    <row r="56" spans="1:15" x14ac:dyDescent="0.3">
      <c r="A56" s="6">
        <f t="shared" si="1"/>
        <v>55</v>
      </c>
      <c r="B56" s="5">
        <v>44508</v>
      </c>
      <c r="C56" s="6" t="s">
        <v>20</v>
      </c>
      <c r="D56">
        <v>3.12</v>
      </c>
      <c r="E56">
        <v>1680</v>
      </c>
      <c r="F56">
        <v>539</v>
      </c>
      <c r="G56">
        <v>555</v>
      </c>
      <c r="H56">
        <v>549</v>
      </c>
      <c r="I56">
        <v>522</v>
      </c>
      <c r="J56">
        <v>114</v>
      </c>
      <c r="K56" s="6" t="s">
        <v>389</v>
      </c>
      <c r="L56" s="6" t="s">
        <v>713</v>
      </c>
      <c r="M56">
        <v>465</v>
      </c>
      <c r="N56" s="6"/>
      <c r="O56" s="6">
        <v>36.53846153846154</v>
      </c>
    </row>
    <row r="57" spans="1:15" x14ac:dyDescent="0.3">
      <c r="A57" s="6">
        <f t="shared" si="1"/>
        <v>56</v>
      </c>
      <c r="B57" s="5">
        <v>44515</v>
      </c>
      <c r="C57" s="6" t="s">
        <v>20</v>
      </c>
      <c r="D57">
        <v>5.01</v>
      </c>
      <c r="E57">
        <v>2326</v>
      </c>
      <c r="F57">
        <v>464</v>
      </c>
      <c r="G57">
        <v>469</v>
      </c>
      <c r="H57">
        <v>466</v>
      </c>
      <c r="I57">
        <v>476</v>
      </c>
      <c r="J57">
        <v>137</v>
      </c>
      <c r="K57" s="6" t="s">
        <v>21</v>
      </c>
      <c r="L57" s="6" t="s">
        <v>716</v>
      </c>
      <c r="M57">
        <v>472</v>
      </c>
      <c r="N57" s="6"/>
      <c r="O57" s="6">
        <v>27.345309381237527</v>
      </c>
    </row>
    <row r="58" spans="1:15" x14ac:dyDescent="0.3">
      <c r="A58" s="6">
        <f t="shared" si="1"/>
        <v>57</v>
      </c>
      <c r="B58" s="5">
        <v>44521</v>
      </c>
      <c r="C58" s="6" t="s">
        <v>20</v>
      </c>
      <c r="D58">
        <v>3.12</v>
      </c>
      <c r="E58">
        <v>1856</v>
      </c>
      <c r="F58">
        <v>594</v>
      </c>
      <c r="G58">
        <v>654</v>
      </c>
      <c r="H58">
        <v>650</v>
      </c>
      <c r="I58">
        <v>498</v>
      </c>
      <c r="J58">
        <v>104</v>
      </c>
      <c r="K58" s="6" t="s">
        <v>389</v>
      </c>
      <c r="L58" s="6" t="s">
        <v>726</v>
      </c>
      <c r="M58">
        <v>478</v>
      </c>
      <c r="N58" s="6"/>
      <c r="O58" s="6">
        <v>33.333333333333336</v>
      </c>
    </row>
    <row r="59" spans="1:15" x14ac:dyDescent="0.3">
      <c r="A59" s="6">
        <f t="shared" si="1"/>
        <v>58</v>
      </c>
      <c r="B59" s="5">
        <v>44522</v>
      </c>
      <c r="C59" s="6" t="s">
        <v>20</v>
      </c>
      <c r="D59">
        <v>3.12</v>
      </c>
      <c r="E59">
        <v>1537</v>
      </c>
      <c r="F59">
        <v>492</v>
      </c>
      <c r="G59">
        <v>506</v>
      </c>
      <c r="H59">
        <v>483</v>
      </c>
      <c r="I59">
        <v>483</v>
      </c>
      <c r="J59">
        <v>57</v>
      </c>
      <c r="K59" s="6" t="s">
        <v>389</v>
      </c>
      <c r="L59" s="6" t="s">
        <v>729</v>
      </c>
      <c r="M59">
        <v>479</v>
      </c>
      <c r="N59" s="6"/>
      <c r="O59" s="6">
        <v>18.26923076923077</v>
      </c>
    </row>
    <row r="60" spans="1:15" x14ac:dyDescent="0.3">
      <c r="A60" s="6">
        <f t="shared" si="1"/>
        <v>59</v>
      </c>
      <c r="B60" s="5">
        <v>44529</v>
      </c>
      <c r="C60" s="6" t="s">
        <v>20</v>
      </c>
      <c r="D60">
        <v>4.09</v>
      </c>
      <c r="E60">
        <v>2347</v>
      </c>
      <c r="F60">
        <v>574</v>
      </c>
      <c r="G60">
        <v>499</v>
      </c>
      <c r="H60">
        <v>536</v>
      </c>
      <c r="I60">
        <v>652</v>
      </c>
      <c r="J60">
        <v>186</v>
      </c>
      <c r="K60" s="6" t="s">
        <v>389</v>
      </c>
      <c r="L60" s="6" t="s">
        <v>740</v>
      </c>
      <c r="M60">
        <v>486</v>
      </c>
      <c r="N60" s="6" t="s">
        <v>739</v>
      </c>
      <c r="O60" s="6">
        <v>45.47677261613692</v>
      </c>
    </row>
    <row r="61" spans="1:15" x14ac:dyDescent="0.3">
      <c r="A61" s="6">
        <f t="shared" si="1"/>
        <v>60</v>
      </c>
      <c r="B61" s="5">
        <v>44543</v>
      </c>
      <c r="C61" s="6" t="s">
        <v>20</v>
      </c>
      <c r="D61">
        <v>4.08</v>
      </c>
      <c r="E61">
        <v>2026</v>
      </c>
      <c r="F61">
        <v>497</v>
      </c>
      <c r="G61">
        <v>505</v>
      </c>
      <c r="H61">
        <v>474</v>
      </c>
      <c r="I61">
        <v>490</v>
      </c>
      <c r="J61">
        <v>98</v>
      </c>
      <c r="K61" s="6" t="s">
        <v>236</v>
      </c>
      <c r="L61" s="6" t="s">
        <v>758</v>
      </c>
      <c r="M61">
        <v>500</v>
      </c>
      <c r="N61" s="6"/>
      <c r="O61" s="6">
        <v>24.019607843137255</v>
      </c>
    </row>
    <row r="62" spans="1:15" x14ac:dyDescent="0.3">
      <c r="A62" s="6">
        <f t="shared" si="1"/>
        <v>61</v>
      </c>
      <c r="B62" s="5">
        <v>44550</v>
      </c>
      <c r="C62" s="6" t="s">
        <v>20</v>
      </c>
      <c r="D62">
        <v>3.12</v>
      </c>
      <c r="E62">
        <v>1551</v>
      </c>
      <c r="F62">
        <v>497</v>
      </c>
      <c r="G62">
        <v>487</v>
      </c>
      <c r="H62">
        <v>502</v>
      </c>
      <c r="I62">
        <v>499</v>
      </c>
      <c r="J62">
        <v>99</v>
      </c>
      <c r="K62" s="6" t="s">
        <v>389</v>
      </c>
      <c r="L62" s="6" t="s">
        <v>766</v>
      </c>
      <c r="M62">
        <v>507</v>
      </c>
      <c r="N62" s="6"/>
      <c r="O62" s="6">
        <v>31.73076923076923</v>
      </c>
    </row>
    <row r="63" spans="1:15" x14ac:dyDescent="0.3">
      <c r="A63" s="6">
        <f t="shared" si="1"/>
        <v>62</v>
      </c>
      <c r="B63" s="5">
        <v>44557</v>
      </c>
      <c r="C63" s="6" t="s">
        <v>20</v>
      </c>
      <c r="D63">
        <v>5.05</v>
      </c>
      <c r="E63">
        <v>2693</v>
      </c>
      <c r="F63">
        <v>533</v>
      </c>
      <c r="G63">
        <v>560</v>
      </c>
      <c r="H63">
        <v>559</v>
      </c>
      <c r="I63">
        <v>548</v>
      </c>
      <c r="J63">
        <v>136</v>
      </c>
      <c r="K63" s="6" t="s">
        <v>21</v>
      </c>
      <c r="L63" s="6" t="s">
        <v>777</v>
      </c>
      <c r="M63">
        <v>514</v>
      </c>
      <c r="N63" s="6"/>
      <c r="O63" s="6">
        <v>26.930693069306933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9707-2F58-4C97-AFEC-E4400E42BAEB}">
  <dimension ref="A1:O33"/>
  <sheetViews>
    <sheetView workbookViewId="0">
      <selection activeCell="I39" sqref="I39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22.6640625" bestFit="1" customWidth="1"/>
    <col min="4" max="4" width="14.33203125" bestFit="1" customWidth="1"/>
    <col min="5" max="5" width="17.21875" bestFit="1" customWidth="1"/>
    <col min="6" max="6" width="18.21875" bestFit="1" customWidth="1"/>
    <col min="7" max="9" width="12.88671875" bestFit="1" customWidth="1"/>
    <col min="10" max="10" width="19" bestFit="1" customWidth="1"/>
    <col min="11" max="11" width="21.88671875" bestFit="1" customWidth="1"/>
    <col min="12" max="12" width="42.33203125" bestFit="1" customWidth="1"/>
    <col min="13" max="13" width="10.5546875" bestFit="1" customWidth="1"/>
    <col min="14" max="14" width="16.88671875" bestFit="1" customWidth="1"/>
    <col min="15" max="15" width="24.6640625" bestFit="1" customWidth="1"/>
    <col min="16" max="16" width="18.44140625" bestFit="1" customWidth="1"/>
  </cols>
  <sheetData>
    <row r="1" spans="1:15" x14ac:dyDescent="0.3">
      <c r="A1" t="s">
        <v>122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19</v>
      </c>
      <c r="K1" t="s">
        <v>3</v>
      </c>
      <c r="L1" t="s">
        <v>7</v>
      </c>
      <c r="M1" t="s">
        <v>14</v>
      </c>
      <c r="N1" t="s">
        <v>13</v>
      </c>
      <c r="O1" t="s">
        <v>779</v>
      </c>
    </row>
    <row r="2" spans="1:15" x14ac:dyDescent="0.3">
      <c r="A2" s="6">
        <f t="shared" ref="A2:A33" si="0">ROW(A2)-1</f>
        <v>1</v>
      </c>
      <c r="B2" s="5">
        <v>44047</v>
      </c>
      <c r="C2" s="6" t="s">
        <v>29</v>
      </c>
      <c r="D2">
        <v>3.01</v>
      </c>
      <c r="E2">
        <v>1302</v>
      </c>
      <c r="F2">
        <v>431</v>
      </c>
      <c r="G2">
        <v>429</v>
      </c>
      <c r="H2">
        <v>430</v>
      </c>
      <c r="I2">
        <v>434</v>
      </c>
      <c r="J2">
        <v>71</v>
      </c>
      <c r="K2" s="6" t="s">
        <v>30</v>
      </c>
      <c r="L2" s="6" t="s">
        <v>31</v>
      </c>
      <c r="M2">
        <v>4</v>
      </c>
      <c r="N2" s="6"/>
      <c r="O2" s="6">
        <v>23.588039867109636</v>
      </c>
    </row>
    <row r="3" spans="1:15" x14ac:dyDescent="0.3">
      <c r="A3" s="6">
        <f t="shared" si="0"/>
        <v>2</v>
      </c>
      <c r="B3" s="5">
        <v>44096</v>
      </c>
      <c r="C3" s="6" t="s">
        <v>29</v>
      </c>
      <c r="D3">
        <v>3.11</v>
      </c>
      <c r="E3">
        <v>1282</v>
      </c>
      <c r="F3">
        <v>411</v>
      </c>
      <c r="G3">
        <v>423</v>
      </c>
      <c r="H3">
        <v>419</v>
      </c>
      <c r="I3">
        <v>397</v>
      </c>
      <c r="J3">
        <v>81</v>
      </c>
      <c r="K3" s="6" t="s">
        <v>30</v>
      </c>
      <c r="L3" s="6" t="s">
        <v>109</v>
      </c>
      <c r="M3">
        <v>53</v>
      </c>
      <c r="N3" s="6" t="s">
        <v>110</v>
      </c>
      <c r="O3" s="6">
        <v>26.04501607717042</v>
      </c>
    </row>
    <row r="4" spans="1:15" x14ac:dyDescent="0.3">
      <c r="A4" s="6">
        <f t="shared" si="0"/>
        <v>3</v>
      </c>
      <c r="B4" s="5">
        <v>44103</v>
      </c>
      <c r="C4" s="6" t="s">
        <v>29</v>
      </c>
      <c r="D4">
        <v>3.12</v>
      </c>
      <c r="E4">
        <v>1325</v>
      </c>
      <c r="F4">
        <v>424</v>
      </c>
      <c r="G4">
        <v>417</v>
      </c>
      <c r="H4">
        <v>432</v>
      </c>
      <c r="I4">
        <v>423</v>
      </c>
      <c r="J4">
        <v>79</v>
      </c>
      <c r="K4" s="6" t="s">
        <v>30</v>
      </c>
      <c r="L4" s="6" t="s">
        <v>121</v>
      </c>
      <c r="M4">
        <v>60</v>
      </c>
      <c r="N4" s="6"/>
      <c r="O4" s="6">
        <v>25.320512820512821</v>
      </c>
    </row>
    <row r="5" spans="1:15" x14ac:dyDescent="0.3">
      <c r="A5" s="6">
        <f t="shared" si="0"/>
        <v>4</v>
      </c>
      <c r="B5" s="5">
        <v>44117</v>
      </c>
      <c r="C5" s="6" t="s">
        <v>29</v>
      </c>
      <c r="D5">
        <v>3.51</v>
      </c>
      <c r="E5">
        <v>1457</v>
      </c>
      <c r="F5">
        <v>415</v>
      </c>
      <c r="G5">
        <v>453</v>
      </c>
      <c r="H5">
        <v>417</v>
      </c>
      <c r="I5">
        <v>389</v>
      </c>
      <c r="J5">
        <v>115</v>
      </c>
      <c r="K5" s="6" t="s">
        <v>174</v>
      </c>
      <c r="L5" s="6" t="s">
        <v>173</v>
      </c>
      <c r="M5">
        <v>74</v>
      </c>
      <c r="N5" s="6"/>
      <c r="O5" s="6">
        <v>32.763532763532766</v>
      </c>
    </row>
    <row r="6" spans="1:15" x14ac:dyDescent="0.3">
      <c r="A6" s="6">
        <f t="shared" si="0"/>
        <v>5</v>
      </c>
      <c r="B6" s="5">
        <v>44124</v>
      </c>
      <c r="C6" s="6" t="s">
        <v>29</v>
      </c>
      <c r="D6">
        <v>3.64</v>
      </c>
      <c r="E6">
        <v>1544</v>
      </c>
      <c r="F6">
        <v>423</v>
      </c>
      <c r="G6">
        <v>428</v>
      </c>
      <c r="H6">
        <v>438</v>
      </c>
      <c r="I6">
        <v>422</v>
      </c>
      <c r="J6">
        <v>116</v>
      </c>
      <c r="K6" s="6" t="s">
        <v>174</v>
      </c>
      <c r="L6" s="6" t="s">
        <v>183</v>
      </c>
      <c r="M6">
        <v>81</v>
      </c>
      <c r="N6" s="6" t="s">
        <v>184</v>
      </c>
      <c r="O6" s="6">
        <v>31.868131868131869</v>
      </c>
    </row>
    <row r="7" spans="1:15" x14ac:dyDescent="0.3">
      <c r="A7" s="6">
        <f t="shared" si="0"/>
        <v>6</v>
      </c>
      <c r="B7" s="5">
        <v>44131</v>
      </c>
      <c r="C7" s="6" t="s">
        <v>29</v>
      </c>
      <c r="D7">
        <v>3.63</v>
      </c>
      <c r="E7">
        <v>1590</v>
      </c>
      <c r="F7">
        <v>438</v>
      </c>
      <c r="G7">
        <v>444</v>
      </c>
      <c r="H7">
        <v>437</v>
      </c>
      <c r="I7">
        <v>429</v>
      </c>
      <c r="J7">
        <v>113</v>
      </c>
      <c r="K7" s="6" t="s">
        <v>174</v>
      </c>
      <c r="L7" s="6" t="s">
        <v>193</v>
      </c>
      <c r="M7">
        <v>88</v>
      </c>
      <c r="N7" s="6" t="s">
        <v>191</v>
      </c>
      <c r="O7" s="6">
        <v>31.12947658402204</v>
      </c>
    </row>
    <row r="8" spans="1:15" x14ac:dyDescent="0.3">
      <c r="A8" s="6">
        <f t="shared" si="0"/>
        <v>7</v>
      </c>
      <c r="B8" s="5">
        <v>44138</v>
      </c>
      <c r="C8" s="6" t="s">
        <v>29</v>
      </c>
      <c r="D8">
        <v>3.6</v>
      </c>
      <c r="E8">
        <v>1463</v>
      </c>
      <c r="F8">
        <v>406</v>
      </c>
      <c r="G8">
        <v>431</v>
      </c>
      <c r="H8">
        <v>425</v>
      </c>
      <c r="I8">
        <v>375</v>
      </c>
      <c r="J8">
        <v>114</v>
      </c>
      <c r="K8" s="6" t="s">
        <v>174</v>
      </c>
      <c r="L8" s="6" t="s">
        <v>199</v>
      </c>
      <c r="M8">
        <v>95</v>
      </c>
      <c r="N8" s="6"/>
      <c r="O8" s="6">
        <v>31.666666666666664</v>
      </c>
    </row>
    <row r="9" spans="1:15" x14ac:dyDescent="0.3">
      <c r="A9" s="6">
        <f t="shared" si="0"/>
        <v>8</v>
      </c>
      <c r="B9" s="5">
        <v>44152</v>
      </c>
      <c r="C9" s="6" t="s">
        <v>29</v>
      </c>
      <c r="D9">
        <v>3.61</v>
      </c>
      <c r="E9">
        <v>1525</v>
      </c>
      <c r="F9">
        <v>422</v>
      </c>
      <c r="G9">
        <v>440</v>
      </c>
      <c r="H9">
        <v>443</v>
      </c>
      <c r="I9">
        <v>403</v>
      </c>
      <c r="J9">
        <v>114</v>
      </c>
      <c r="K9" s="6" t="s">
        <v>174</v>
      </c>
      <c r="L9" s="6" t="s">
        <v>218</v>
      </c>
      <c r="M9">
        <v>109</v>
      </c>
      <c r="N9" s="6"/>
      <c r="O9" s="6">
        <v>31.578947368421055</v>
      </c>
    </row>
    <row r="10" spans="1:15" x14ac:dyDescent="0.3">
      <c r="A10" s="6">
        <f t="shared" si="0"/>
        <v>9</v>
      </c>
      <c r="B10" s="5">
        <v>44159</v>
      </c>
      <c r="C10" s="6" t="s">
        <v>29</v>
      </c>
      <c r="D10">
        <v>3.65</v>
      </c>
      <c r="E10">
        <v>1548</v>
      </c>
      <c r="F10">
        <v>423</v>
      </c>
      <c r="G10">
        <v>419</v>
      </c>
      <c r="H10">
        <v>433</v>
      </c>
      <c r="I10">
        <v>414</v>
      </c>
      <c r="J10">
        <v>114</v>
      </c>
      <c r="K10" s="6" t="s">
        <v>174</v>
      </c>
      <c r="L10" s="6" t="s">
        <v>228</v>
      </c>
      <c r="M10">
        <v>116</v>
      </c>
      <c r="N10" s="6"/>
      <c r="O10" s="6">
        <v>31.232876712328768</v>
      </c>
    </row>
    <row r="11" spans="1:15" x14ac:dyDescent="0.3">
      <c r="A11" s="6">
        <f t="shared" si="0"/>
        <v>10</v>
      </c>
      <c r="B11" s="5">
        <v>44166</v>
      </c>
      <c r="C11" s="6" t="s">
        <v>29</v>
      </c>
      <c r="D11">
        <v>3.64</v>
      </c>
      <c r="E11">
        <v>1504</v>
      </c>
      <c r="F11">
        <v>413</v>
      </c>
      <c r="G11">
        <v>444</v>
      </c>
      <c r="H11">
        <v>410</v>
      </c>
      <c r="I11">
        <v>384</v>
      </c>
      <c r="J11">
        <v>112</v>
      </c>
      <c r="K11" s="6" t="s">
        <v>174</v>
      </c>
      <c r="L11" s="6" t="s">
        <v>240</v>
      </c>
      <c r="M11">
        <v>123</v>
      </c>
      <c r="N11" s="6"/>
      <c r="O11" s="6">
        <v>30.769230769230766</v>
      </c>
    </row>
    <row r="12" spans="1:15" x14ac:dyDescent="0.3">
      <c r="A12" s="6">
        <f t="shared" si="0"/>
        <v>11</v>
      </c>
      <c r="B12" s="5">
        <v>44173</v>
      </c>
      <c r="C12" s="6" t="s">
        <v>29</v>
      </c>
      <c r="D12">
        <v>3.67</v>
      </c>
      <c r="E12">
        <v>1554</v>
      </c>
      <c r="F12">
        <v>423</v>
      </c>
      <c r="G12">
        <v>425</v>
      </c>
      <c r="H12">
        <v>447</v>
      </c>
      <c r="I12">
        <v>401</v>
      </c>
      <c r="J12">
        <v>113</v>
      </c>
      <c r="K12" s="6" t="s">
        <v>174</v>
      </c>
      <c r="L12" s="6" t="s">
        <v>249</v>
      </c>
      <c r="M12">
        <v>130</v>
      </c>
      <c r="N12" s="6"/>
      <c r="O12" s="6">
        <v>30.790190735694825</v>
      </c>
    </row>
    <row r="13" spans="1:15" x14ac:dyDescent="0.3">
      <c r="A13" s="6">
        <f t="shared" si="0"/>
        <v>12</v>
      </c>
      <c r="B13" s="5">
        <v>44180</v>
      </c>
      <c r="C13" s="6" t="s">
        <v>29</v>
      </c>
      <c r="D13">
        <v>3.64</v>
      </c>
      <c r="E13">
        <v>1660</v>
      </c>
      <c r="F13">
        <v>455</v>
      </c>
      <c r="G13">
        <v>472</v>
      </c>
      <c r="H13">
        <v>471</v>
      </c>
      <c r="I13">
        <v>446</v>
      </c>
      <c r="J13">
        <v>114</v>
      </c>
      <c r="K13" s="6" t="s">
        <v>174</v>
      </c>
      <c r="L13" s="6" t="s">
        <v>257</v>
      </c>
      <c r="M13">
        <v>137</v>
      </c>
      <c r="N13" s="6"/>
      <c r="O13" s="6">
        <v>31.318681318681321</v>
      </c>
    </row>
    <row r="14" spans="1:15" x14ac:dyDescent="0.3">
      <c r="A14" s="6">
        <f t="shared" si="0"/>
        <v>13</v>
      </c>
      <c r="B14" s="5">
        <v>44187</v>
      </c>
      <c r="C14" s="6" t="s">
        <v>29</v>
      </c>
      <c r="D14">
        <v>3.66</v>
      </c>
      <c r="E14">
        <v>1610</v>
      </c>
      <c r="F14">
        <v>439</v>
      </c>
      <c r="G14">
        <v>456</v>
      </c>
      <c r="H14">
        <v>451</v>
      </c>
      <c r="I14">
        <v>426</v>
      </c>
      <c r="J14">
        <v>113</v>
      </c>
      <c r="K14" s="6" t="s">
        <v>174</v>
      </c>
      <c r="L14" s="6" t="s">
        <v>266</v>
      </c>
      <c r="M14">
        <v>144</v>
      </c>
      <c r="N14" s="6"/>
      <c r="O14" s="6">
        <v>30.874316939890708</v>
      </c>
    </row>
    <row r="15" spans="1:15" x14ac:dyDescent="0.3">
      <c r="A15" s="6">
        <f t="shared" si="0"/>
        <v>14</v>
      </c>
      <c r="B15" s="5">
        <v>44194</v>
      </c>
      <c r="C15" s="6" t="s">
        <v>29</v>
      </c>
      <c r="D15">
        <v>3.54</v>
      </c>
      <c r="E15">
        <v>1504</v>
      </c>
      <c r="F15">
        <v>424</v>
      </c>
      <c r="G15">
        <v>431</v>
      </c>
      <c r="H15">
        <v>439</v>
      </c>
      <c r="I15">
        <v>402</v>
      </c>
      <c r="J15">
        <v>112</v>
      </c>
      <c r="K15" s="6" t="s">
        <v>174</v>
      </c>
      <c r="L15" s="6" t="s">
        <v>276</v>
      </c>
      <c r="M15">
        <v>151</v>
      </c>
      <c r="N15" s="6"/>
      <c r="O15" s="6">
        <v>31.638418079096045</v>
      </c>
    </row>
    <row r="16" spans="1:15" x14ac:dyDescent="0.3">
      <c r="A16" s="6">
        <f t="shared" si="0"/>
        <v>15</v>
      </c>
      <c r="B16" s="5">
        <v>44201</v>
      </c>
      <c r="C16" s="6" t="s">
        <v>29</v>
      </c>
      <c r="D16">
        <v>3.75</v>
      </c>
      <c r="E16">
        <v>1714</v>
      </c>
      <c r="F16">
        <v>456</v>
      </c>
      <c r="G16">
        <v>444</v>
      </c>
      <c r="H16">
        <v>481</v>
      </c>
      <c r="I16">
        <v>420</v>
      </c>
      <c r="J16">
        <v>113</v>
      </c>
      <c r="K16" s="6" t="s">
        <v>174</v>
      </c>
      <c r="L16" s="6" t="s">
        <v>312</v>
      </c>
      <c r="M16">
        <v>158</v>
      </c>
      <c r="N16" s="6"/>
      <c r="O16" s="6">
        <v>30.133333333333333</v>
      </c>
    </row>
    <row r="17" spans="1:15" x14ac:dyDescent="0.3">
      <c r="A17" s="6">
        <f t="shared" si="0"/>
        <v>16</v>
      </c>
      <c r="B17" s="5">
        <v>44208</v>
      </c>
      <c r="C17" s="6" t="s">
        <v>29</v>
      </c>
      <c r="D17">
        <v>4.01</v>
      </c>
      <c r="E17">
        <v>1740</v>
      </c>
      <c r="F17">
        <v>433</v>
      </c>
      <c r="G17">
        <v>420</v>
      </c>
      <c r="H17">
        <v>451</v>
      </c>
      <c r="I17">
        <v>424</v>
      </c>
      <c r="J17">
        <v>113</v>
      </c>
      <c r="K17" s="6" t="s">
        <v>174</v>
      </c>
      <c r="L17" s="6" t="s">
        <v>319</v>
      </c>
      <c r="M17">
        <v>165</v>
      </c>
      <c r="N17" s="6"/>
      <c r="O17" s="6">
        <v>28.179551122194511</v>
      </c>
    </row>
    <row r="18" spans="1:15" x14ac:dyDescent="0.3">
      <c r="A18" s="6">
        <f t="shared" si="0"/>
        <v>17</v>
      </c>
      <c r="B18" s="5">
        <v>44215</v>
      </c>
      <c r="C18" s="6" t="s">
        <v>29</v>
      </c>
      <c r="D18">
        <v>3.71</v>
      </c>
      <c r="E18">
        <v>1522</v>
      </c>
      <c r="F18">
        <v>409</v>
      </c>
      <c r="G18">
        <v>404</v>
      </c>
      <c r="H18">
        <v>420</v>
      </c>
      <c r="I18">
        <v>399</v>
      </c>
      <c r="J18">
        <v>112</v>
      </c>
      <c r="K18" s="6" t="s">
        <v>174</v>
      </c>
      <c r="L18" s="6" t="s">
        <v>328</v>
      </c>
      <c r="M18">
        <v>172</v>
      </c>
      <c r="N18" s="6"/>
      <c r="O18" s="6">
        <v>30.188679245283019</v>
      </c>
    </row>
    <row r="19" spans="1:15" x14ac:dyDescent="0.3">
      <c r="A19" s="6">
        <f t="shared" si="0"/>
        <v>18</v>
      </c>
      <c r="B19" s="5">
        <v>44222</v>
      </c>
      <c r="C19" s="6" t="s">
        <v>29</v>
      </c>
      <c r="D19">
        <v>3.7</v>
      </c>
      <c r="E19">
        <v>1552</v>
      </c>
      <c r="F19">
        <v>419</v>
      </c>
      <c r="G19">
        <v>434</v>
      </c>
      <c r="H19">
        <v>430</v>
      </c>
      <c r="I19">
        <v>406</v>
      </c>
      <c r="J19">
        <v>125</v>
      </c>
      <c r="K19" s="6" t="s">
        <v>174</v>
      </c>
      <c r="L19" s="6" t="s">
        <v>335</v>
      </c>
      <c r="M19">
        <v>179</v>
      </c>
      <c r="N19" s="6"/>
      <c r="O19" s="6">
        <v>33.783783783783782</v>
      </c>
    </row>
    <row r="20" spans="1:15" x14ac:dyDescent="0.3">
      <c r="A20" s="6">
        <f t="shared" si="0"/>
        <v>19</v>
      </c>
      <c r="B20" s="5">
        <v>44229</v>
      </c>
      <c r="C20" s="6" t="s">
        <v>29</v>
      </c>
      <c r="D20">
        <v>3.68</v>
      </c>
      <c r="E20">
        <v>1742</v>
      </c>
      <c r="F20">
        <v>473</v>
      </c>
      <c r="G20">
        <v>469</v>
      </c>
      <c r="H20">
        <v>556</v>
      </c>
      <c r="I20">
        <v>434</v>
      </c>
      <c r="J20">
        <v>113</v>
      </c>
      <c r="K20" s="6" t="s">
        <v>174</v>
      </c>
      <c r="L20" s="6" t="s">
        <v>342</v>
      </c>
      <c r="M20">
        <v>186</v>
      </c>
      <c r="N20" s="6"/>
      <c r="O20" s="6">
        <v>30.706521739130434</v>
      </c>
    </row>
    <row r="21" spans="1:15" x14ac:dyDescent="0.3">
      <c r="A21" s="6">
        <f t="shared" si="0"/>
        <v>20</v>
      </c>
      <c r="B21" s="5">
        <v>44236</v>
      </c>
      <c r="C21" s="6" t="s">
        <v>29</v>
      </c>
      <c r="D21">
        <v>3.72</v>
      </c>
      <c r="E21">
        <v>1739</v>
      </c>
      <c r="F21">
        <v>467</v>
      </c>
      <c r="G21">
        <v>471</v>
      </c>
      <c r="H21">
        <v>475</v>
      </c>
      <c r="I21">
        <v>469</v>
      </c>
      <c r="J21">
        <v>102</v>
      </c>
      <c r="K21" s="6" t="s">
        <v>174</v>
      </c>
      <c r="L21" s="6" t="s">
        <v>350</v>
      </c>
      <c r="M21">
        <v>193</v>
      </c>
      <c r="N21" s="6"/>
      <c r="O21" s="6">
        <v>27.419354838709676</v>
      </c>
    </row>
    <row r="22" spans="1:15" x14ac:dyDescent="0.3">
      <c r="A22" s="6">
        <f t="shared" si="0"/>
        <v>21</v>
      </c>
      <c r="B22" s="5">
        <v>44243</v>
      </c>
      <c r="C22" s="6" t="s">
        <v>29</v>
      </c>
      <c r="D22">
        <v>3.73</v>
      </c>
      <c r="E22">
        <v>1639</v>
      </c>
      <c r="F22">
        <v>439</v>
      </c>
      <c r="G22">
        <v>446</v>
      </c>
      <c r="H22">
        <v>469</v>
      </c>
      <c r="I22">
        <v>422</v>
      </c>
      <c r="J22">
        <v>113</v>
      </c>
      <c r="K22" s="6" t="s">
        <v>174</v>
      </c>
      <c r="L22" s="6" t="s">
        <v>357</v>
      </c>
      <c r="M22">
        <v>200</v>
      </c>
      <c r="N22" s="6"/>
      <c r="O22" s="6">
        <v>30.294906166219839</v>
      </c>
    </row>
    <row r="23" spans="1:15" x14ac:dyDescent="0.3">
      <c r="A23" s="6">
        <f t="shared" si="0"/>
        <v>22</v>
      </c>
      <c r="B23" s="5">
        <v>44250</v>
      </c>
      <c r="C23" s="6" t="s">
        <v>29</v>
      </c>
      <c r="D23">
        <v>3.73</v>
      </c>
      <c r="E23">
        <v>1561</v>
      </c>
      <c r="F23">
        <v>418</v>
      </c>
      <c r="G23">
        <v>441</v>
      </c>
      <c r="H23">
        <v>437</v>
      </c>
      <c r="I23">
        <v>399</v>
      </c>
      <c r="J23">
        <v>113</v>
      </c>
      <c r="K23" s="6" t="s">
        <v>174</v>
      </c>
      <c r="L23" s="6" t="s">
        <v>365</v>
      </c>
      <c r="M23">
        <v>207</v>
      </c>
      <c r="N23" s="6"/>
      <c r="O23" s="6">
        <v>30.294906166219839</v>
      </c>
    </row>
    <row r="24" spans="1:15" x14ac:dyDescent="0.3">
      <c r="A24" s="6">
        <f t="shared" si="0"/>
        <v>23</v>
      </c>
      <c r="B24" s="5">
        <v>44257</v>
      </c>
      <c r="C24" s="6" t="s">
        <v>29</v>
      </c>
      <c r="D24">
        <v>4.05</v>
      </c>
      <c r="E24">
        <v>1761</v>
      </c>
      <c r="F24">
        <v>434</v>
      </c>
      <c r="G24">
        <v>448</v>
      </c>
      <c r="H24">
        <v>439</v>
      </c>
      <c r="I24">
        <v>416</v>
      </c>
      <c r="J24">
        <v>107</v>
      </c>
      <c r="K24" s="6" t="s">
        <v>174</v>
      </c>
      <c r="L24" s="6" t="s">
        <v>370</v>
      </c>
      <c r="M24">
        <v>214</v>
      </c>
      <c r="N24" s="6"/>
      <c r="O24" s="6">
        <v>26.419753086419753</v>
      </c>
    </row>
    <row r="25" spans="1:15" x14ac:dyDescent="0.3">
      <c r="A25" s="6">
        <f t="shared" si="0"/>
        <v>24</v>
      </c>
      <c r="B25" s="5">
        <v>44264</v>
      </c>
      <c r="C25" s="6" t="s">
        <v>29</v>
      </c>
      <c r="D25">
        <v>3.74</v>
      </c>
      <c r="E25">
        <v>1654</v>
      </c>
      <c r="F25">
        <v>441</v>
      </c>
      <c r="G25">
        <v>436</v>
      </c>
      <c r="H25">
        <v>462</v>
      </c>
      <c r="I25">
        <v>434</v>
      </c>
      <c r="J25">
        <v>112</v>
      </c>
      <c r="K25" s="6" t="s">
        <v>174</v>
      </c>
      <c r="L25" s="6" t="s">
        <v>382</v>
      </c>
      <c r="M25">
        <v>221</v>
      </c>
      <c r="N25" s="6"/>
      <c r="O25" s="6">
        <v>29.946524064171118</v>
      </c>
    </row>
    <row r="26" spans="1:15" x14ac:dyDescent="0.3">
      <c r="A26" s="6">
        <f t="shared" si="0"/>
        <v>25</v>
      </c>
      <c r="B26" s="5">
        <v>44271</v>
      </c>
      <c r="C26" s="6" t="s">
        <v>29</v>
      </c>
      <c r="D26">
        <v>3.12</v>
      </c>
      <c r="E26">
        <v>1532</v>
      </c>
      <c r="F26">
        <v>490</v>
      </c>
      <c r="G26">
        <v>511</v>
      </c>
      <c r="H26">
        <v>478</v>
      </c>
      <c r="I26">
        <v>467</v>
      </c>
      <c r="J26">
        <v>144</v>
      </c>
      <c r="K26" s="6" t="s">
        <v>30</v>
      </c>
      <c r="L26" s="6" t="s">
        <v>392</v>
      </c>
      <c r="M26">
        <v>228</v>
      </c>
      <c r="N26" s="6"/>
      <c r="O26" s="6">
        <v>46.153846153846153</v>
      </c>
    </row>
    <row r="27" spans="1:15" x14ac:dyDescent="0.3">
      <c r="A27" s="6">
        <f t="shared" si="0"/>
        <v>26</v>
      </c>
      <c r="B27" s="5">
        <v>44278</v>
      </c>
      <c r="C27" s="6" t="s">
        <v>29</v>
      </c>
      <c r="D27">
        <v>3.12</v>
      </c>
      <c r="E27">
        <v>1403</v>
      </c>
      <c r="F27">
        <v>449</v>
      </c>
      <c r="G27">
        <v>452</v>
      </c>
      <c r="H27">
        <v>444</v>
      </c>
      <c r="I27">
        <v>442</v>
      </c>
      <c r="J27">
        <v>68</v>
      </c>
      <c r="K27" s="6" t="s">
        <v>30</v>
      </c>
      <c r="L27" s="6" t="s">
        <v>406</v>
      </c>
      <c r="M27">
        <v>235</v>
      </c>
      <c r="N27" s="6"/>
      <c r="O27" s="6">
        <v>21.794871794871796</v>
      </c>
    </row>
    <row r="28" spans="1:15" x14ac:dyDescent="0.3">
      <c r="A28" s="6">
        <f t="shared" si="0"/>
        <v>27</v>
      </c>
      <c r="B28" s="5">
        <v>44285</v>
      </c>
      <c r="C28" s="6" t="s">
        <v>29</v>
      </c>
      <c r="D28">
        <v>3.11</v>
      </c>
      <c r="E28">
        <v>1455</v>
      </c>
      <c r="F28">
        <v>467</v>
      </c>
      <c r="G28">
        <v>452</v>
      </c>
      <c r="H28">
        <v>476</v>
      </c>
      <c r="I28">
        <v>464</v>
      </c>
      <c r="J28">
        <v>72</v>
      </c>
      <c r="K28" s="6" t="s">
        <v>30</v>
      </c>
      <c r="L28" s="6" t="s">
        <v>414</v>
      </c>
      <c r="M28">
        <v>242</v>
      </c>
      <c r="N28" s="6"/>
      <c r="O28" s="6">
        <v>23.15112540192926</v>
      </c>
    </row>
    <row r="29" spans="1:15" x14ac:dyDescent="0.3">
      <c r="A29" s="6">
        <f t="shared" si="0"/>
        <v>28</v>
      </c>
      <c r="B29" s="5">
        <v>44369</v>
      </c>
      <c r="C29" s="6" t="s">
        <v>29</v>
      </c>
      <c r="D29">
        <v>3.11</v>
      </c>
      <c r="E29">
        <v>1288</v>
      </c>
      <c r="F29">
        <v>413</v>
      </c>
      <c r="G29">
        <v>424</v>
      </c>
      <c r="H29">
        <v>426</v>
      </c>
      <c r="I29">
        <v>394</v>
      </c>
      <c r="J29">
        <v>68</v>
      </c>
      <c r="K29" s="6" t="s">
        <v>30</v>
      </c>
      <c r="L29" s="6" t="s">
        <v>538</v>
      </c>
      <c r="M29">
        <v>326</v>
      </c>
      <c r="N29" s="6"/>
      <c r="O29" s="6">
        <v>21.864951768488748</v>
      </c>
    </row>
    <row r="30" spans="1:15" x14ac:dyDescent="0.3">
      <c r="A30" s="6">
        <f t="shared" si="0"/>
        <v>29</v>
      </c>
      <c r="B30" s="5">
        <v>44376</v>
      </c>
      <c r="C30" s="6" t="s">
        <v>29</v>
      </c>
      <c r="D30">
        <v>3.12</v>
      </c>
      <c r="E30">
        <v>1824</v>
      </c>
      <c r="F30">
        <v>583</v>
      </c>
      <c r="G30">
        <v>591</v>
      </c>
      <c r="H30">
        <v>560</v>
      </c>
      <c r="I30">
        <v>605</v>
      </c>
      <c r="J30">
        <v>69</v>
      </c>
      <c r="K30" s="6" t="s">
        <v>30</v>
      </c>
      <c r="L30" s="6" t="s">
        <v>542</v>
      </c>
      <c r="M30">
        <v>333</v>
      </c>
      <c r="N30" s="6"/>
      <c r="O30" s="6">
        <v>22.115384615384613</v>
      </c>
    </row>
    <row r="31" spans="1:15" x14ac:dyDescent="0.3">
      <c r="A31" s="6">
        <f t="shared" si="0"/>
        <v>30</v>
      </c>
      <c r="B31" s="5">
        <v>44383</v>
      </c>
      <c r="C31" s="6" t="s">
        <v>29</v>
      </c>
      <c r="D31">
        <v>3.11</v>
      </c>
      <c r="E31">
        <v>1383</v>
      </c>
      <c r="F31">
        <v>445</v>
      </c>
      <c r="G31">
        <v>449</v>
      </c>
      <c r="H31">
        <v>437</v>
      </c>
      <c r="I31">
        <v>439</v>
      </c>
      <c r="J31">
        <v>121</v>
      </c>
      <c r="K31" s="6" t="s">
        <v>30</v>
      </c>
      <c r="L31" s="6" t="s">
        <v>550</v>
      </c>
      <c r="M31">
        <v>340</v>
      </c>
      <c r="N31" s="6"/>
      <c r="O31" s="6">
        <v>38.906752411575567</v>
      </c>
    </row>
    <row r="32" spans="1:15" x14ac:dyDescent="0.3">
      <c r="A32" s="6">
        <f t="shared" si="0"/>
        <v>31</v>
      </c>
      <c r="B32" s="5">
        <v>44390</v>
      </c>
      <c r="C32" s="6" t="s">
        <v>29</v>
      </c>
      <c r="D32">
        <v>3.11</v>
      </c>
      <c r="E32">
        <v>1845</v>
      </c>
      <c r="F32">
        <v>592</v>
      </c>
      <c r="G32">
        <v>611</v>
      </c>
      <c r="H32">
        <v>591</v>
      </c>
      <c r="I32">
        <v>593</v>
      </c>
      <c r="J32">
        <v>75</v>
      </c>
      <c r="K32" s="6" t="s">
        <v>30</v>
      </c>
      <c r="L32" s="6" t="s">
        <v>560</v>
      </c>
      <c r="M32">
        <v>347</v>
      </c>
      <c r="N32" s="6"/>
      <c r="O32" s="6">
        <v>24.115755627009648</v>
      </c>
    </row>
    <row r="33" spans="1:15" x14ac:dyDescent="0.3">
      <c r="A33" s="6">
        <f t="shared" si="0"/>
        <v>32</v>
      </c>
      <c r="B33" s="5">
        <v>44397</v>
      </c>
      <c r="C33" s="6" t="s">
        <v>29</v>
      </c>
      <c r="D33">
        <v>3.12</v>
      </c>
      <c r="E33">
        <v>1269</v>
      </c>
      <c r="F33">
        <v>407</v>
      </c>
      <c r="G33">
        <v>402</v>
      </c>
      <c r="H33">
        <v>414</v>
      </c>
      <c r="I33">
        <v>399</v>
      </c>
      <c r="J33">
        <v>68</v>
      </c>
      <c r="K33" s="6" t="s">
        <v>30</v>
      </c>
      <c r="L33" s="6" t="s">
        <v>567</v>
      </c>
      <c r="M33">
        <v>354</v>
      </c>
      <c r="N33" s="6"/>
      <c r="O33" s="6">
        <v>21.794871794871796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D2DA-76A2-411A-9974-9C3E0BCF2575}">
  <dimension ref="A1:O71"/>
  <sheetViews>
    <sheetView topLeftCell="A50" workbookViewId="0">
      <selection activeCell="C60" sqref="C60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17.21875" bestFit="1" customWidth="1"/>
    <col min="4" max="4" width="14.33203125" bestFit="1" customWidth="1"/>
    <col min="5" max="5" width="17.21875" bestFit="1" customWidth="1"/>
    <col min="6" max="6" width="18.21875" bestFit="1" customWidth="1"/>
    <col min="7" max="9" width="12.88671875" bestFit="1" customWidth="1"/>
    <col min="10" max="10" width="19" bestFit="1" customWidth="1"/>
    <col min="11" max="11" width="29.109375" bestFit="1" customWidth="1"/>
    <col min="12" max="12" width="42.33203125" bestFit="1" customWidth="1"/>
    <col min="13" max="13" width="10.5546875" customWidth="1"/>
    <col min="14" max="14" width="52.109375" bestFit="1" customWidth="1"/>
    <col min="15" max="15" width="24.6640625" bestFit="1" customWidth="1"/>
    <col min="16" max="16" width="18.44140625" bestFit="1" customWidth="1"/>
  </cols>
  <sheetData>
    <row r="1" spans="1:15" x14ac:dyDescent="0.3">
      <c r="A1" t="s">
        <v>122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19</v>
      </c>
      <c r="K1" t="s">
        <v>3</v>
      </c>
      <c r="L1" t="s">
        <v>7</v>
      </c>
      <c r="M1" t="s">
        <v>14</v>
      </c>
      <c r="N1" t="s">
        <v>13</v>
      </c>
      <c r="O1" t="s">
        <v>779</v>
      </c>
    </row>
    <row r="2" spans="1:15" x14ac:dyDescent="0.3">
      <c r="A2" s="6">
        <f t="shared" ref="A2:A33" si="0">ROW(A2)-1</f>
        <v>1</v>
      </c>
      <c r="B2" s="5">
        <v>44048</v>
      </c>
      <c r="C2" s="6" t="s">
        <v>33</v>
      </c>
      <c r="D2">
        <v>3.01</v>
      </c>
      <c r="E2">
        <v>1279</v>
      </c>
      <c r="F2">
        <v>424</v>
      </c>
      <c r="G2">
        <v>401</v>
      </c>
      <c r="H2">
        <v>441</v>
      </c>
      <c r="I2">
        <v>424</v>
      </c>
      <c r="J2">
        <v>60</v>
      </c>
      <c r="K2" s="6" t="s">
        <v>34</v>
      </c>
      <c r="L2" s="6" t="s">
        <v>35</v>
      </c>
      <c r="M2">
        <v>5</v>
      </c>
      <c r="N2" s="6"/>
      <c r="O2" s="6">
        <v>19.933554817275748</v>
      </c>
    </row>
    <row r="3" spans="1:15" x14ac:dyDescent="0.3">
      <c r="A3" s="6">
        <f t="shared" si="0"/>
        <v>2</v>
      </c>
      <c r="B3" s="5">
        <v>44055</v>
      </c>
      <c r="C3" s="6" t="s">
        <v>33</v>
      </c>
      <c r="D3">
        <v>3.11</v>
      </c>
      <c r="E3">
        <v>1385</v>
      </c>
      <c r="F3">
        <v>444</v>
      </c>
      <c r="G3">
        <v>416</v>
      </c>
      <c r="H3">
        <v>440</v>
      </c>
      <c r="I3">
        <v>476</v>
      </c>
      <c r="J3">
        <v>61</v>
      </c>
      <c r="K3" s="6" t="s">
        <v>34</v>
      </c>
      <c r="L3" s="6" t="s">
        <v>50</v>
      </c>
      <c r="M3">
        <v>12</v>
      </c>
      <c r="N3" s="6"/>
      <c r="O3" s="6">
        <v>19.614147909967848</v>
      </c>
    </row>
    <row r="4" spans="1:15" x14ac:dyDescent="0.3">
      <c r="A4" s="6">
        <f t="shared" si="0"/>
        <v>3</v>
      </c>
      <c r="B4" s="5">
        <v>44062</v>
      </c>
      <c r="C4" s="6" t="s">
        <v>33</v>
      </c>
      <c r="D4">
        <v>3.12</v>
      </c>
      <c r="E4">
        <v>1368</v>
      </c>
      <c r="F4">
        <v>438</v>
      </c>
      <c r="G4">
        <v>416</v>
      </c>
      <c r="H4">
        <v>436</v>
      </c>
      <c r="I4">
        <v>460</v>
      </c>
      <c r="J4">
        <v>61</v>
      </c>
      <c r="K4" s="6" t="s">
        <v>34</v>
      </c>
      <c r="L4" s="6" t="s">
        <v>60</v>
      </c>
      <c r="M4">
        <v>19</v>
      </c>
      <c r="N4" s="6"/>
      <c r="O4" s="6">
        <v>19.551282051282051</v>
      </c>
    </row>
    <row r="5" spans="1:15" x14ac:dyDescent="0.3">
      <c r="A5" s="6">
        <f t="shared" si="0"/>
        <v>4</v>
      </c>
      <c r="B5" s="5">
        <v>44069</v>
      </c>
      <c r="C5" s="6" t="s">
        <v>33</v>
      </c>
      <c r="D5">
        <v>3.13</v>
      </c>
      <c r="E5">
        <v>1372</v>
      </c>
      <c r="F5">
        <v>437</v>
      </c>
      <c r="G5">
        <v>419</v>
      </c>
      <c r="H5">
        <v>435</v>
      </c>
      <c r="I5">
        <v>456</v>
      </c>
      <c r="J5">
        <v>71</v>
      </c>
      <c r="K5" s="6" t="s">
        <v>34</v>
      </c>
      <c r="L5" s="6" t="s">
        <v>73</v>
      </c>
      <c r="M5">
        <v>26</v>
      </c>
      <c r="N5" s="6"/>
      <c r="O5" s="6">
        <v>22.683706070287545</v>
      </c>
    </row>
    <row r="6" spans="1:15" x14ac:dyDescent="0.3">
      <c r="A6" s="6">
        <f t="shared" si="0"/>
        <v>5</v>
      </c>
      <c r="B6" s="5">
        <v>44076</v>
      </c>
      <c r="C6" s="6" t="s">
        <v>33</v>
      </c>
      <c r="D6">
        <v>3.11</v>
      </c>
      <c r="E6">
        <v>1384</v>
      </c>
      <c r="F6">
        <v>444</v>
      </c>
      <c r="G6">
        <v>421</v>
      </c>
      <c r="H6">
        <v>439</v>
      </c>
      <c r="I6">
        <v>468</v>
      </c>
      <c r="J6">
        <v>60</v>
      </c>
      <c r="K6" s="6" t="s">
        <v>34</v>
      </c>
      <c r="L6" s="6" t="s">
        <v>82</v>
      </c>
      <c r="M6">
        <v>33</v>
      </c>
      <c r="N6" s="6"/>
      <c r="O6" s="6">
        <v>19.292604501607716</v>
      </c>
    </row>
    <row r="7" spans="1:15" x14ac:dyDescent="0.3">
      <c r="A7" s="6">
        <f t="shared" si="0"/>
        <v>6</v>
      </c>
      <c r="B7" s="5">
        <v>44083</v>
      </c>
      <c r="C7" s="6" t="s">
        <v>33</v>
      </c>
      <c r="D7">
        <v>3.11</v>
      </c>
      <c r="E7">
        <v>1325</v>
      </c>
      <c r="F7">
        <v>426</v>
      </c>
      <c r="G7">
        <v>395</v>
      </c>
      <c r="H7">
        <v>425</v>
      </c>
      <c r="I7">
        <v>447</v>
      </c>
      <c r="J7">
        <v>61</v>
      </c>
      <c r="K7" s="6" t="s">
        <v>34</v>
      </c>
      <c r="L7" s="6" t="s">
        <v>89</v>
      </c>
      <c r="M7">
        <v>40</v>
      </c>
      <c r="N7" s="6"/>
      <c r="O7" s="6">
        <v>19.614147909967848</v>
      </c>
    </row>
    <row r="8" spans="1:15" x14ac:dyDescent="0.3">
      <c r="A8" s="6">
        <f t="shared" si="0"/>
        <v>7</v>
      </c>
      <c r="B8" s="5">
        <v>44090</v>
      </c>
      <c r="C8" s="6" t="s">
        <v>33</v>
      </c>
      <c r="D8">
        <v>3.11</v>
      </c>
      <c r="E8">
        <v>1361</v>
      </c>
      <c r="F8">
        <v>437</v>
      </c>
      <c r="G8">
        <v>427</v>
      </c>
      <c r="H8">
        <v>435</v>
      </c>
      <c r="I8">
        <v>447</v>
      </c>
      <c r="J8">
        <v>67</v>
      </c>
      <c r="K8" s="6" t="s">
        <v>34</v>
      </c>
      <c r="L8" s="6" t="s">
        <v>100</v>
      </c>
      <c r="M8">
        <v>47</v>
      </c>
      <c r="N8" s="6"/>
      <c r="O8" s="6">
        <v>21.54340836012862</v>
      </c>
    </row>
    <row r="9" spans="1:15" x14ac:dyDescent="0.3">
      <c r="A9" s="6">
        <f t="shared" si="0"/>
        <v>8</v>
      </c>
      <c r="B9" s="5">
        <v>44097</v>
      </c>
      <c r="C9" s="6" t="s">
        <v>33</v>
      </c>
      <c r="D9">
        <v>3.11</v>
      </c>
      <c r="E9">
        <v>1319</v>
      </c>
      <c r="F9">
        <v>423</v>
      </c>
      <c r="G9">
        <v>422</v>
      </c>
      <c r="H9">
        <v>416</v>
      </c>
      <c r="I9">
        <v>428</v>
      </c>
      <c r="J9">
        <v>61</v>
      </c>
      <c r="K9" s="6" t="s">
        <v>34</v>
      </c>
      <c r="L9" s="6" t="s">
        <v>111</v>
      </c>
      <c r="M9">
        <v>54</v>
      </c>
      <c r="N9" s="6"/>
      <c r="O9" s="6">
        <v>19.614147909967848</v>
      </c>
    </row>
    <row r="10" spans="1:15" x14ac:dyDescent="0.3">
      <c r="A10" s="6">
        <f t="shared" si="0"/>
        <v>9</v>
      </c>
      <c r="B10" s="5">
        <v>44104</v>
      </c>
      <c r="C10" s="6" t="s">
        <v>33</v>
      </c>
      <c r="D10">
        <v>4.28</v>
      </c>
      <c r="E10">
        <v>1837</v>
      </c>
      <c r="F10">
        <v>429</v>
      </c>
      <c r="G10">
        <v>425</v>
      </c>
      <c r="H10">
        <v>432</v>
      </c>
      <c r="I10">
        <v>439</v>
      </c>
      <c r="J10">
        <v>188</v>
      </c>
      <c r="K10" s="6" t="s">
        <v>123</v>
      </c>
      <c r="L10" s="6" t="s">
        <v>124</v>
      </c>
      <c r="M10">
        <v>61</v>
      </c>
      <c r="N10" s="6"/>
      <c r="O10" s="6">
        <v>43.925233644859809</v>
      </c>
    </row>
    <row r="11" spans="1:15" x14ac:dyDescent="0.3">
      <c r="A11" s="6">
        <f t="shared" si="0"/>
        <v>10</v>
      </c>
      <c r="B11" s="5">
        <v>44111</v>
      </c>
      <c r="C11" s="6" t="s">
        <v>33</v>
      </c>
      <c r="D11">
        <v>4.1900000000000004</v>
      </c>
      <c r="E11">
        <v>1893</v>
      </c>
      <c r="F11">
        <v>451</v>
      </c>
      <c r="G11">
        <v>442</v>
      </c>
      <c r="H11">
        <v>450</v>
      </c>
      <c r="I11">
        <v>465</v>
      </c>
      <c r="J11">
        <v>179</v>
      </c>
      <c r="K11" s="6" t="s">
        <v>123</v>
      </c>
      <c r="L11" s="6" t="s">
        <v>162</v>
      </c>
      <c r="M11">
        <v>68</v>
      </c>
      <c r="N11" s="6"/>
      <c r="O11" s="6">
        <v>42.720763723150355</v>
      </c>
    </row>
    <row r="12" spans="1:15" x14ac:dyDescent="0.3">
      <c r="A12" s="6">
        <f t="shared" si="0"/>
        <v>11</v>
      </c>
      <c r="B12" s="5">
        <v>44118</v>
      </c>
      <c r="C12" s="6" t="s">
        <v>33</v>
      </c>
      <c r="D12">
        <v>4.1100000000000003</v>
      </c>
      <c r="E12">
        <v>1789</v>
      </c>
      <c r="F12">
        <v>435</v>
      </c>
      <c r="G12">
        <v>431</v>
      </c>
      <c r="H12">
        <v>451</v>
      </c>
      <c r="I12">
        <v>440</v>
      </c>
      <c r="J12">
        <v>179</v>
      </c>
      <c r="K12" s="6" t="s">
        <v>123</v>
      </c>
      <c r="L12" s="6" t="s">
        <v>175</v>
      </c>
      <c r="M12">
        <v>75</v>
      </c>
      <c r="N12" s="6" t="s">
        <v>176</v>
      </c>
      <c r="O12" s="6">
        <v>43.552311435523109</v>
      </c>
    </row>
    <row r="13" spans="1:15" x14ac:dyDescent="0.3">
      <c r="A13" s="6">
        <f t="shared" si="0"/>
        <v>12</v>
      </c>
      <c r="B13" s="5">
        <v>44125</v>
      </c>
      <c r="C13" s="6" t="s">
        <v>33</v>
      </c>
      <c r="D13">
        <v>4.22</v>
      </c>
      <c r="E13">
        <v>1859</v>
      </c>
      <c r="F13">
        <v>440</v>
      </c>
      <c r="G13">
        <v>418</v>
      </c>
      <c r="H13">
        <v>443</v>
      </c>
      <c r="I13">
        <v>460</v>
      </c>
      <c r="J13">
        <v>180</v>
      </c>
      <c r="K13" s="6" t="s">
        <v>123</v>
      </c>
      <c r="L13" s="6" t="s">
        <v>185</v>
      </c>
      <c r="M13">
        <v>82</v>
      </c>
      <c r="N13" s="6"/>
      <c r="O13" s="6">
        <v>42.654028436018962</v>
      </c>
    </row>
    <row r="14" spans="1:15" x14ac:dyDescent="0.3">
      <c r="A14" s="6">
        <f t="shared" si="0"/>
        <v>13</v>
      </c>
      <c r="B14" s="5">
        <v>44139</v>
      </c>
      <c r="C14" s="6" t="s">
        <v>33</v>
      </c>
      <c r="D14">
        <v>7.01</v>
      </c>
      <c r="E14">
        <v>3084</v>
      </c>
      <c r="F14">
        <v>439</v>
      </c>
      <c r="G14">
        <v>438</v>
      </c>
      <c r="H14">
        <v>444</v>
      </c>
      <c r="I14">
        <v>436</v>
      </c>
      <c r="J14">
        <v>276</v>
      </c>
      <c r="K14" s="6" t="s">
        <v>201</v>
      </c>
      <c r="L14" s="6" t="s">
        <v>200</v>
      </c>
      <c r="M14">
        <v>96</v>
      </c>
      <c r="N14" s="6"/>
      <c r="O14" s="6">
        <v>39.372325249643367</v>
      </c>
    </row>
    <row r="15" spans="1:15" x14ac:dyDescent="0.3">
      <c r="A15" s="6">
        <f t="shared" si="0"/>
        <v>14</v>
      </c>
      <c r="B15" s="5">
        <v>44153</v>
      </c>
      <c r="C15" s="6" t="s">
        <v>33</v>
      </c>
      <c r="D15">
        <v>7.02</v>
      </c>
      <c r="E15">
        <v>3206</v>
      </c>
      <c r="F15">
        <v>456</v>
      </c>
      <c r="G15">
        <v>404</v>
      </c>
      <c r="H15">
        <v>447</v>
      </c>
      <c r="I15">
        <v>471</v>
      </c>
      <c r="J15">
        <v>278</v>
      </c>
      <c r="K15" s="6" t="s">
        <v>201</v>
      </c>
      <c r="L15" s="6" t="s">
        <v>219</v>
      </c>
      <c r="M15">
        <v>110</v>
      </c>
      <c r="N15" s="6"/>
      <c r="O15" s="6">
        <v>39.6011396011396</v>
      </c>
    </row>
    <row r="16" spans="1:15" x14ac:dyDescent="0.3">
      <c r="A16" s="6">
        <f t="shared" si="0"/>
        <v>15</v>
      </c>
      <c r="B16" s="5">
        <v>44160</v>
      </c>
      <c r="C16" s="6" t="s">
        <v>33</v>
      </c>
      <c r="D16">
        <v>7.01</v>
      </c>
      <c r="E16">
        <v>3229</v>
      </c>
      <c r="F16">
        <v>460</v>
      </c>
      <c r="G16">
        <v>428</v>
      </c>
      <c r="H16">
        <v>470</v>
      </c>
      <c r="I16">
        <v>461</v>
      </c>
      <c r="J16">
        <v>277</v>
      </c>
      <c r="K16" s="6" t="s">
        <v>201</v>
      </c>
      <c r="L16" s="6" t="s">
        <v>229</v>
      </c>
      <c r="M16">
        <v>117</v>
      </c>
      <c r="N16" s="6"/>
      <c r="O16" s="6">
        <v>39.51497860199715</v>
      </c>
    </row>
    <row r="17" spans="1:15" x14ac:dyDescent="0.3">
      <c r="A17" s="6">
        <f t="shared" si="0"/>
        <v>16</v>
      </c>
      <c r="B17" s="5">
        <v>44167</v>
      </c>
      <c r="C17" s="6" t="s">
        <v>33</v>
      </c>
      <c r="D17">
        <v>4.26</v>
      </c>
      <c r="E17">
        <v>1928</v>
      </c>
      <c r="F17">
        <v>452</v>
      </c>
      <c r="G17">
        <v>414</v>
      </c>
      <c r="H17">
        <v>463</v>
      </c>
      <c r="I17">
        <v>468</v>
      </c>
      <c r="J17">
        <v>178</v>
      </c>
      <c r="K17" s="6" t="s">
        <v>123</v>
      </c>
      <c r="L17" s="6" t="s">
        <v>241</v>
      </c>
      <c r="M17">
        <v>124</v>
      </c>
      <c r="N17" s="6"/>
      <c r="O17" s="6">
        <v>41.784037558685448</v>
      </c>
    </row>
    <row r="18" spans="1:15" x14ac:dyDescent="0.3">
      <c r="A18" s="6">
        <f t="shared" si="0"/>
        <v>17</v>
      </c>
      <c r="B18" s="5">
        <v>44174</v>
      </c>
      <c r="C18" s="6" t="s">
        <v>33</v>
      </c>
      <c r="D18">
        <v>4.13</v>
      </c>
      <c r="E18">
        <v>1836</v>
      </c>
      <c r="F18">
        <v>444</v>
      </c>
      <c r="G18">
        <v>415</v>
      </c>
      <c r="H18">
        <v>457</v>
      </c>
      <c r="I18">
        <v>467</v>
      </c>
      <c r="J18">
        <v>178</v>
      </c>
      <c r="K18" s="6" t="s">
        <v>123</v>
      </c>
      <c r="L18" s="6" t="s">
        <v>256</v>
      </c>
      <c r="M18">
        <v>131</v>
      </c>
      <c r="N18" s="6"/>
      <c r="O18" s="6">
        <v>43.099273607748195</v>
      </c>
    </row>
    <row r="19" spans="1:15" x14ac:dyDescent="0.3">
      <c r="A19" s="6">
        <f t="shared" si="0"/>
        <v>18</v>
      </c>
      <c r="B19" s="5">
        <v>44181</v>
      </c>
      <c r="C19" s="6" t="s">
        <v>33</v>
      </c>
      <c r="D19">
        <v>4.26</v>
      </c>
      <c r="E19">
        <v>2073</v>
      </c>
      <c r="F19">
        <v>486</v>
      </c>
      <c r="G19">
        <v>506</v>
      </c>
      <c r="H19">
        <v>504</v>
      </c>
      <c r="I19">
        <v>478</v>
      </c>
      <c r="J19">
        <v>179</v>
      </c>
      <c r="K19" s="6" t="s">
        <v>123</v>
      </c>
      <c r="L19" s="6" t="s">
        <v>258</v>
      </c>
      <c r="M19">
        <v>138</v>
      </c>
      <c r="N19" s="6"/>
      <c r="O19" s="6">
        <v>42.018779342723008</v>
      </c>
    </row>
    <row r="20" spans="1:15" x14ac:dyDescent="0.3">
      <c r="A20" s="6">
        <f t="shared" si="0"/>
        <v>19</v>
      </c>
      <c r="B20" s="5">
        <v>44188</v>
      </c>
      <c r="C20" s="6" t="s">
        <v>33</v>
      </c>
      <c r="D20">
        <v>4.22</v>
      </c>
      <c r="E20">
        <v>1927</v>
      </c>
      <c r="F20">
        <v>456</v>
      </c>
      <c r="G20">
        <v>453</v>
      </c>
      <c r="H20">
        <v>465</v>
      </c>
      <c r="I20">
        <v>466</v>
      </c>
      <c r="J20">
        <v>178</v>
      </c>
      <c r="K20" s="6" t="s">
        <v>123</v>
      </c>
      <c r="L20" s="6" t="s">
        <v>267</v>
      </c>
      <c r="M20">
        <v>145</v>
      </c>
      <c r="N20" s="6"/>
      <c r="O20" s="6">
        <v>42.18009478672986</v>
      </c>
    </row>
    <row r="21" spans="1:15" x14ac:dyDescent="0.3">
      <c r="A21" s="6">
        <f t="shared" si="0"/>
        <v>20</v>
      </c>
      <c r="B21" s="5">
        <v>44195</v>
      </c>
      <c r="C21" s="6" t="s">
        <v>33</v>
      </c>
      <c r="D21">
        <v>6.02</v>
      </c>
      <c r="E21">
        <v>3383</v>
      </c>
      <c r="F21">
        <v>562</v>
      </c>
      <c r="G21">
        <v>541</v>
      </c>
      <c r="H21">
        <v>551</v>
      </c>
      <c r="I21">
        <v>547</v>
      </c>
      <c r="J21">
        <v>268</v>
      </c>
      <c r="K21" s="6" t="s">
        <v>123</v>
      </c>
      <c r="L21" s="6" t="s">
        <v>277</v>
      </c>
      <c r="M21">
        <v>152</v>
      </c>
      <c r="N21" s="6"/>
      <c r="O21" s="6">
        <v>44.518272425249165</v>
      </c>
    </row>
    <row r="22" spans="1:15" x14ac:dyDescent="0.3">
      <c r="A22" s="6">
        <f t="shared" si="0"/>
        <v>21</v>
      </c>
      <c r="B22" s="5">
        <v>44209</v>
      </c>
      <c r="C22" s="6" t="s">
        <v>33</v>
      </c>
      <c r="D22">
        <v>4.25</v>
      </c>
      <c r="E22">
        <v>1864</v>
      </c>
      <c r="F22">
        <v>438</v>
      </c>
      <c r="G22">
        <v>411</v>
      </c>
      <c r="H22">
        <v>458</v>
      </c>
      <c r="I22">
        <v>453</v>
      </c>
      <c r="J22">
        <v>178</v>
      </c>
      <c r="K22" s="6" t="s">
        <v>123</v>
      </c>
      <c r="L22" s="6" t="s">
        <v>320</v>
      </c>
      <c r="M22">
        <v>166</v>
      </c>
      <c r="N22" s="6"/>
      <c r="O22" s="6">
        <v>41.882352941176471</v>
      </c>
    </row>
    <row r="23" spans="1:15" x14ac:dyDescent="0.3">
      <c r="A23" s="6">
        <f t="shared" si="0"/>
        <v>22</v>
      </c>
      <c r="B23" s="5">
        <v>44216</v>
      </c>
      <c r="C23" s="6" t="s">
        <v>33</v>
      </c>
      <c r="D23">
        <v>4.22</v>
      </c>
      <c r="E23">
        <v>1904</v>
      </c>
      <c r="F23">
        <v>451</v>
      </c>
      <c r="G23">
        <v>460</v>
      </c>
      <c r="H23">
        <v>447</v>
      </c>
      <c r="I23">
        <v>448</v>
      </c>
      <c r="J23">
        <v>158</v>
      </c>
      <c r="K23" s="6" t="s">
        <v>123</v>
      </c>
      <c r="L23" s="6" t="s">
        <v>329</v>
      </c>
      <c r="M23">
        <v>173</v>
      </c>
      <c r="N23" s="6"/>
      <c r="O23" s="6">
        <v>37.440758293838861</v>
      </c>
    </row>
    <row r="24" spans="1:15" x14ac:dyDescent="0.3">
      <c r="A24" s="6">
        <f t="shared" si="0"/>
        <v>23</v>
      </c>
      <c r="B24" s="5">
        <v>44223</v>
      </c>
      <c r="C24" s="6" t="s">
        <v>33</v>
      </c>
      <c r="D24">
        <v>4.24</v>
      </c>
      <c r="E24">
        <v>1913</v>
      </c>
      <c r="F24">
        <v>451</v>
      </c>
      <c r="G24">
        <v>446</v>
      </c>
      <c r="H24">
        <v>462</v>
      </c>
      <c r="I24">
        <v>471</v>
      </c>
      <c r="J24">
        <v>178</v>
      </c>
      <c r="K24" s="6" t="s">
        <v>123</v>
      </c>
      <c r="L24" s="6" t="s">
        <v>338</v>
      </c>
      <c r="M24">
        <v>180</v>
      </c>
      <c r="N24" s="6"/>
      <c r="O24" s="6">
        <v>41.981132075471699</v>
      </c>
    </row>
    <row r="25" spans="1:15" x14ac:dyDescent="0.3">
      <c r="A25" s="6">
        <f t="shared" si="0"/>
        <v>24</v>
      </c>
      <c r="B25" s="5">
        <v>44230</v>
      </c>
      <c r="C25" s="6" t="s">
        <v>33</v>
      </c>
      <c r="D25">
        <v>4.21</v>
      </c>
      <c r="E25">
        <v>1980</v>
      </c>
      <c r="F25">
        <v>470</v>
      </c>
      <c r="G25">
        <v>461</v>
      </c>
      <c r="H25">
        <v>467</v>
      </c>
      <c r="I25">
        <v>492</v>
      </c>
      <c r="J25">
        <v>177</v>
      </c>
      <c r="K25" s="6" t="s">
        <v>123</v>
      </c>
      <c r="L25" s="6" t="s">
        <v>343</v>
      </c>
      <c r="M25">
        <v>187</v>
      </c>
      <c r="N25" s="6"/>
      <c r="O25" s="6">
        <v>42.042755344418055</v>
      </c>
    </row>
    <row r="26" spans="1:15" x14ac:dyDescent="0.3">
      <c r="A26" s="6">
        <f t="shared" si="0"/>
        <v>25</v>
      </c>
      <c r="B26" s="5">
        <v>44237</v>
      </c>
      <c r="C26" s="6" t="s">
        <v>33</v>
      </c>
      <c r="D26">
        <v>4.2300000000000004</v>
      </c>
      <c r="E26">
        <v>2100</v>
      </c>
      <c r="F26">
        <v>496</v>
      </c>
      <c r="G26">
        <v>443</v>
      </c>
      <c r="H26">
        <v>481</v>
      </c>
      <c r="I26">
        <v>533</v>
      </c>
      <c r="J26">
        <v>210</v>
      </c>
      <c r="K26" s="6" t="s">
        <v>123</v>
      </c>
      <c r="L26" s="6" t="s">
        <v>349</v>
      </c>
      <c r="M26">
        <v>194</v>
      </c>
      <c r="N26" s="6"/>
      <c r="O26" s="6">
        <v>49.645390070921984</v>
      </c>
    </row>
    <row r="27" spans="1:15" x14ac:dyDescent="0.3">
      <c r="A27" s="6">
        <f t="shared" si="0"/>
        <v>26</v>
      </c>
      <c r="B27" s="5">
        <v>44251</v>
      </c>
      <c r="C27" s="6" t="s">
        <v>33</v>
      </c>
      <c r="D27">
        <v>4.2</v>
      </c>
      <c r="E27">
        <v>2081</v>
      </c>
      <c r="F27">
        <v>495</v>
      </c>
      <c r="G27">
        <v>489</v>
      </c>
      <c r="H27">
        <v>490</v>
      </c>
      <c r="I27">
        <v>503</v>
      </c>
      <c r="J27">
        <v>178</v>
      </c>
      <c r="K27" s="6" t="s">
        <v>123</v>
      </c>
      <c r="L27" s="6" t="s">
        <v>367</v>
      </c>
      <c r="M27">
        <v>208</v>
      </c>
      <c r="N27" s="6"/>
      <c r="O27" s="6">
        <v>42.38095238095238</v>
      </c>
    </row>
    <row r="28" spans="1:15" x14ac:dyDescent="0.3">
      <c r="A28" s="6">
        <f t="shared" si="0"/>
        <v>27</v>
      </c>
      <c r="B28" s="5">
        <v>44258</v>
      </c>
      <c r="C28" s="6" t="s">
        <v>33</v>
      </c>
      <c r="D28">
        <v>7.01</v>
      </c>
      <c r="E28">
        <v>3600</v>
      </c>
      <c r="F28">
        <v>513</v>
      </c>
      <c r="G28">
        <v>546</v>
      </c>
      <c r="H28">
        <v>558</v>
      </c>
      <c r="I28">
        <v>485</v>
      </c>
      <c r="J28">
        <v>282</v>
      </c>
      <c r="K28" s="6" t="s">
        <v>201</v>
      </c>
      <c r="L28" s="6" t="s">
        <v>373</v>
      </c>
      <c r="M28">
        <v>215</v>
      </c>
      <c r="N28" s="6"/>
      <c r="O28" s="6">
        <v>40.22824536376605</v>
      </c>
    </row>
    <row r="29" spans="1:15" x14ac:dyDescent="0.3">
      <c r="A29" s="6">
        <f t="shared" si="0"/>
        <v>28</v>
      </c>
      <c r="B29" s="5">
        <v>44265</v>
      </c>
      <c r="C29" s="6" t="s">
        <v>33</v>
      </c>
      <c r="D29">
        <v>6.55</v>
      </c>
      <c r="E29">
        <v>3511</v>
      </c>
      <c r="F29">
        <v>536</v>
      </c>
      <c r="G29">
        <v>513</v>
      </c>
      <c r="H29">
        <v>579</v>
      </c>
      <c r="I29">
        <v>603</v>
      </c>
      <c r="J29">
        <v>264</v>
      </c>
      <c r="K29" s="6" t="s">
        <v>201</v>
      </c>
      <c r="L29" s="6" t="s">
        <v>383</v>
      </c>
      <c r="M29">
        <v>222</v>
      </c>
      <c r="N29" s="6"/>
      <c r="O29" s="6">
        <v>40.305343511450381</v>
      </c>
    </row>
    <row r="30" spans="1:15" x14ac:dyDescent="0.3">
      <c r="A30" s="6">
        <f t="shared" si="0"/>
        <v>29</v>
      </c>
      <c r="B30" s="5">
        <v>44279</v>
      </c>
      <c r="C30" s="6" t="s">
        <v>33</v>
      </c>
      <c r="D30">
        <v>3.12</v>
      </c>
      <c r="E30">
        <v>1676</v>
      </c>
      <c r="F30">
        <v>537</v>
      </c>
      <c r="G30">
        <v>524</v>
      </c>
      <c r="H30">
        <v>543</v>
      </c>
      <c r="I30">
        <v>533</v>
      </c>
      <c r="J30">
        <v>95</v>
      </c>
      <c r="K30" s="6" t="s">
        <v>34</v>
      </c>
      <c r="L30" s="6" t="s">
        <v>408</v>
      </c>
      <c r="M30">
        <v>236</v>
      </c>
      <c r="N30" s="6"/>
      <c r="O30" s="6">
        <v>30.448717948717949</v>
      </c>
    </row>
    <row r="31" spans="1:15" x14ac:dyDescent="0.3">
      <c r="A31" s="6">
        <f t="shared" si="0"/>
        <v>30</v>
      </c>
      <c r="B31" s="5">
        <v>44286</v>
      </c>
      <c r="C31" s="6" t="s">
        <v>33</v>
      </c>
      <c r="D31">
        <v>3.12</v>
      </c>
      <c r="E31">
        <v>1715</v>
      </c>
      <c r="F31">
        <v>550</v>
      </c>
      <c r="G31">
        <v>533</v>
      </c>
      <c r="H31">
        <v>538</v>
      </c>
      <c r="I31">
        <v>568</v>
      </c>
      <c r="J31">
        <v>95</v>
      </c>
      <c r="K31" s="6" t="s">
        <v>34</v>
      </c>
      <c r="L31" s="6" t="s">
        <v>415</v>
      </c>
      <c r="M31">
        <v>243</v>
      </c>
      <c r="N31" s="6"/>
      <c r="O31" s="6">
        <v>30.448717948717949</v>
      </c>
    </row>
    <row r="32" spans="1:15" x14ac:dyDescent="0.3">
      <c r="A32" s="6">
        <f t="shared" si="0"/>
        <v>31</v>
      </c>
      <c r="B32" s="5">
        <v>44293</v>
      </c>
      <c r="C32" s="6" t="s">
        <v>33</v>
      </c>
      <c r="D32">
        <v>3.11</v>
      </c>
      <c r="E32">
        <v>1547</v>
      </c>
      <c r="F32">
        <v>496</v>
      </c>
      <c r="G32">
        <v>460</v>
      </c>
      <c r="H32">
        <v>501</v>
      </c>
      <c r="I32">
        <v>520</v>
      </c>
      <c r="J32">
        <v>75</v>
      </c>
      <c r="K32" s="6" t="s">
        <v>34</v>
      </c>
      <c r="L32" s="6" t="s">
        <v>428</v>
      </c>
      <c r="M32">
        <v>250</v>
      </c>
      <c r="N32" s="6"/>
      <c r="O32" s="6">
        <v>24.115755627009648</v>
      </c>
    </row>
    <row r="33" spans="1:15" x14ac:dyDescent="0.3">
      <c r="A33" s="6">
        <f t="shared" si="0"/>
        <v>32</v>
      </c>
      <c r="B33" s="5">
        <v>44300</v>
      </c>
      <c r="C33" s="6" t="s">
        <v>33</v>
      </c>
      <c r="D33">
        <v>3.13</v>
      </c>
      <c r="E33">
        <v>1470</v>
      </c>
      <c r="F33">
        <v>468</v>
      </c>
      <c r="G33">
        <v>451</v>
      </c>
      <c r="H33">
        <v>496</v>
      </c>
      <c r="I33">
        <v>462</v>
      </c>
      <c r="J33">
        <v>129</v>
      </c>
      <c r="K33" s="6" t="s">
        <v>435</v>
      </c>
      <c r="L33" s="6" t="s">
        <v>436</v>
      </c>
      <c r="M33">
        <v>257</v>
      </c>
      <c r="N33" s="6"/>
      <c r="O33" s="6">
        <v>41.214057507987221</v>
      </c>
    </row>
    <row r="34" spans="1:15" x14ac:dyDescent="0.3">
      <c r="A34" s="6">
        <f t="shared" ref="A34:A65" si="1">ROW(A34)-1</f>
        <v>33</v>
      </c>
      <c r="B34" s="5">
        <v>44307</v>
      </c>
      <c r="C34" s="6" t="s">
        <v>33</v>
      </c>
      <c r="D34">
        <v>3.12</v>
      </c>
      <c r="E34">
        <v>1476</v>
      </c>
      <c r="F34">
        <v>472</v>
      </c>
      <c r="G34">
        <v>460</v>
      </c>
      <c r="H34">
        <v>465</v>
      </c>
      <c r="I34">
        <v>491</v>
      </c>
      <c r="J34">
        <v>110</v>
      </c>
      <c r="K34" s="6" t="s">
        <v>34</v>
      </c>
      <c r="L34" s="6" t="s">
        <v>443</v>
      </c>
      <c r="M34">
        <v>264</v>
      </c>
      <c r="N34" s="6"/>
      <c r="O34" s="6">
        <v>35.256410256410255</v>
      </c>
    </row>
    <row r="35" spans="1:15" x14ac:dyDescent="0.3">
      <c r="A35" s="6">
        <f t="shared" si="1"/>
        <v>34</v>
      </c>
      <c r="B35" s="5">
        <v>44314</v>
      </c>
      <c r="C35" s="6" t="s">
        <v>33</v>
      </c>
      <c r="D35">
        <v>3.11</v>
      </c>
      <c r="E35">
        <v>1661</v>
      </c>
      <c r="F35">
        <v>533</v>
      </c>
      <c r="G35">
        <v>526</v>
      </c>
      <c r="H35">
        <v>539</v>
      </c>
      <c r="I35">
        <v>547</v>
      </c>
      <c r="J35">
        <v>66</v>
      </c>
      <c r="K35" s="6" t="s">
        <v>34</v>
      </c>
      <c r="L35" s="6" t="s">
        <v>456</v>
      </c>
      <c r="M35">
        <v>271</v>
      </c>
      <c r="N35" s="6"/>
      <c r="O35" s="6">
        <v>21.221864951768488</v>
      </c>
    </row>
    <row r="36" spans="1:15" x14ac:dyDescent="0.3">
      <c r="A36" s="6">
        <f t="shared" si="1"/>
        <v>35</v>
      </c>
      <c r="B36" s="5">
        <v>44321</v>
      </c>
      <c r="C36" s="6" t="s">
        <v>33</v>
      </c>
      <c r="D36">
        <v>3.12</v>
      </c>
      <c r="E36">
        <v>1377</v>
      </c>
      <c r="F36">
        <v>441</v>
      </c>
      <c r="G36">
        <v>424</v>
      </c>
      <c r="H36">
        <v>440</v>
      </c>
      <c r="I36">
        <v>454</v>
      </c>
      <c r="J36">
        <v>66</v>
      </c>
      <c r="K36" s="6" t="s">
        <v>34</v>
      </c>
      <c r="L36" s="6" t="s">
        <v>471</v>
      </c>
      <c r="M36">
        <v>278</v>
      </c>
      <c r="N36" s="6"/>
      <c r="O36" s="6">
        <v>21.153846153846153</v>
      </c>
    </row>
    <row r="37" spans="1:15" x14ac:dyDescent="0.3">
      <c r="A37" s="6">
        <f t="shared" si="1"/>
        <v>36</v>
      </c>
      <c r="B37" s="5">
        <v>44328</v>
      </c>
      <c r="C37" s="6" t="s">
        <v>33</v>
      </c>
      <c r="D37">
        <v>3.12</v>
      </c>
      <c r="E37">
        <v>1391</v>
      </c>
      <c r="F37">
        <v>446</v>
      </c>
      <c r="G37">
        <v>417</v>
      </c>
      <c r="H37">
        <v>464</v>
      </c>
      <c r="I37">
        <v>462</v>
      </c>
      <c r="J37">
        <v>84</v>
      </c>
      <c r="K37" s="6" t="s">
        <v>34</v>
      </c>
      <c r="L37" s="6" t="s">
        <v>481</v>
      </c>
      <c r="M37">
        <v>285</v>
      </c>
      <c r="N37" s="6"/>
      <c r="O37" s="6">
        <v>26.923076923076923</v>
      </c>
    </row>
    <row r="38" spans="1:15" x14ac:dyDescent="0.3">
      <c r="A38" s="6">
        <f t="shared" si="1"/>
        <v>37</v>
      </c>
      <c r="B38" s="5">
        <v>44335</v>
      </c>
      <c r="C38" s="6" t="s">
        <v>33</v>
      </c>
      <c r="D38">
        <v>3.11</v>
      </c>
      <c r="E38">
        <v>1354</v>
      </c>
      <c r="F38">
        <v>434</v>
      </c>
      <c r="G38">
        <v>411</v>
      </c>
      <c r="H38">
        <v>432</v>
      </c>
      <c r="I38">
        <v>458</v>
      </c>
      <c r="J38">
        <v>65</v>
      </c>
      <c r="K38" s="6" t="s">
        <v>34</v>
      </c>
      <c r="L38" s="6" t="s">
        <v>490</v>
      </c>
      <c r="M38">
        <v>292</v>
      </c>
      <c r="N38" s="6"/>
      <c r="O38" s="6">
        <v>20.90032154340836</v>
      </c>
    </row>
    <row r="39" spans="1:15" x14ac:dyDescent="0.3">
      <c r="A39" s="6">
        <f t="shared" si="1"/>
        <v>38</v>
      </c>
      <c r="B39" s="5">
        <v>44342</v>
      </c>
      <c r="C39" s="6" t="s">
        <v>33</v>
      </c>
      <c r="D39">
        <v>3.12</v>
      </c>
      <c r="E39">
        <v>1388</v>
      </c>
      <c r="F39">
        <v>444</v>
      </c>
      <c r="G39">
        <v>438</v>
      </c>
      <c r="H39">
        <v>428</v>
      </c>
      <c r="I39">
        <v>465</v>
      </c>
      <c r="J39">
        <v>129</v>
      </c>
      <c r="K39" s="6" t="s">
        <v>435</v>
      </c>
      <c r="L39" s="6" t="s">
        <v>501</v>
      </c>
      <c r="M39">
        <v>299</v>
      </c>
      <c r="N39" s="6"/>
      <c r="O39" s="6">
        <v>41.346153846153847</v>
      </c>
    </row>
    <row r="40" spans="1:15" x14ac:dyDescent="0.3">
      <c r="A40" s="6">
        <f t="shared" si="1"/>
        <v>39</v>
      </c>
      <c r="B40" s="5">
        <v>44349</v>
      </c>
      <c r="C40" s="6" t="s">
        <v>33</v>
      </c>
      <c r="D40">
        <v>3.11</v>
      </c>
      <c r="E40">
        <v>1356</v>
      </c>
      <c r="F40">
        <v>435</v>
      </c>
      <c r="G40">
        <v>423</v>
      </c>
      <c r="H40">
        <v>451</v>
      </c>
      <c r="I40">
        <v>423</v>
      </c>
      <c r="J40">
        <v>66</v>
      </c>
      <c r="K40" s="6" t="s">
        <v>34</v>
      </c>
      <c r="L40" s="6" t="s">
        <v>509</v>
      </c>
      <c r="M40">
        <v>306</v>
      </c>
      <c r="N40" s="6"/>
      <c r="O40" s="6">
        <v>21.221864951768488</v>
      </c>
    </row>
    <row r="41" spans="1:15" x14ac:dyDescent="0.3">
      <c r="A41" s="6">
        <f t="shared" si="1"/>
        <v>40</v>
      </c>
      <c r="B41" s="5">
        <v>44356</v>
      </c>
      <c r="C41" s="6" t="s">
        <v>33</v>
      </c>
      <c r="D41">
        <v>3.11</v>
      </c>
      <c r="E41">
        <v>1473</v>
      </c>
      <c r="F41">
        <v>472</v>
      </c>
      <c r="G41">
        <v>503</v>
      </c>
      <c r="H41">
        <v>488</v>
      </c>
      <c r="I41">
        <v>424</v>
      </c>
      <c r="J41">
        <v>67</v>
      </c>
      <c r="K41" s="6" t="s">
        <v>34</v>
      </c>
      <c r="L41" s="6" t="s">
        <v>519</v>
      </c>
      <c r="M41">
        <v>313</v>
      </c>
      <c r="N41" s="6"/>
      <c r="O41" s="6">
        <v>21.54340836012862</v>
      </c>
    </row>
    <row r="42" spans="1:15" x14ac:dyDescent="0.3">
      <c r="A42" s="6">
        <f t="shared" si="1"/>
        <v>41</v>
      </c>
      <c r="B42" s="5">
        <v>44363</v>
      </c>
      <c r="C42" s="6" t="s">
        <v>33</v>
      </c>
      <c r="D42">
        <v>3.12</v>
      </c>
      <c r="E42">
        <v>1356</v>
      </c>
      <c r="F42">
        <v>434</v>
      </c>
      <c r="G42">
        <v>418</v>
      </c>
      <c r="H42">
        <v>448</v>
      </c>
      <c r="I42">
        <v>440</v>
      </c>
      <c r="J42">
        <v>66</v>
      </c>
      <c r="K42" s="6" t="s">
        <v>34</v>
      </c>
      <c r="L42" s="6" t="s">
        <v>531</v>
      </c>
      <c r="M42">
        <v>320</v>
      </c>
      <c r="N42" s="6"/>
      <c r="O42" s="6">
        <v>21.153846153846153</v>
      </c>
    </row>
    <row r="43" spans="1:15" x14ac:dyDescent="0.3">
      <c r="A43" s="6">
        <f t="shared" si="1"/>
        <v>42</v>
      </c>
      <c r="B43" s="5">
        <v>44373</v>
      </c>
      <c r="C43" s="6" t="s">
        <v>33</v>
      </c>
      <c r="D43">
        <v>5.57</v>
      </c>
      <c r="E43">
        <v>3394</v>
      </c>
      <c r="F43">
        <v>609</v>
      </c>
      <c r="G43">
        <v>618</v>
      </c>
      <c r="H43">
        <v>613</v>
      </c>
      <c r="I43">
        <v>630</v>
      </c>
      <c r="J43">
        <v>505</v>
      </c>
      <c r="K43" s="6" t="s">
        <v>94</v>
      </c>
      <c r="L43" s="6" t="s">
        <v>543</v>
      </c>
      <c r="M43">
        <v>330</v>
      </c>
      <c r="N43" s="6"/>
      <c r="O43" s="6">
        <v>90.664272890484739</v>
      </c>
    </row>
    <row r="44" spans="1:15" x14ac:dyDescent="0.3">
      <c r="A44" s="6">
        <f t="shared" si="1"/>
        <v>43</v>
      </c>
      <c r="B44" s="5">
        <v>44377</v>
      </c>
      <c r="C44" s="6" t="s">
        <v>33</v>
      </c>
      <c r="D44">
        <v>3.12</v>
      </c>
      <c r="E44">
        <v>1464</v>
      </c>
      <c r="F44">
        <v>468</v>
      </c>
      <c r="G44">
        <v>440</v>
      </c>
      <c r="H44">
        <v>490</v>
      </c>
      <c r="I44">
        <v>473</v>
      </c>
      <c r="J44">
        <v>65</v>
      </c>
      <c r="K44" s="6" t="s">
        <v>34</v>
      </c>
      <c r="L44" s="6" t="s">
        <v>546</v>
      </c>
      <c r="M44">
        <v>334</v>
      </c>
      <c r="N44" s="6"/>
      <c r="O44" s="6">
        <v>20.833333333333332</v>
      </c>
    </row>
    <row r="45" spans="1:15" x14ac:dyDescent="0.3">
      <c r="A45" s="6">
        <f t="shared" si="1"/>
        <v>44</v>
      </c>
      <c r="B45" s="5">
        <v>44384</v>
      </c>
      <c r="C45" s="6" t="s">
        <v>33</v>
      </c>
      <c r="D45">
        <v>3.11</v>
      </c>
      <c r="E45">
        <v>1386</v>
      </c>
      <c r="F45">
        <v>446</v>
      </c>
      <c r="G45">
        <v>434</v>
      </c>
      <c r="H45">
        <v>446</v>
      </c>
      <c r="I45">
        <v>463</v>
      </c>
      <c r="J45">
        <v>59</v>
      </c>
      <c r="K45" s="6" t="s">
        <v>34</v>
      </c>
      <c r="L45" s="6" t="s">
        <v>551</v>
      </c>
      <c r="M45">
        <v>341</v>
      </c>
      <c r="N45" s="6"/>
      <c r="O45" s="6">
        <v>18.971061093247588</v>
      </c>
    </row>
    <row r="46" spans="1:15" x14ac:dyDescent="0.3">
      <c r="A46" s="6">
        <f t="shared" si="1"/>
        <v>45</v>
      </c>
      <c r="B46" s="5">
        <v>44391</v>
      </c>
      <c r="C46" s="6" t="s">
        <v>33</v>
      </c>
      <c r="D46">
        <v>4.21</v>
      </c>
      <c r="E46">
        <v>1860</v>
      </c>
      <c r="F46">
        <v>441</v>
      </c>
      <c r="G46">
        <v>439</v>
      </c>
      <c r="H46">
        <v>453</v>
      </c>
      <c r="I46">
        <v>454</v>
      </c>
      <c r="J46">
        <v>177</v>
      </c>
      <c r="K46" s="6" t="s">
        <v>123</v>
      </c>
      <c r="L46" s="6" t="s">
        <v>561</v>
      </c>
      <c r="M46">
        <v>348</v>
      </c>
      <c r="N46" s="6"/>
      <c r="O46" s="6">
        <v>42.042755344418055</v>
      </c>
    </row>
    <row r="47" spans="1:15" x14ac:dyDescent="0.3">
      <c r="A47" s="6">
        <f t="shared" si="1"/>
        <v>46</v>
      </c>
      <c r="B47" s="5">
        <v>44398</v>
      </c>
      <c r="C47" s="6" t="s">
        <v>33</v>
      </c>
      <c r="D47">
        <v>3.14</v>
      </c>
      <c r="E47">
        <v>1410</v>
      </c>
      <c r="F47">
        <v>448</v>
      </c>
      <c r="G47">
        <v>434</v>
      </c>
      <c r="H47">
        <v>433</v>
      </c>
      <c r="I47">
        <v>486</v>
      </c>
      <c r="J47">
        <v>61</v>
      </c>
      <c r="K47" s="6" t="s">
        <v>34</v>
      </c>
      <c r="L47" s="6" t="s">
        <v>572</v>
      </c>
      <c r="M47">
        <v>355</v>
      </c>
      <c r="N47" s="6"/>
      <c r="O47" s="6">
        <v>19.426751592356688</v>
      </c>
    </row>
    <row r="48" spans="1:15" x14ac:dyDescent="0.3">
      <c r="A48" s="6">
        <f t="shared" si="1"/>
        <v>47</v>
      </c>
      <c r="B48" s="5">
        <v>44405</v>
      </c>
      <c r="C48" s="6" t="s">
        <v>33</v>
      </c>
      <c r="D48">
        <v>3.11</v>
      </c>
      <c r="E48">
        <v>1392</v>
      </c>
      <c r="F48">
        <v>447</v>
      </c>
      <c r="G48">
        <v>449</v>
      </c>
      <c r="H48">
        <v>472</v>
      </c>
      <c r="I48">
        <v>417</v>
      </c>
      <c r="J48">
        <v>66</v>
      </c>
      <c r="K48" s="6" t="s">
        <v>34</v>
      </c>
      <c r="L48" s="6" t="s">
        <v>568</v>
      </c>
      <c r="M48">
        <v>362</v>
      </c>
      <c r="N48" s="6"/>
      <c r="O48" s="6">
        <v>21.221864951768488</v>
      </c>
    </row>
    <row r="49" spans="1:15" x14ac:dyDescent="0.3">
      <c r="A49" s="6">
        <f t="shared" si="1"/>
        <v>48</v>
      </c>
      <c r="B49" s="5">
        <v>44412</v>
      </c>
      <c r="C49" s="6" t="s">
        <v>33</v>
      </c>
      <c r="D49">
        <v>3.12</v>
      </c>
      <c r="E49">
        <v>1300</v>
      </c>
      <c r="F49">
        <v>416</v>
      </c>
      <c r="G49">
        <v>422</v>
      </c>
      <c r="H49">
        <v>419</v>
      </c>
      <c r="I49">
        <v>415</v>
      </c>
      <c r="J49">
        <v>59</v>
      </c>
      <c r="K49" s="6" t="s">
        <v>34</v>
      </c>
      <c r="L49" s="6" t="s">
        <v>587</v>
      </c>
      <c r="M49">
        <v>369</v>
      </c>
      <c r="N49" s="6"/>
      <c r="O49" s="6">
        <v>18.910256410256409</v>
      </c>
    </row>
    <row r="50" spans="1:15" x14ac:dyDescent="0.3">
      <c r="A50" s="6">
        <f t="shared" si="1"/>
        <v>49</v>
      </c>
      <c r="B50" s="5">
        <v>44419</v>
      </c>
      <c r="C50" s="6" t="s">
        <v>33</v>
      </c>
      <c r="D50">
        <v>3.11</v>
      </c>
      <c r="E50">
        <v>1400</v>
      </c>
      <c r="F50">
        <v>449</v>
      </c>
      <c r="G50">
        <v>447</v>
      </c>
      <c r="H50">
        <v>454</v>
      </c>
      <c r="I50">
        <v>440</v>
      </c>
      <c r="J50">
        <v>157</v>
      </c>
      <c r="K50" s="6" t="s">
        <v>435</v>
      </c>
      <c r="L50" s="6" t="s">
        <v>599</v>
      </c>
      <c r="M50">
        <v>376</v>
      </c>
      <c r="N50" s="6"/>
      <c r="O50" s="6">
        <v>50.482315112540192</v>
      </c>
    </row>
    <row r="51" spans="1:15" x14ac:dyDescent="0.3">
      <c r="A51" s="6">
        <f t="shared" si="1"/>
        <v>50</v>
      </c>
      <c r="B51" s="5">
        <v>44426</v>
      </c>
      <c r="C51" s="6" t="s">
        <v>33</v>
      </c>
      <c r="D51">
        <v>3.13</v>
      </c>
      <c r="E51">
        <v>1372</v>
      </c>
      <c r="F51">
        <v>437</v>
      </c>
      <c r="G51">
        <v>433</v>
      </c>
      <c r="H51">
        <v>429</v>
      </c>
      <c r="I51">
        <v>464</v>
      </c>
      <c r="J51">
        <v>67</v>
      </c>
      <c r="K51" s="6" t="s">
        <v>34</v>
      </c>
      <c r="L51" s="6" t="s">
        <v>595</v>
      </c>
      <c r="M51">
        <v>383</v>
      </c>
      <c r="N51" s="6"/>
      <c r="O51" s="6">
        <v>21.40575079872205</v>
      </c>
    </row>
    <row r="52" spans="1:15" x14ac:dyDescent="0.3">
      <c r="A52" s="6">
        <f t="shared" si="1"/>
        <v>51</v>
      </c>
      <c r="B52" s="5">
        <v>44429</v>
      </c>
      <c r="C52" s="6" t="s">
        <v>33</v>
      </c>
      <c r="D52">
        <v>3.13</v>
      </c>
      <c r="E52">
        <v>1924</v>
      </c>
      <c r="F52">
        <v>613</v>
      </c>
      <c r="G52">
        <v>611</v>
      </c>
      <c r="H52">
        <v>600</v>
      </c>
      <c r="I52">
        <v>628</v>
      </c>
      <c r="J52">
        <v>92</v>
      </c>
      <c r="K52" s="6" t="s">
        <v>34</v>
      </c>
      <c r="L52" s="6" t="s">
        <v>610</v>
      </c>
      <c r="M52">
        <v>386</v>
      </c>
      <c r="N52" s="6"/>
      <c r="O52" s="6">
        <v>29.39297124600639</v>
      </c>
    </row>
    <row r="53" spans="1:15" x14ac:dyDescent="0.3">
      <c r="A53" s="6">
        <f t="shared" si="1"/>
        <v>52</v>
      </c>
      <c r="B53" s="5">
        <v>44433</v>
      </c>
      <c r="C53" s="6" t="s">
        <v>33</v>
      </c>
      <c r="D53">
        <v>3.12</v>
      </c>
      <c r="E53">
        <v>1353</v>
      </c>
      <c r="F53">
        <v>433</v>
      </c>
      <c r="G53">
        <v>440</v>
      </c>
      <c r="H53">
        <v>424</v>
      </c>
      <c r="I53">
        <v>449</v>
      </c>
      <c r="J53">
        <v>136</v>
      </c>
      <c r="K53" s="6" t="s">
        <v>34</v>
      </c>
      <c r="L53" s="6" t="s">
        <v>611</v>
      </c>
      <c r="M53">
        <v>390</v>
      </c>
      <c r="N53" s="6"/>
      <c r="O53" s="6">
        <v>43.589743589743591</v>
      </c>
    </row>
    <row r="54" spans="1:15" x14ac:dyDescent="0.3">
      <c r="A54" s="6">
        <f t="shared" si="1"/>
        <v>53</v>
      </c>
      <c r="B54" s="5">
        <v>44440</v>
      </c>
      <c r="C54" s="6" t="s">
        <v>33</v>
      </c>
      <c r="D54">
        <v>3.14</v>
      </c>
      <c r="E54">
        <v>1466</v>
      </c>
      <c r="F54">
        <v>466</v>
      </c>
      <c r="G54">
        <v>474</v>
      </c>
      <c r="H54">
        <v>487</v>
      </c>
      <c r="I54">
        <v>450</v>
      </c>
      <c r="J54">
        <v>59</v>
      </c>
      <c r="K54" s="6" t="s">
        <v>34</v>
      </c>
      <c r="L54" s="6" t="s">
        <v>621</v>
      </c>
      <c r="M54">
        <v>397</v>
      </c>
      <c r="N54" s="6"/>
      <c r="O54" s="6">
        <v>18.789808917197451</v>
      </c>
    </row>
    <row r="55" spans="1:15" x14ac:dyDescent="0.3">
      <c r="A55" s="6">
        <f t="shared" si="1"/>
        <v>54</v>
      </c>
      <c r="B55" s="5">
        <v>44447</v>
      </c>
      <c r="C55" s="6" t="s">
        <v>33</v>
      </c>
      <c r="D55">
        <v>3.12</v>
      </c>
      <c r="E55">
        <v>1359</v>
      </c>
      <c r="F55">
        <v>435</v>
      </c>
      <c r="G55">
        <v>461</v>
      </c>
      <c r="H55">
        <v>414</v>
      </c>
      <c r="I55">
        <v>426</v>
      </c>
      <c r="J55">
        <v>79</v>
      </c>
      <c r="K55" s="6" t="s">
        <v>34</v>
      </c>
      <c r="L55" s="6" t="s">
        <v>635</v>
      </c>
      <c r="M55">
        <v>404</v>
      </c>
      <c r="N55" s="6"/>
      <c r="O55" s="6">
        <v>25.320512820512821</v>
      </c>
    </row>
    <row r="56" spans="1:15" x14ac:dyDescent="0.3">
      <c r="A56" s="6">
        <f t="shared" si="1"/>
        <v>55</v>
      </c>
      <c r="B56" s="5">
        <v>44454</v>
      </c>
      <c r="C56" s="6" t="s">
        <v>33</v>
      </c>
      <c r="D56">
        <v>3.11</v>
      </c>
      <c r="E56">
        <v>1364</v>
      </c>
      <c r="F56">
        <v>438</v>
      </c>
      <c r="G56">
        <v>391</v>
      </c>
      <c r="H56">
        <v>465</v>
      </c>
      <c r="I56">
        <v>456</v>
      </c>
      <c r="J56">
        <v>59</v>
      </c>
      <c r="K56" s="6" t="s">
        <v>34</v>
      </c>
      <c r="L56" s="6" t="s">
        <v>646</v>
      </c>
      <c r="M56">
        <v>411</v>
      </c>
      <c r="N56" s="6" t="s">
        <v>644</v>
      </c>
      <c r="O56" s="6">
        <v>18.971061093247588</v>
      </c>
    </row>
    <row r="57" spans="1:15" x14ac:dyDescent="0.3">
      <c r="A57" s="6">
        <f t="shared" si="1"/>
        <v>56</v>
      </c>
      <c r="B57" s="5">
        <v>44461</v>
      </c>
      <c r="C57" s="6" t="s">
        <v>33</v>
      </c>
      <c r="D57">
        <v>3.13</v>
      </c>
      <c r="E57">
        <v>1739</v>
      </c>
      <c r="F57">
        <v>555</v>
      </c>
      <c r="G57">
        <v>549</v>
      </c>
      <c r="H57">
        <v>547</v>
      </c>
      <c r="I57">
        <v>569</v>
      </c>
      <c r="J57">
        <v>92</v>
      </c>
      <c r="K57" s="6" t="s">
        <v>34</v>
      </c>
      <c r="L57" s="6" t="s">
        <v>652</v>
      </c>
      <c r="M57">
        <v>418</v>
      </c>
      <c r="N57" s="6"/>
      <c r="O57" s="6">
        <v>29.39297124600639</v>
      </c>
    </row>
    <row r="58" spans="1:15" x14ac:dyDescent="0.3">
      <c r="A58" s="6">
        <f t="shared" si="1"/>
        <v>57</v>
      </c>
      <c r="B58" s="5">
        <v>44468</v>
      </c>
      <c r="C58" s="6" t="s">
        <v>33</v>
      </c>
      <c r="D58">
        <v>3.11</v>
      </c>
      <c r="E58">
        <v>1337</v>
      </c>
      <c r="F58">
        <v>430</v>
      </c>
      <c r="G58">
        <v>425</v>
      </c>
      <c r="H58">
        <v>431</v>
      </c>
      <c r="I58">
        <v>456</v>
      </c>
      <c r="J58">
        <v>66</v>
      </c>
      <c r="K58" s="6" t="s">
        <v>34</v>
      </c>
      <c r="L58" s="6" t="s">
        <v>657</v>
      </c>
      <c r="M58">
        <v>425</v>
      </c>
      <c r="N58" s="6"/>
      <c r="O58" s="6">
        <v>21.221864951768488</v>
      </c>
    </row>
    <row r="59" spans="1:15" x14ac:dyDescent="0.3">
      <c r="A59" s="6">
        <f t="shared" si="1"/>
        <v>58</v>
      </c>
      <c r="B59" s="5">
        <v>44475</v>
      </c>
      <c r="C59" s="6" t="s">
        <v>33</v>
      </c>
      <c r="D59">
        <v>3.11</v>
      </c>
      <c r="E59">
        <v>1412</v>
      </c>
      <c r="F59">
        <v>454</v>
      </c>
      <c r="G59">
        <v>425</v>
      </c>
      <c r="H59">
        <v>450</v>
      </c>
      <c r="I59">
        <v>497</v>
      </c>
      <c r="J59">
        <v>79</v>
      </c>
      <c r="K59" s="6" t="s">
        <v>34</v>
      </c>
      <c r="L59" s="6" t="s">
        <v>685</v>
      </c>
      <c r="M59">
        <v>432</v>
      </c>
      <c r="N59" s="6"/>
      <c r="O59" s="6">
        <v>25.40192926045016</v>
      </c>
    </row>
    <row r="60" spans="1:15" x14ac:dyDescent="0.3">
      <c r="A60" s="6">
        <f t="shared" si="1"/>
        <v>59</v>
      </c>
      <c r="B60" s="5">
        <v>44482</v>
      </c>
      <c r="C60" s="6" t="s">
        <v>33</v>
      </c>
      <c r="D60">
        <v>3.11</v>
      </c>
      <c r="E60">
        <v>1557</v>
      </c>
      <c r="F60">
        <v>501</v>
      </c>
      <c r="G60">
        <v>531</v>
      </c>
      <c r="H60">
        <v>498</v>
      </c>
      <c r="I60">
        <v>478</v>
      </c>
      <c r="J60">
        <v>68</v>
      </c>
      <c r="K60" s="6" t="s">
        <v>34</v>
      </c>
      <c r="L60" s="6" t="s">
        <v>673</v>
      </c>
      <c r="M60">
        <v>439</v>
      </c>
      <c r="N60" s="6"/>
      <c r="O60" s="6">
        <v>21.864951768488748</v>
      </c>
    </row>
    <row r="61" spans="1:15" x14ac:dyDescent="0.3">
      <c r="A61" s="6">
        <f t="shared" si="1"/>
        <v>60</v>
      </c>
      <c r="B61" s="5">
        <v>44489</v>
      </c>
      <c r="C61" s="6" t="s">
        <v>33</v>
      </c>
      <c r="D61">
        <v>3.11</v>
      </c>
      <c r="E61">
        <v>1274</v>
      </c>
      <c r="F61">
        <v>409</v>
      </c>
      <c r="G61">
        <v>391</v>
      </c>
      <c r="H61">
        <v>411</v>
      </c>
      <c r="I61">
        <v>428</v>
      </c>
      <c r="J61">
        <v>73</v>
      </c>
      <c r="K61" s="6" t="s">
        <v>435</v>
      </c>
      <c r="L61" s="6" t="s">
        <v>689</v>
      </c>
      <c r="M61">
        <v>446</v>
      </c>
      <c r="N61" s="6"/>
      <c r="O61" s="6">
        <v>23.472668810289392</v>
      </c>
    </row>
    <row r="62" spans="1:15" x14ac:dyDescent="0.3">
      <c r="A62" s="6">
        <f t="shared" si="1"/>
        <v>61</v>
      </c>
      <c r="B62" s="5">
        <v>44496</v>
      </c>
      <c r="C62" s="6" t="s">
        <v>33</v>
      </c>
      <c r="D62">
        <v>3.11</v>
      </c>
      <c r="E62">
        <v>1367</v>
      </c>
      <c r="F62">
        <v>440</v>
      </c>
      <c r="G62">
        <v>419</v>
      </c>
      <c r="H62">
        <v>419</v>
      </c>
      <c r="I62">
        <v>465</v>
      </c>
      <c r="J62">
        <v>104</v>
      </c>
      <c r="K62" s="6" t="s">
        <v>435</v>
      </c>
      <c r="L62" s="6" t="s">
        <v>697</v>
      </c>
      <c r="M62">
        <v>453</v>
      </c>
      <c r="N62" s="6"/>
      <c r="O62" s="6">
        <v>33.440514469453376</v>
      </c>
    </row>
    <row r="63" spans="1:15" x14ac:dyDescent="0.3">
      <c r="A63" s="6">
        <f t="shared" si="1"/>
        <v>62</v>
      </c>
      <c r="B63" s="5">
        <v>44503</v>
      </c>
      <c r="C63" s="6" t="s">
        <v>33</v>
      </c>
      <c r="D63">
        <v>4.26</v>
      </c>
      <c r="E63">
        <v>2022</v>
      </c>
      <c r="F63">
        <v>475</v>
      </c>
      <c r="G63">
        <v>503</v>
      </c>
      <c r="H63">
        <v>463</v>
      </c>
      <c r="I63">
        <v>472</v>
      </c>
      <c r="J63">
        <v>174</v>
      </c>
      <c r="K63" s="6" t="s">
        <v>123</v>
      </c>
      <c r="L63" s="6" t="s">
        <v>708</v>
      </c>
      <c r="M63">
        <v>460</v>
      </c>
      <c r="N63" s="6"/>
      <c r="O63" s="6">
        <v>40.845070422535215</v>
      </c>
    </row>
    <row r="64" spans="1:15" x14ac:dyDescent="0.3">
      <c r="A64" s="6">
        <f t="shared" si="1"/>
        <v>63</v>
      </c>
      <c r="B64" s="5">
        <v>44510</v>
      </c>
      <c r="C64" s="6" t="s">
        <v>33</v>
      </c>
      <c r="D64">
        <v>4.2699999999999996</v>
      </c>
      <c r="E64">
        <v>1982</v>
      </c>
      <c r="F64">
        <v>463</v>
      </c>
      <c r="G64">
        <v>490</v>
      </c>
      <c r="H64">
        <v>460</v>
      </c>
      <c r="I64">
        <v>452</v>
      </c>
      <c r="J64">
        <v>164</v>
      </c>
      <c r="K64" s="6" t="s">
        <v>123</v>
      </c>
      <c r="L64" s="6" t="s">
        <v>720</v>
      </c>
      <c r="M64">
        <v>467</v>
      </c>
      <c r="N64" s="6"/>
      <c r="O64" s="6">
        <v>38.407494145199067</v>
      </c>
    </row>
    <row r="65" spans="1:15" x14ac:dyDescent="0.3">
      <c r="A65" s="6">
        <f t="shared" si="1"/>
        <v>64</v>
      </c>
      <c r="B65" s="5">
        <v>44517</v>
      </c>
      <c r="C65" s="6" t="s">
        <v>33</v>
      </c>
      <c r="D65">
        <v>4.26</v>
      </c>
      <c r="E65">
        <v>1920</v>
      </c>
      <c r="F65">
        <v>450</v>
      </c>
      <c r="G65">
        <v>420</v>
      </c>
      <c r="H65">
        <v>466</v>
      </c>
      <c r="I65">
        <v>465</v>
      </c>
      <c r="J65">
        <v>179</v>
      </c>
      <c r="K65" s="6" t="s">
        <v>123</v>
      </c>
      <c r="L65" s="6" t="s">
        <v>724</v>
      </c>
      <c r="M65">
        <v>474</v>
      </c>
      <c r="N65" s="6"/>
      <c r="O65" s="6">
        <v>42.018779342723008</v>
      </c>
    </row>
    <row r="66" spans="1:15" x14ac:dyDescent="0.3">
      <c r="A66" s="6">
        <f t="shared" ref="A66:A71" si="2">ROW(A66)-1</f>
        <v>65</v>
      </c>
      <c r="B66" s="5">
        <v>44524</v>
      </c>
      <c r="C66" s="6" t="s">
        <v>33</v>
      </c>
      <c r="D66">
        <v>4.21</v>
      </c>
      <c r="E66">
        <v>1887</v>
      </c>
      <c r="F66">
        <v>448</v>
      </c>
      <c r="G66">
        <v>453</v>
      </c>
      <c r="H66">
        <v>464</v>
      </c>
      <c r="I66">
        <v>443</v>
      </c>
      <c r="J66">
        <v>181</v>
      </c>
      <c r="K66" s="6" t="s">
        <v>123</v>
      </c>
      <c r="L66" s="6" t="s">
        <v>738</v>
      </c>
      <c r="M66">
        <v>481</v>
      </c>
      <c r="N66" s="6"/>
      <c r="O66" s="6">
        <v>42.99287410926366</v>
      </c>
    </row>
    <row r="67" spans="1:15" x14ac:dyDescent="0.3">
      <c r="A67" s="6">
        <f t="shared" si="2"/>
        <v>66</v>
      </c>
      <c r="B67" s="5">
        <v>44531</v>
      </c>
      <c r="C67" s="6" t="s">
        <v>33</v>
      </c>
      <c r="D67">
        <v>3.12</v>
      </c>
      <c r="E67">
        <v>1373</v>
      </c>
      <c r="F67">
        <v>440</v>
      </c>
      <c r="G67">
        <v>410</v>
      </c>
      <c r="H67">
        <v>458</v>
      </c>
      <c r="I67">
        <v>447</v>
      </c>
      <c r="J67">
        <v>129</v>
      </c>
      <c r="K67" s="6" t="s">
        <v>435</v>
      </c>
      <c r="L67" s="6" t="s">
        <v>748</v>
      </c>
      <c r="M67">
        <v>488</v>
      </c>
      <c r="N67" s="6"/>
      <c r="O67" s="6">
        <v>41.346153846153847</v>
      </c>
    </row>
    <row r="68" spans="1:15" x14ac:dyDescent="0.3">
      <c r="A68" s="6">
        <f t="shared" si="2"/>
        <v>67</v>
      </c>
      <c r="B68" s="5">
        <v>44538</v>
      </c>
      <c r="C68" s="6" t="s">
        <v>33</v>
      </c>
      <c r="D68">
        <v>4.21</v>
      </c>
      <c r="E68">
        <v>1825</v>
      </c>
      <c r="F68">
        <v>434</v>
      </c>
      <c r="G68">
        <v>427</v>
      </c>
      <c r="H68">
        <v>438</v>
      </c>
      <c r="I68">
        <v>455</v>
      </c>
      <c r="J68">
        <v>180</v>
      </c>
      <c r="K68" s="6" t="s">
        <v>123</v>
      </c>
      <c r="L68" s="6" t="s">
        <v>743</v>
      </c>
      <c r="M68">
        <v>495</v>
      </c>
      <c r="N68" s="6"/>
      <c r="O68" s="6">
        <v>42.75534441805226</v>
      </c>
    </row>
    <row r="69" spans="1:15" x14ac:dyDescent="0.3">
      <c r="A69" s="6">
        <f t="shared" si="2"/>
        <v>68</v>
      </c>
      <c r="B69" s="5">
        <v>44545</v>
      </c>
      <c r="C69" s="6" t="s">
        <v>33</v>
      </c>
      <c r="D69">
        <v>4.26</v>
      </c>
      <c r="E69">
        <v>2010</v>
      </c>
      <c r="F69">
        <v>472</v>
      </c>
      <c r="G69">
        <v>465</v>
      </c>
      <c r="H69">
        <v>470</v>
      </c>
      <c r="I69">
        <v>476</v>
      </c>
      <c r="J69">
        <v>180</v>
      </c>
      <c r="K69" s="6" t="s">
        <v>123</v>
      </c>
      <c r="L69" s="6" t="s">
        <v>760</v>
      </c>
      <c r="M69">
        <v>502</v>
      </c>
      <c r="N69" s="6"/>
      <c r="O69" s="6">
        <v>42.253521126760567</v>
      </c>
    </row>
    <row r="70" spans="1:15" x14ac:dyDescent="0.3">
      <c r="A70" s="6">
        <f t="shared" si="2"/>
        <v>69</v>
      </c>
      <c r="B70" s="5">
        <v>44552</v>
      </c>
      <c r="C70" s="6" t="s">
        <v>33</v>
      </c>
      <c r="D70">
        <v>4.18</v>
      </c>
      <c r="E70">
        <v>1964</v>
      </c>
      <c r="F70">
        <v>470</v>
      </c>
      <c r="G70">
        <v>433</v>
      </c>
      <c r="H70">
        <v>456</v>
      </c>
      <c r="I70">
        <v>487</v>
      </c>
      <c r="J70">
        <v>128</v>
      </c>
      <c r="K70" s="6" t="s">
        <v>123</v>
      </c>
      <c r="L70" s="6" t="s">
        <v>768</v>
      </c>
      <c r="M70">
        <v>509</v>
      </c>
      <c r="N70" s="6"/>
      <c r="O70" s="6">
        <v>30.62200956937799</v>
      </c>
    </row>
    <row r="71" spans="1:15" x14ac:dyDescent="0.3">
      <c r="A71" s="6">
        <f t="shared" si="2"/>
        <v>70</v>
      </c>
      <c r="B71" s="5">
        <v>44559</v>
      </c>
      <c r="C71" s="6" t="s">
        <v>33</v>
      </c>
      <c r="D71">
        <v>3.12</v>
      </c>
      <c r="E71">
        <v>1424</v>
      </c>
      <c r="F71">
        <v>456</v>
      </c>
      <c r="G71">
        <v>463</v>
      </c>
      <c r="H71">
        <v>433</v>
      </c>
      <c r="I71">
        <v>468</v>
      </c>
      <c r="J71">
        <v>117</v>
      </c>
      <c r="K71" s="6" t="s">
        <v>435</v>
      </c>
      <c r="L71" s="6" t="s">
        <v>775</v>
      </c>
      <c r="M71">
        <v>516</v>
      </c>
      <c r="N71" s="6"/>
      <c r="O71" s="6">
        <v>37.5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1A59-F1D9-4B98-B7EB-EE20205E00E1}">
  <dimension ref="A1:N46"/>
  <sheetViews>
    <sheetView workbookViewId="0">
      <selection activeCell="E51" sqref="E51"/>
    </sheetView>
  </sheetViews>
  <sheetFormatPr defaultRowHeight="14.4" x14ac:dyDescent="0.3"/>
  <cols>
    <col min="1" max="1" width="10.5546875" bestFit="1" customWidth="1"/>
    <col min="2" max="2" width="22.6640625" bestFit="1" customWidth="1"/>
    <col min="3" max="3" width="14.33203125" bestFit="1" customWidth="1"/>
    <col min="4" max="4" width="17.21875" bestFit="1" customWidth="1"/>
    <col min="5" max="5" width="18.21875" bestFit="1" customWidth="1"/>
    <col min="6" max="8" width="12.88671875" bestFit="1" customWidth="1"/>
    <col min="9" max="9" width="19" bestFit="1" customWidth="1"/>
    <col min="10" max="10" width="25.21875" bestFit="1" customWidth="1"/>
    <col min="11" max="11" width="42.33203125" bestFit="1" customWidth="1"/>
    <col min="12" max="12" width="10.5546875" bestFit="1" customWidth="1"/>
    <col min="13" max="13" width="12.33203125" bestFit="1" customWidth="1"/>
    <col min="14" max="14" width="24.6640625" bestFit="1" customWidth="1"/>
    <col min="15" max="15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19</v>
      </c>
      <c r="J1" t="s">
        <v>3</v>
      </c>
      <c r="K1" t="s">
        <v>7</v>
      </c>
      <c r="L1" t="s">
        <v>14</v>
      </c>
      <c r="M1" t="s">
        <v>13</v>
      </c>
      <c r="N1" t="s">
        <v>779</v>
      </c>
    </row>
    <row r="2" spans="1:14" x14ac:dyDescent="0.3">
      <c r="A2" s="5">
        <v>44049</v>
      </c>
      <c r="B2" s="6" t="s">
        <v>37</v>
      </c>
      <c r="C2">
        <v>3.12</v>
      </c>
      <c r="D2">
        <v>1372</v>
      </c>
      <c r="E2">
        <v>440</v>
      </c>
      <c r="F2">
        <v>436</v>
      </c>
      <c r="G2">
        <v>440</v>
      </c>
      <c r="H2">
        <v>443</v>
      </c>
      <c r="I2">
        <v>71</v>
      </c>
      <c r="J2" s="6" t="s">
        <v>38</v>
      </c>
      <c r="K2" s="6" t="s">
        <v>40</v>
      </c>
      <c r="L2">
        <v>6</v>
      </c>
      <c r="M2" s="6"/>
      <c r="N2">
        <v>22.756410256410255</v>
      </c>
    </row>
    <row r="3" spans="1:14" x14ac:dyDescent="0.3">
      <c r="A3" s="5">
        <v>44056</v>
      </c>
      <c r="B3" s="6" t="s">
        <v>37</v>
      </c>
      <c r="C3">
        <v>3.01</v>
      </c>
      <c r="D3">
        <v>1270</v>
      </c>
      <c r="E3">
        <v>421</v>
      </c>
      <c r="F3">
        <v>434</v>
      </c>
      <c r="G3">
        <v>411</v>
      </c>
      <c r="H3">
        <v>418</v>
      </c>
      <c r="I3">
        <v>70</v>
      </c>
      <c r="J3" s="6" t="s">
        <v>38</v>
      </c>
      <c r="K3" s="6" t="s">
        <v>51</v>
      </c>
      <c r="L3">
        <v>13</v>
      </c>
      <c r="M3" s="6"/>
      <c r="N3">
        <v>23.255813953488374</v>
      </c>
    </row>
    <row r="4" spans="1:14" x14ac:dyDescent="0.3">
      <c r="A4" s="5">
        <v>44063</v>
      </c>
      <c r="B4" s="6" t="s">
        <v>37</v>
      </c>
      <c r="C4">
        <v>3.12</v>
      </c>
      <c r="D4">
        <v>1274</v>
      </c>
      <c r="E4">
        <v>408</v>
      </c>
      <c r="F4">
        <v>400</v>
      </c>
      <c r="G4">
        <v>402</v>
      </c>
      <c r="H4">
        <v>422</v>
      </c>
      <c r="I4">
        <v>71</v>
      </c>
      <c r="J4" s="6" t="s">
        <v>38</v>
      </c>
      <c r="K4" s="6" t="s">
        <v>61</v>
      </c>
      <c r="L4">
        <v>20</v>
      </c>
      <c r="M4" s="6" t="s">
        <v>115</v>
      </c>
      <c r="N4">
        <v>22.756410256410255</v>
      </c>
    </row>
    <row r="5" spans="1:14" x14ac:dyDescent="0.3">
      <c r="A5" s="5">
        <v>44070</v>
      </c>
      <c r="B5" s="6" t="s">
        <v>37</v>
      </c>
      <c r="C5">
        <v>3.12</v>
      </c>
      <c r="D5">
        <v>1370</v>
      </c>
      <c r="E5">
        <v>439</v>
      </c>
      <c r="F5">
        <v>425</v>
      </c>
      <c r="G5">
        <v>432</v>
      </c>
      <c r="H5">
        <v>454</v>
      </c>
      <c r="I5">
        <v>71</v>
      </c>
      <c r="J5" s="6" t="s">
        <v>38</v>
      </c>
      <c r="K5" s="6" t="s">
        <v>74</v>
      </c>
      <c r="L5">
        <v>27</v>
      </c>
      <c r="M5" s="6"/>
      <c r="N5">
        <v>22.756410256410255</v>
      </c>
    </row>
    <row r="6" spans="1:14" x14ac:dyDescent="0.3">
      <c r="A6" s="5">
        <v>44077</v>
      </c>
      <c r="B6" s="6" t="s">
        <v>37</v>
      </c>
      <c r="C6">
        <v>3.01</v>
      </c>
      <c r="D6">
        <v>1304</v>
      </c>
      <c r="E6">
        <v>433</v>
      </c>
      <c r="F6">
        <v>405</v>
      </c>
      <c r="G6">
        <v>433</v>
      </c>
      <c r="H6">
        <v>458</v>
      </c>
      <c r="I6">
        <v>71</v>
      </c>
      <c r="J6" s="6" t="s">
        <v>38</v>
      </c>
      <c r="K6" s="6" t="s">
        <v>83</v>
      </c>
      <c r="L6">
        <v>34</v>
      </c>
      <c r="M6" s="6"/>
      <c r="N6">
        <v>23.588039867109636</v>
      </c>
    </row>
    <row r="7" spans="1:14" x14ac:dyDescent="0.3">
      <c r="A7" s="5">
        <v>44084</v>
      </c>
      <c r="B7" s="6" t="s">
        <v>37</v>
      </c>
      <c r="C7">
        <v>3.11</v>
      </c>
      <c r="D7">
        <v>1286</v>
      </c>
      <c r="E7">
        <v>413</v>
      </c>
      <c r="F7">
        <v>407</v>
      </c>
      <c r="G7">
        <v>412</v>
      </c>
      <c r="H7">
        <v>416</v>
      </c>
      <c r="I7">
        <v>70</v>
      </c>
      <c r="J7" s="6" t="s">
        <v>38</v>
      </c>
      <c r="K7" s="6" t="s">
        <v>90</v>
      </c>
      <c r="L7">
        <v>41</v>
      </c>
      <c r="M7" s="6"/>
      <c r="N7">
        <v>22.508038585209004</v>
      </c>
    </row>
    <row r="8" spans="1:14" x14ac:dyDescent="0.3">
      <c r="A8" s="5">
        <v>44091</v>
      </c>
      <c r="B8" s="6" t="s">
        <v>37</v>
      </c>
      <c r="C8">
        <v>3.11</v>
      </c>
      <c r="D8">
        <v>1286</v>
      </c>
      <c r="E8">
        <v>413</v>
      </c>
      <c r="F8">
        <v>406</v>
      </c>
      <c r="G8">
        <v>416</v>
      </c>
      <c r="H8">
        <v>415</v>
      </c>
      <c r="I8">
        <v>71</v>
      </c>
      <c r="J8" s="6" t="s">
        <v>38</v>
      </c>
      <c r="K8" s="6" t="s">
        <v>101</v>
      </c>
      <c r="L8">
        <v>48</v>
      </c>
      <c r="M8" s="6"/>
      <c r="N8">
        <v>22.829581993569132</v>
      </c>
    </row>
    <row r="9" spans="1:14" x14ac:dyDescent="0.3">
      <c r="A9" s="5">
        <v>44098</v>
      </c>
      <c r="B9" s="6" t="s">
        <v>37</v>
      </c>
      <c r="C9">
        <v>3.11</v>
      </c>
      <c r="D9">
        <v>1254</v>
      </c>
      <c r="E9">
        <v>403</v>
      </c>
      <c r="F9">
        <v>415</v>
      </c>
      <c r="G9">
        <v>400</v>
      </c>
      <c r="H9">
        <v>392</v>
      </c>
      <c r="I9">
        <v>71</v>
      </c>
      <c r="J9" s="6" t="s">
        <v>38</v>
      </c>
      <c r="K9" s="6" t="s">
        <v>114</v>
      </c>
      <c r="L9">
        <v>55</v>
      </c>
      <c r="M9" s="6" t="s">
        <v>115</v>
      </c>
      <c r="N9">
        <v>22.829581993569132</v>
      </c>
    </row>
    <row r="10" spans="1:14" x14ac:dyDescent="0.3">
      <c r="A10" s="5">
        <v>44105</v>
      </c>
      <c r="B10" s="6" t="s">
        <v>37</v>
      </c>
      <c r="C10">
        <v>3.11</v>
      </c>
      <c r="D10">
        <v>1318</v>
      </c>
      <c r="E10">
        <v>423</v>
      </c>
      <c r="F10">
        <v>421</v>
      </c>
      <c r="G10">
        <v>424</v>
      </c>
      <c r="H10">
        <v>420</v>
      </c>
      <c r="I10">
        <v>72</v>
      </c>
      <c r="J10" s="6" t="s">
        <v>38</v>
      </c>
      <c r="K10" s="6" t="s">
        <v>130</v>
      </c>
      <c r="L10">
        <v>62</v>
      </c>
      <c r="M10" s="6"/>
      <c r="N10">
        <v>23.15112540192926</v>
      </c>
    </row>
    <row r="11" spans="1:14" x14ac:dyDescent="0.3">
      <c r="A11" s="5">
        <v>44112</v>
      </c>
      <c r="B11" s="6" t="s">
        <v>37</v>
      </c>
      <c r="C11">
        <v>4.01</v>
      </c>
      <c r="D11">
        <v>1844</v>
      </c>
      <c r="E11">
        <v>459</v>
      </c>
      <c r="F11">
        <v>453</v>
      </c>
      <c r="G11">
        <v>486</v>
      </c>
      <c r="H11">
        <v>460</v>
      </c>
      <c r="I11">
        <v>113</v>
      </c>
      <c r="J11" s="6" t="s">
        <v>163</v>
      </c>
      <c r="K11" s="6" t="s">
        <v>164</v>
      </c>
      <c r="L11">
        <v>69</v>
      </c>
      <c r="M11" s="6"/>
      <c r="N11">
        <v>28.179551122194511</v>
      </c>
    </row>
    <row r="12" spans="1:14" x14ac:dyDescent="0.3">
      <c r="A12" s="5">
        <v>44119</v>
      </c>
      <c r="B12" s="6" t="s">
        <v>37</v>
      </c>
      <c r="C12">
        <v>4.01</v>
      </c>
      <c r="D12">
        <v>1740</v>
      </c>
      <c r="E12">
        <v>435</v>
      </c>
      <c r="F12">
        <v>420</v>
      </c>
      <c r="G12">
        <v>451</v>
      </c>
      <c r="H12">
        <v>430</v>
      </c>
      <c r="I12">
        <v>113</v>
      </c>
      <c r="J12" s="6" t="s">
        <v>163</v>
      </c>
      <c r="K12" s="6" t="s">
        <v>177</v>
      </c>
      <c r="L12">
        <v>76</v>
      </c>
      <c r="M12" s="6"/>
      <c r="N12">
        <v>28.179551122194511</v>
      </c>
    </row>
    <row r="13" spans="1:14" x14ac:dyDescent="0.3">
      <c r="A13" s="5">
        <v>44126</v>
      </c>
      <c r="B13" s="6" t="s">
        <v>37</v>
      </c>
      <c r="C13">
        <v>4.0199999999999996</v>
      </c>
      <c r="D13">
        <v>1662</v>
      </c>
      <c r="E13">
        <v>413</v>
      </c>
      <c r="F13">
        <v>418</v>
      </c>
      <c r="G13">
        <v>426</v>
      </c>
      <c r="H13">
        <v>409</v>
      </c>
      <c r="I13">
        <v>115</v>
      </c>
      <c r="J13" s="6" t="s">
        <v>163</v>
      </c>
      <c r="K13" s="6" t="s">
        <v>186</v>
      </c>
      <c r="L13">
        <v>83</v>
      </c>
      <c r="M13" s="6"/>
      <c r="N13">
        <v>28.606965174129357</v>
      </c>
    </row>
    <row r="14" spans="1:14" x14ac:dyDescent="0.3">
      <c r="A14" s="5">
        <v>44133</v>
      </c>
      <c r="B14" s="6" t="s">
        <v>37</v>
      </c>
      <c r="C14">
        <v>4.0199999999999996</v>
      </c>
      <c r="D14">
        <v>1856</v>
      </c>
      <c r="E14">
        <v>461</v>
      </c>
      <c r="F14">
        <v>442</v>
      </c>
      <c r="G14">
        <v>495</v>
      </c>
      <c r="H14">
        <v>446</v>
      </c>
      <c r="I14">
        <v>111</v>
      </c>
      <c r="J14" s="6" t="s">
        <v>163</v>
      </c>
      <c r="K14" s="6" t="s">
        <v>195</v>
      </c>
      <c r="L14">
        <v>90</v>
      </c>
      <c r="M14" s="6"/>
      <c r="N14">
        <v>27.611940298507463</v>
      </c>
    </row>
    <row r="15" spans="1:14" x14ac:dyDescent="0.3">
      <c r="A15" s="5">
        <v>44140</v>
      </c>
      <c r="B15" s="6" t="s">
        <v>37</v>
      </c>
      <c r="C15">
        <v>8.01</v>
      </c>
      <c r="D15">
        <v>3600</v>
      </c>
      <c r="E15">
        <v>449</v>
      </c>
      <c r="F15">
        <v>464</v>
      </c>
      <c r="G15">
        <v>453</v>
      </c>
      <c r="H15">
        <v>462</v>
      </c>
      <c r="I15">
        <v>223</v>
      </c>
      <c r="J15" s="6" t="s">
        <v>163</v>
      </c>
      <c r="K15" s="6" t="s">
        <v>202</v>
      </c>
      <c r="L15">
        <v>97</v>
      </c>
      <c r="M15" s="6"/>
      <c r="N15">
        <v>27.840199750312109</v>
      </c>
    </row>
    <row r="16" spans="1:14" x14ac:dyDescent="0.3">
      <c r="A16" s="5">
        <v>44168</v>
      </c>
      <c r="B16" s="6" t="s">
        <v>37</v>
      </c>
      <c r="C16">
        <v>4.01</v>
      </c>
      <c r="D16">
        <v>1762</v>
      </c>
      <c r="E16">
        <v>438</v>
      </c>
      <c r="F16">
        <v>427</v>
      </c>
      <c r="G16">
        <v>448</v>
      </c>
      <c r="H16">
        <v>447</v>
      </c>
      <c r="I16">
        <v>111</v>
      </c>
      <c r="J16" s="6" t="s">
        <v>163</v>
      </c>
      <c r="K16" s="6" t="s">
        <v>242</v>
      </c>
      <c r="L16">
        <v>125</v>
      </c>
      <c r="M16" s="6"/>
      <c r="N16">
        <v>27.680798004987533</v>
      </c>
    </row>
    <row r="17" spans="1:14" x14ac:dyDescent="0.3">
      <c r="A17" s="5">
        <v>44175</v>
      </c>
      <c r="B17" s="6" t="s">
        <v>37</v>
      </c>
      <c r="C17">
        <v>8.01</v>
      </c>
      <c r="D17">
        <v>3676</v>
      </c>
      <c r="E17">
        <v>458</v>
      </c>
      <c r="F17">
        <v>465</v>
      </c>
      <c r="G17">
        <v>457</v>
      </c>
      <c r="H17">
        <v>452</v>
      </c>
      <c r="I17">
        <v>223</v>
      </c>
      <c r="J17" s="6" t="s">
        <v>163</v>
      </c>
      <c r="K17" s="6" t="s">
        <v>255</v>
      </c>
      <c r="L17">
        <v>132</v>
      </c>
      <c r="M17" s="6"/>
      <c r="N17">
        <v>27.840199750312109</v>
      </c>
    </row>
    <row r="18" spans="1:14" x14ac:dyDescent="0.3">
      <c r="A18" s="5">
        <v>44182</v>
      </c>
      <c r="B18" s="6" t="s">
        <v>37</v>
      </c>
      <c r="C18">
        <v>4.01</v>
      </c>
      <c r="D18">
        <v>1789</v>
      </c>
      <c r="E18">
        <v>445</v>
      </c>
      <c r="F18">
        <v>455</v>
      </c>
      <c r="G18">
        <v>455</v>
      </c>
      <c r="H18">
        <v>439</v>
      </c>
      <c r="I18">
        <v>111</v>
      </c>
      <c r="J18" s="6" t="s">
        <v>163</v>
      </c>
      <c r="K18" s="6" t="s">
        <v>259</v>
      </c>
      <c r="L18">
        <v>139</v>
      </c>
      <c r="M18" s="6"/>
      <c r="N18">
        <v>27.680798004987533</v>
      </c>
    </row>
    <row r="19" spans="1:14" x14ac:dyDescent="0.3">
      <c r="A19" s="5">
        <v>44210</v>
      </c>
      <c r="B19" s="6" t="s">
        <v>37</v>
      </c>
      <c r="C19">
        <v>4.0199999999999996</v>
      </c>
      <c r="D19">
        <v>1931</v>
      </c>
      <c r="E19">
        <v>480</v>
      </c>
      <c r="F19">
        <v>482</v>
      </c>
      <c r="G19">
        <v>511</v>
      </c>
      <c r="H19">
        <v>432</v>
      </c>
      <c r="I19">
        <v>108</v>
      </c>
      <c r="J19" s="6" t="s">
        <v>163</v>
      </c>
      <c r="K19" s="6" t="s">
        <v>321</v>
      </c>
      <c r="L19">
        <v>167</v>
      </c>
      <c r="M19" s="6"/>
      <c r="N19">
        <v>26.865671641791049</v>
      </c>
    </row>
    <row r="20" spans="1:14" x14ac:dyDescent="0.3">
      <c r="A20" s="5">
        <v>44217</v>
      </c>
      <c r="B20" s="6" t="s">
        <v>37</v>
      </c>
      <c r="C20">
        <v>4.01</v>
      </c>
      <c r="D20">
        <v>1887</v>
      </c>
      <c r="E20">
        <v>470</v>
      </c>
      <c r="F20">
        <v>453</v>
      </c>
      <c r="G20">
        <v>523</v>
      </c>
      <c r="H20">
        <v>435</v>
      </c>
      <c r="I20">
        <v>109</v>
      </c>
      <c r="J20" s="6" t="s">
        <v>163</v>
      </c>
      <c r="K20" s="6" t="s">
        <v>330</v>
      </c>
      <c r="L20">
        <v>174</v>
      </c>
      <c r="M20" s="6"/>
      <c r="N20">
        <v>27.182044887780549</v>
      </c>
    </row>
    <row r="21" spans="1:14" x14ac:dyDescent="0.3">
      <c r="A21" s="5">
        <v>44224</v>
      </c>
      <c r="B21" s="6" t="s">
        <v>37</v>
      </c>
      <c r="C21">
        <v>4.01</v>
      </c>
      <c r="D21">
        <v>1968</v>
      </c>
      <c r="E21">
        <v>490</v>
      </c>
      <c r="F21">
        <v>500</v>
      </c>
      <c r="G21">
        <v>539</v>
      </c>
      <c r="H21">
        <v>465</v>
      </c>
      <c r="I21">
        <v>111</v>
      </c>
      <c r="J21" s="6" t="s">
        <v>163</v>
      </c>
      <c r="K21" s="6" t="s">
        <v>337</v>
      </c>
      <c r="L21">
        <v>181</v>
      </c>
      <c r="M21" s="6"/>
      <c r="N21">
        <v>27.680798004987533</v>
      </c>
    </row>
    <row r="22" spans="1:14" x14ac:dyDescent="0.3">
      <c r="A22" s="5">
        <v>44231</v>
      </c>
      <c r="B22" s="6" t="s">
        <v>37</v>
      </c>
      <c r="C22">
        <v>4.0199999999999996</v>
      </c>
      <c r="D22">
        <v>1921</v>
      </c>
      <c r="E22">
        <v>478</v>
      </c>
      <c r="F22">
        <v>464</v>
      </c>
      <c r="G22">
        <v>523</v>
      </c>
      <c r="H22">
        <v>499</v>
      </c>
      <c r="I22">
        <v>109</v>
      </c>
      <c r="J22" s="6" t="s">
        <v>163</v>
      </c>
      <c r="K22" s="6" t="s">
        <v>344</v>
      </c>
      <c r="L22">
        <v>188</v>
      </c>
      <c r="M22" s="6"/>
      <c r="N22">
        <v>30.706521739130434</v>
      </c>
    </row>
    <row r="23" spans="1:14" x14ac:dyDescent="0.3">
      <c r="A23" s="5">
        <v>44238</v>
      </c>
      <c r="B23" s="6" t="s">
        <v>37</v>
      </c>
      <c r="C23">
        <v>4.03</v>
      </c>
      <c r="D23">
        <v>1896</v>
      </c>
      <c r="E23">
        <v>470</v>
      </c>
      <c r="F23">
        <v>502</v>
      </c>
      <c r="G23">
        <v>505</v>
      </c>
      <c r="H23">
        <v>440</v>
      </c>
      <c r="I23">
        <v>131</v>
      </c>
      <c r="J23" s="6" t="s">
        <v>163</v>
      </c>
      <c r="K23" s="6" t="s">
        <v>352</v>
      </c>
      <c r="L23">
        <v>195</v>
      </c>
      <c r="M23" s="6"/>
      <c r="N23">
        <v>32.506203473945405</v>
      </c>
    </row>
    <row r="24" spans="1:14" x14ac:dyDescent="0.3">
      <c r="A24" s="5">
        <v>44252</v>
      </c>
      <c r="B24" s="6" t="s">
        <v>37</v>
      </c>
      <c r="C24">
        <v>4.0199999999999996</v>
      </c>
      <c r="D24">
        <v>1756</v>
      </c>
      <c r="E24">
        <v>436</v>
      </c>
      <c r="F24">
        <v>459</v>
      </c>
      <c r="G24">
        <v>435</v>
      </c>
      <c r="H24">
        <v>422</v>
      </c>
      <c r="I24">
        <v>103</v>
      </c>
      <c r="J24" s="6" t="s">
        <v>163</v>
      </c>
      <c r="K24" s="6" t="s">
        <v>366</v>
      </c>
      <c r="L24">
        <v>209</v>
      </c>
      <c r="M24" s="6"/>
      <c r="N24">
        <v>25.621890547263689</v>
      </c>
    </row>
    <row r="25" spans="1:14" x14ac:dyDescent="0.3">
      <c r="A25" s="5">
        <v>44266</v>
      </c>
      <c r="B25" s="6" t="s">
        <v>37</v>
      </c>
      <c r="C25">
        <v>4.0199999999999996</v>
      </c>
      <c r="D25">
        <v>1911</v>
      </c>
      <c r="E25">
        <v>475</v>
      </c>
      <c r="F25">
        <v>469</v>
      </c>
      <c r="G25">
        <v>484</v>
      </c>
      <c r="H25">
        <v>485</v>
      </c>
      <c r="I25">
        <v>101</v>
      </c>
      <c r="J25" s="6" t="s">
        <v>163</v>
      </c>
      <c r="K25" s="6" t="s">
        <v>385</v>
      </c>
      <c r="L25">
        <v>223</v>
      </c>
      <c r="M25" s="6"/>
      <c r="N25">
        <v>25.124378109452739</v>
      </c>
    </row>
    <row r="26" spans="1:14" x14ac:dyDescent="0.3">
      <c r="A26" s="5">
        <v>44273</v>
      </c>
      <c r="B26" s="6" t="s">
        <v>37</v>
      </c>
      <c r="C26">
        <v>3.11</v>
      </c>
      <c r="D26">
        <v>1636</v>
      </c>
      <c r="E26">
        <v>525</v>
      </c>
      <c r="F26">
        <v>503</v>
      </c>
      <c r="G26">
        <v>533</v>
      </c>
      <c r="H26">
        <v>533</v>
      </c>
      <c r="I26">
        <v>89</v>
      </c>
      <c r="J26" s="6" t="s">
        <v>38</v>
      </c>
      <c r="K26" s="6" t="s">
        <v>394</v>
      </c>
      <c r="L26">
        <v>230</v>
      </c>
      <c r="M26" s="6" t="s">
        <v>431</v>
      </c>
      <c r="N26">
        <v>28.617363344051448</v>
      </c>
    </row>
    <row r="27" spans="1:14" x14ac:dyDescent="0.3">
      <c r="A27" s="5">
        <v>44280</v>
      </c>
      <c r="B27" s="6" t="s">
        <v>37</v>
      </c>
      <c r="C27">
        <v>3.13</v>
      </c>
      <c r="D27">
        <v>1467</v>
      </c>
      <c r="E27">
        <v>468</v>
      </c>
      <c r="F27">
        <v>500</v>
      </c>
      <c r="G27">
        <v>452</v>
      </c>
      <c r="H27">
        <v>440</v>
      </c>
      <c r="I27">
        <v>69</v>
      </c>
      <c r="J27" s="6" t="s">
        <v>38</v>
      </c>
      <c r="K27" s="6" t="s">
        <v>407</v>
      </c>
      <c r="L27">
        <v>237</v>
      </c>
      <c r="M27" s="6"/>
      <c r="N27">
        <v>22.04472843450479</v>
      </c>
    </row>
    <row r="28" spans="1:14" x14ac:dyDescent="0.3">
      <c r="A28" s="5">
        <v>44287</v>
      </c>
      <c r="B28" s="6" t="s">
        <v>37</v>
      </c>
      <c r="C28">
        <v>3.12</v>
      </c>
      <c r="D28">
        <v>1483</v>
      </c>
      <c r="E28">
        <v>475</v>
      </c>
      <c r="F28">
        <v>500</v>
      </c>
      <c r="G28">
        <v>461</v>
      </c>
      <c r="H28">
        <v>473</v>
      </c>
      <c r="I28">
        <v>72</v>
      </c>
      <c r="J28" s="6" t="s">
        <v>38</v>
      </c>
      <c r="K28" s="6" t="s">
        <v>416</v>
      </c>
      <c r="L28">
        <v>244</v>
      </c>
      <c r="M28" s="6"/>
      <c r="N28">
        <v>23.076923076923077</v>
      </c>
    </row>
    <row r="29" spans="1:14" x14ac:dyDescent="0.3">
      <c r="A29" s="5">
        <v>44294</v>
      </c>
      <c r="B29" s="6" t="s">
        <v>37</v>
      </c>
      <c r="C29">
        <v>3.12</v>
      </c>
      <c r="D29">
        <v>1532</v>
      </c>
      <c r="E29">
        <v>491</v>
      </c>
      <c r="F29">
        <v>486</v>
      </c>
      <c r="G29">
        <v>498</v>
      </c>
      <c r="H29">
        <v>488</v>
      </c>
      <c r="I29">
        <v>69</v>
      </c>
      <c r="J29" s="6" t="s">
        <v>38</v>
      </c>
      <c r="K29" s="6" t="s">
        <v>427</v>
      </c>
      <c r="L29">
        <v>251</v>
      </c>
      <c r="M29" s="6"/>
      <c r="N29">
        <v>22.115384615384613</v>
      </c>
    </row>
    <row r="30" spans="1:14" x14ac:dyDescent="0.3">
      <c r="A30" s="5">
        <v>44301</v>
      </c>
      <c r="B30" s="6" t="s">
        <v>37</v>
      </c>
      <c r="C30">
        <v>3.11</v>
      </c>
      <c r="D30">
        <v>1717</v>
      </c>
      <c r="E30">
        <v>550</v>
      </c>
      <c r="F30">
        <v>545</v>
      </c>
      <c r="G30">
        <v>555</v>
      </c>
      <c r="H30">
        <v>548</v>
      </c>
      <c r="I30">
        <v>56</v>
      </c>
      <c r="J30" s="6" t="s">
        <v>38</v>
      </c>
      <c r="K30" s="6" t="s">
        <v>437</v>
      </c>
      <c r="L30">
        <v>258</v>
      </c>
      <c r="M30" s="6"/>
      <c r="N30">
        <v>18.006430868167204</v>
      </c>
    </row>
    <row r="31" spans="1:14" x14ac:dyDescent="0.3">
      <c r="A31" s="5">
        <v>44308</v>
      </c>
      <c r="B31" s="6" t="s">
        <v>37</v>
      </c>
      <c r="C31">
        <v>3.12</v>
      </c>
      <c r="D31">
        <v>1535</v>
      </c>
      <c r="E31">
        <v>491</v>
      </c>
      <c r="F31">
        <v>487</v>
      </c>
      <c r="G31">
        <v>489</v>
      </c>
      <c r="H31">
        <v>493</v>
      </c>
      <c r="I31">
        <v>157</v>
      </c>
      <c r="J31" s="6" t="s">
        <v>38</v>
      </c>
      <c r="K31" s="6" t="s">
        <v>446</v>
      </c>
      <c r="L31">
        <v>265</v>
      </c>
      <c r="M31" s="6"/>
      <c r="N31">
        <v>50.320512820512818</v>
      </c>
    </row>
    <row r="32" spans="1:14" x14ac:dyDescent="0.3">
      <c r="A32" s="5">
        <v>44322</v>
      </c>
      <c r="B32" s="6" t="s">
        <v>37</v>
      </c>
      <c r="C32">
        <v>3.13</v>
      </c>
      <c r="D32">
        <v>1368</v>
      </c>
      <c r="E32">
        <v>437</v>
      </c>
      <c r="F32">
        <v>462</v>
      </c>
      <c r="G32">
        <v>434</v>
      </c>
      <c r="H32">
        <v>420</v>
      </c>
      <c r="I32">
        <v>63</v>
      </c>
      <c r="J32" s="6" t="s">
        <v>38</v>
      </c>
      <c r="K32" s="6" t="s">
        <v>473</v>
      </c>
      <c r="L32">
        <v>279</v>
      </c>
      <c r="M32" s="6"/>
      <c r="N32">
        <v>20.12779552715655</v>
      </c>
    </row>
    <row r="33" spans="1:14" x14ac:dyDescent="0.3">
      <c r="A33" s="5">
        <v>44329</v>
      </c>
      <c r="B33" s="6" t="s">
        <v>37</v>
      </c>
      <c r="C33">
        <v>3.11</v>
      </c>
      <c r="D33">
        <v>1718</v>
      </c>
      <c r="E33">
        <v>551</v>
      </c>
      <c r="F33">
        <v>575</v>
      </c>
      <c r="G33">
        <v>530</v>
      </c>
      <c r="H33">
        <v>554</v>
      </c>
      <c r="I33">
        <v>68</v>
      </c>
      <c r="J33" s="6" t="s">
        <v>38</v>
      </c>
      <c r="K33" s="6" t="s">
        <v>483</v>
      </c>
      <c r="L33">
        <v>286</v>
      </c>
      <c r="M33" s="6"/>
      <c r="N33">
        <v>21.864951768488748</v>
      </c>
    </row>
    <row r="34" spans="1:14" x14ac:dyDescent="0.3">
      <c r="A34" s="5">
        <v>44336</v>
      </c>
      <c r="B34" s="6" t="s">
        <v>37</v>
      </c>
      <c r="C34">
        <v>3.15</v>
      </c>
      <c r="D34">
        <v>1507</v>
      </c>
      <c r="E34">
        <v>477</v>
      </c>
      <c r="F34">
        <v>459</v>
      </c>
      <c r="G34">
        <v>457</v>
      </c>
      <c r="H34">
        <v>525</v>
      </c>
      <c r="I34">
        <v>70</v>
      </c>
      <c r="J34" s="6" t="s">
        <v>38</v>
      </c>
      <c r="K34" s="6" t="s">
        <v>491</v>
      </c>
      <c r="L34">
        <v>293</v>
      </c>
      <c r="M34" s="6"/>
      <c r="N34">
        <v>22.222222222222221</v>
      </c>
    </row>
    <row r="35" spans="1:14" x14ac:dyDescent="0.3">
      <c r="A35" s="5">
        <v>44343</v>
      </c>
      <c r="B35" s="6" t="s">
        <v>37</v>
      </c>
      <c r="C35">
        <v>3.13</v>
      </c>
      <c r="D35">
        <v>1441</v>
      </c>
      <c r="E35">
        <v>459</v>
      </c>
      <c r="F35">
        <v>495</v>
      </c>
      <c r="G35">
        <v>451</v>
      </c>
      <c r="H35">
        <v>435</v>
      </c>
      <c r="I35">
        <v>71</v>
      </c>
      <c r="J35" s="6" t="s">
        <v>38</v>
      </c>
      <c r="K35" s="6" t="s">
        <v>500</v>
      </c>
      <c r="L35">
        <v>300</v>
      </c>
      <c r="M35" s="6"/>
      <c r="N35">
        <v>22.683706070287545</v>
      </c>
    </row>
    <row r="36" spans="1:14" x14ac:dyDescent="0.3">
      <c r="A36" s="5">
        <v>44357</v>
      </c>
      <c r="B36" s="6" t="s">
        <v>37</v>
      </c>
      <c r="C36">
        <v>3.15</v>
      </c>
      <c r="D36">
        <v>1662</v>
      </c>
      <c r="E36">
        <v>528</v>
      </c>
      <c r="F36">
        <v>556</v>
      </c>
      <c r="G36">
        <v>505</v>
      </c>
      <c r="H36">
        <v>517</v>
      </c>
      <c r="I36">
        <v>69</v>
      </c>
      <c r="J36" s="6" t="s">
        <v>38</v>
      </c>
      <c r="K36" s="6" t="s">
        <v>520</v>
      </c>
      <c r="L36">
        <v>314</v>
      </c>
      <c r="M36" s="6"/>
      <c r="N36">
        <v>21.904761904761905</v>
      </c>
    </row>
    <row r="37" spans="1:14" x14ac:dyDescent="0.3">
      <c r="A37" s="5">
        <v>44364</v>
      </c>
      <c r="B37" s="6" t="s">
        <v>37</v>
      </c>
      <c r="C37">
        <v>3.11</v>
      </c>
      <c r="D37">
        <v>1426</v>
      </c>
      <c r="E37">
        <v>458</v>
      </c>
      <c r="F37">
        <v>467</v>
      </c>
      <c r="G37">
        <v>457</v>
      </c>
      <c r="H37">
        <v>443</v>
      </c>
      <c r="I37">
        <v>108</v>
      </c>
      <c r="J37" s="6" t="s">
        <v>38</v>
      </c>
      <c r="K37" s="6" t="s">
        <v>532</v>
      </c>
      <c r="L37">
        <v>321</v>
      </c>
      <c r="M37" s="6"/>
      <c r="N37">
        <v>34.726688102893895</v>
      </c>
    </row>
    <row r="38" spans="1:14" x14ac:dyDescent="0.3">
      <c r="A38" s="5">
        <v>44371</v>
      </c>
      <c r="B38" s="6" t="s">
        <v>37</v>
      </c>
      <c r="C38">
        <v>3.11</v>
      </c>
      <c r="D38">
        <v>1790</v>
      </c>
      <c r="E38">
        <v>574</v>
      </c>
      <c r="F38">
        <v>574</v>
      </c>
      <c r="G38">
        <v>589</v>
      </c>
      <c r="H38">
        <v>562</v>
      </c>
      <c r="I38">
        <v>68</v>
      </c>
      <c r="J38" s="6" t="s">
        <v>38</v>
      </c>
      <c r="K38" s="6" t="s">
        <v>539</v>
      </c>
      <c r="L38">
        <v>328</v>
      </c>
      <c r="M38" s="6"/>
      <c r="N38">
        <v>21.864951768488748</v>
      </c>
    </row>
    <row r="39" spans="1:14" x14ac:dyDescent="0.3">
      <c r="A39" s="5">
        <v>44378</v>
      </c>
      <c r="B39" s="6" t="s">
        <v>37</v>
      </c>
      <c r="C39">
        <v>3.12</v>
      </c>
      <c r="D39">
        <v>1805</v>
      </c>
      <c r="E39">
        <v>579</v>
      </c>
      <c r="F39">
        <v>583</v>
      </c>
      <c r="G39">
        <v>599</v>
      </c>
      <c r="H39">
        <v>560</v>
      </c>
      <c r="I39">
        <v>79</v>
      </c>
      <c r="J39" s="6" t="s">
        <v>38</v>
      </c>
      <c r="K39" s="6" t="s">
        <v>545</v>
      </c>
      <c r="L39">
        <v>335</v>
      </c>
      <c r="M39" s="6"/>
      <c r="N39">
        <v>25.320512820512821</v>
      </c>
    </row>
    <row r="40" spans="1:14" x14ac:dyDescent="0.3">
      <c r="A40" s="5">
        <v>44385</v>
      </c>
      <c r="B40" s="6" t="s">
        <v>37</v>
      </c>
      <c r="C40">
        <v>3.12</v>
      </c>
      <c r="D40">
        <v>1333</v>
      </c>
      <c r="E40">
        <v>427</v>
      </c>
      <c r="F40">
        <v>429</v>
      </c>
      <c r="G40">
        <v>449</v>
      </c>
      <c r="H40">
        <v>411</v>
      </c>
      <c r="I40">
        <v>68</v>
      </c>
      <c r="J40" s="6" t="s">
        <v>38</v>
      </c>
      <c r="K40" s="6" t="s">
        <v>555</v>
      </c>
      <c r="L40">
        <v>342</v>
      </c>
      <c r="M40" s="6"/>
      <c r="N40">
        <v>21.794871794871796</v>
      </c>
    </row>
    <row r="41" spans="1:14" x14ac:dyDescent="0.3">
      <c r="A41" s="5">
        <v>44392</v>
      </c>
      <c r="B41" s="6" t="s">
        <v>37</v>
      </c>
      <c r="C41">
        <v>3.11</v>
      </c>
      <c r="D41">
        <v>1525</v>
      </c>
      <c r="E41">
        <v>489</v>
      </c>
      <c r="F41">
        <v>495</v>
      </c>
      <c r="G41">
        <v>476</v>
      </c>
      <c r="H41">
        <v>484</v>
      </c>
      <c r="I41">
        <v>69</v>
      </c>
      <c r="J41" s="6" t="s">
        <v>38</v>
      </c>
      <c r="K41" s="6" t="s">
        <v>562</v>
      </c>
      <c r="L41">
        <v>349</v>
      </c>
      <c r="M41" s="6"/>
      <c r="N41">
        <v>22.186495176848876</v>
      </c>
    </row>
    <row r="42" spans="1:14" x14ac:dyDescent="0.3">
      <c r="A42" s="5">
        <v>44399</v>
      </c>
      <c r="B42" s="6" t="s">
        <v>37</v>
      </c>
      <c r="C42">
        <v>3.13</v>
      </c>
      <c r="D42">
        <v>1744</v>
      </c>
      <c r="E42">
        <v>557</v>
      </c>
      <c r="F42">
        <v>605</v>
      </c>
      <c r="G42">
        <v>544</v>
      </c>
      <c r="H42">
        <v>526</v>
      </c>
      <c r="I42">
        <v>79</v>
      </c>
      <c r="J42" s="6" t="s">
        <v>38</v>
      </c>
      <c r="K42" s="6" t="s">
        <v>577</v>
      </c>
      <c r="L42">
        <v>356</v>
      </c>
      <c r="M42" s="6"/>
      <c r="N42">
        <v>25.23961661341853</v>
      </c>
    </row>
    <row r="43" spans="1:14" x14ac:dyDescent="0.3">
      <c r="A43" s="5">
        <v>44406</v>
      </c>
      <c r="B43" s="6" t="s">
        <v>37</v>
      </c>
      <c r="C43">
        <v>3.13</v>
      </c>
      <c r="D43">
        <v>1734</v>
      </c>
      <c r="E43">
        <v>554</v>
      </c>
      <c r="F43">
        <v>671</v>
      </c>
      <c r="G43">
        <v>507</v>
      </c>
      <c r="H43">
        <v>502</v>
      </c>
      <c r="I43">
        <v>59</v>
      </c>
      <c r="J43" s="6" t="s">
        <v>38</v>
      </c>
      <c r="K43" s="6" t="s">
        <v>583</v>
      </c>
      <c r="L43">
        <v>363</v>
      </c>
      <c r="M43" s="6"/>
      <c r="N43">
        <v>18.849840255591054</v>
      </c>
    </row>
    <row r="44" spans="1:14" x14ac:dyDescent="0.3">
      <c r="A44" s="5">
        <v>44413</v>
      </c>
      <c r="B44" s="6" t="s">
        <v>37</v>
      </c>
      <c r="C44">
        <v>3.12</v>
      </c>
      <c r="D44">
        <v>1848</v>
      </c>
      <c r="E44">
        <v>591</v>
      </c>
      <c r="F44">
        <v>647</v>
      </c>
      <c r="G44">
        <v>585</v>
      </c>
      <c r="H44">
        <v>554</v>
      </c>
      <c r="I44">
        <v>92</v>
      </c>
      <c r="J44" s="6" t="s">
        <v>38</v>
      </c>
      <c r="K44" s="6" t="s">
        <v>590</v>
      </c>
      <c r="L44">
        <v>370</v>
      </c>
      <c r="M44" s="6"/>
      <c r="N44">
        <v>29.487179487179485</v>
      </c>
    </row>
    <row r="45" spans="1:14" x14ac:dyDescent="0.3">
      <c r="A45" s="5">
        <v>44448</v>
      </c>
      <c r="B45" s="6" t="s">
        <v>37</v>
      </c>
      <c r="C45">
        <v>3.12</v>
      </c>
      <c r="D45">
        <v>1610</v>
      </c>
      <c r="E45">
        <v>516</v>
      </c>
      <c r="F45">
        <v>519</v>
      </c>
      <c r="G45">
        <v>532</v>
      </c>
      <c r="H45">
        <v>491</v>
      </c>
      <c r="I45">
        <v>65</v>
      </c>
      <c r="J45" s="6" t="s">
        <v>38</v>
      </c>
      <c r="K45" s="6" t="s">
        <v>636</v>
      </c>
      <c r="L45">
        <v>405</v>
      </c>
      <c r="M45" s="6"/>
      <c r="N45">
        <v>20.833333333333332</v>
      </c>
    </row>
    <row r="46" spans="1:14" x14ac:dyDescent="0.3">
      <c r="A46" s="5">
        <v>44483</v>
      </c>
      <c r="B46" s="6" t="s">
        <v>37</v>
      </c>
      <c r="C46">
        <v>3.12</v>
      </c>
      <c r="D46">
        <v>1401</v>
      </c>
      <c r="E46">
        <v>449</v>
      </c>
      <c r="F46">
        <v>479</v>
      </c>
      <c r="G46">
        <v>446</v>
      </c>
      <c r="H46">
        <v>425</v>
      </c>
      <c r="I46">
        <v>83</v>
      </c>
      <c r="J46" s="6" t="s">
        <v>163</v>
      </c>
      <c r="K46" s="6" t="s">
        <v>672</v>
      </c>
      <c r="L46">
        <v>440</v>
      </c>
      <c r="M46" s="6"/>
      <c r="N46">
        <v>26.602564102564106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D452-2B9A-47F9-935E-44FFCB758457}">
  <dimension ref="A1:N43"/>
  <sheetViews>
    <sheetView topLeftCell="A19" workbookViewId="0">
      <selection activeCell="B47" sqref="B47"/>
    </sheetView>
  </sheetViews>
  <sheetFormatPr defaultRowHeight="14.4" x14ac:dyDescent="0.3"/>
  <cols>
    <col min="1" max="1" width="10.5546875" bestFit="1" customWidth="1"/>
    <col min="2" max="2" width="28.21875" bestFit="1" customWidth="1"/>
    <col min="3" max="3" width="14.33203125" bestFit="1" customWidth="1"/>
    <col min="4" max="4" width="17.21875" bestFit="1" customWidth="1"/>
    <col min="5" max="5" width="18.21875" bestFit="1" customWidth="1"/>
    <col min="6" max="8" width="12.88671875" bestFit="1" customWidth="1"/>
    <col min="9" max="9" width="19" bestFit="1" customWidth="1"/>
    <col min="10" max="10" width="31.88671875" bestFit="1" customWidth="1"/>
    <col min="11" max="11" width="42.33203125" bestFit="1" customWidth="1"/>
    <col min="12" max="12" width="10.5546875" bestFit="1" customWidth="1"/>
    <col min="13" max="13" width="50.77734375" bestFit="1" customWidth="1"/>
    <col min="14" max="14" width="24.6640625" bestFit="1" customWidth="1"/>
    <col min="15" max="15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19</v>
      </c>
      <c r="J1" t="s">
        <v>3</v>
      </c>
      <c r="K1" t="s">
        <v>7</v>
      </c>
      <c r="L1" t="s">
        <v>14</v>
      </c>
      <c r="M1" t="s">
        <v>13</v>
      </c>
      <c r="N1" t="s">
        <v>779</v>
      </c>
    </row>
    <row r="2" spans="1:14" x14ac:dyDescent="0.3">
      <c r="A2" s="5">
        <v>44044</v>
      </c>
      <c r="B2" s="6" t="s">
        <v>9</v>
      </c>
      <c r="C2">
        <v>5.22</v>
      </c>
      <c r="D2">
        <v>2586</v>
      </c>
      <c r="E2">
        <v>495</v>
      </c>
      <c r="F2">
        <v>502</v>
      </c>
      <c r="G2">
        <v>471</v>
      </c>
      <c r="H2">
        <v>492</v>
      </c>
      <c r="I2">
        <v>48</v>
      </c>
      <c r="J2" s="6" t="s">
        <v>12</v>
      </c>
      <c r="K2" s="6" t="s">
        <v>8</v>
      </c>
      <c r="L2">
        <v>1</v>
      </c>
      <c r="M2" s="6"/>
      <c r="N2">
        <v>9.1954022988505759</v>
      </c>
    </row>
    <row r="3" spans="1:14" x14ac:dyDescent="0.3">
      <c r="A3" s="5">
        <v>44051</v>
      </c>
      <c r="B3" s="6" t="s">
        <v>9</v>
      </c>
      <c r="C3">
        <v>5.21</v>
      </c>
      <c r="D3">
        <v>2795</v>
      </c>
      <c r="E3">
        <v>536</v>
      </c>
      <c r="F3">
        <v>492</v>
      </c>
      <c r="G3">
        <v>521</v>
      </c>
      <c r="H3">
        <v>551</v>
      </c>
      <c r="I3">
        <v>204</v>
      </c>
      <c r="J3" s="6" t="s">
        <v>45</v>
      </c>
      <c r="K3" s="6" t="s">
        <v>44</v>
      </c>
      <c r="L3">
        <v>8</v>
      </c>
      <c r="M3" s="6"/>
      <c r="N3">
        <v>39.155470249520157</v>
      </c>
    </row>
    <row r="4" spans="1:14" x14ac:dyDescent="0.3">
      <c r="A4" s="5">
        <v>44058</v>
      </c>
      <c r="B4" s="6" t="s">
        <v>9</v>
      </c>
      <c r="C4">
        <v>6.45</v>
      </c>
      <c r="D4">
        <v>3452</v>
      </c>
      <c r="E4">
        <v>535</v>
      </c>
      <c r="F4">
        <v>530</v>
      </c>
      <c r="G4">
        <v>533</v>
      </c>
      <c r="H4">
        <v>533</v>
      </c>
      <c r="I4">
        <v>8</v>
      </c>
      <c r="J4" s="6" t="s">
        <v>54</v>
      </c>
      <c r="K4" s="6" t="s">
        <v>55</v>
      </c>
      <c r="L4">
        <v>15</v>
      </c>
      <c r="M4" s="6"/>
      <c r="N4">
        <v>1.2403100775193798</v>
      </c>
    </row>
    <row r="5" spans="1:14" x14ac:dyDescent="0.3">
      <c r="A5" s="5">
        <v>44066</v>
      </c>
      <c r="B5" s="6" t="s">
        <v>9</v>
      </c>
      <c r="C5">
        <v>3.12</v>
      </c>
      <c r="D5">
        <v>1348</v>
      </c>
      <c r="E5">
        <v>432</v>
      </c>
      <c r="F5">
        <v>422</v>
      </c>
      <c r="G5">
        <v>428</v>
      </c>
      <c r="H5">
        <v>444</v>
      </c>
      <c r="I5">
        <v>46</v>
      </c>
      <c r="J5" s="6" t="s">
        <v>65</v>
      </c>
      <c r="K5" s="6" t="s">
        <v>66</v>
      </c>
      <c r="L5">
        <v>23</v>
      </c>
      <c r="M5" s="6"/>
      <c r="N5">
        <v>14.743589743589745</v>
      </c>
    </row>
    <row r="6" spans="1:14" x14ac:dyDescent="0.3">
      <c r="A6" s="5">
        <v>44079</v>
      </c>
      <c r="B6" s="6" t="s">
        <v>9</v>
      </c>
      <c r="C6">
        <v>6.62</v>
      </c>
      <c r="D6">
        <v>3576</v>
      </c>
      <c r="E6">
        <v>540</v>
      </c>
      <c r="F6">
        <v>519</v>
      </c>
      <c r="G6">
        <v>526</v>
      </c>
      <c r="H6">
        <v>544</v>
      </c>
      <c r="I6">
        <v>79</v>
      </c>
      <c r="J6" s="6" t="s">
        <v>54</v>
      </c>
      <c r="K6" s="6" t="s">
        <v>85</v>
      </c>
      <c r="L6">
        <v>36</v>
      </c>
      <c r="M6" s="6"/>
      <c r="N6">
        <v>11.933534743202417</v>
      </c>
    </row>
    <row r="7" spans="1:14" x14ac:dyDescent="0.3">
      <c r="A7" s="5">
        <v>44086</v>
      </c>
      <c r="B7" s="6" t="s">
        <v>9</v>
      </c>
      <c r="C7">
        <v>6.22</v>
      </c>
      <c r="D7">
        <v>3464</v>
      </c>
      <c r="E7">
        <v>557</v>
      </c>
      <c r="F7">
        <v>586</v>
      </c>
      <c r="G7">
        <v>573</v>
      </c>
      <c r="H7">
        <v>566</v>
      </c>
      <c r="I7">
        <v>160</v>
      </c>
      <c r="J7" s="6" t="s">
        <v>94</v>
      </c>
      <c r="K7" s="6" t="s">
        <v>95</v>
      </c>
      <c r="L7">
        <v>43</v>
      </c>
      <c r="M7" s="6"/>
      <c r="N7">
        <v>25.723472668810292</v>
      </c>
    </row>
    <row r="8" spans="1:14" x14ac:dyDescent="0.3">
      <c r="A8" s="5">
        <v>44093</v>
      </c>
      <c r="B8" s="6" t="s">
        <v>9</v>
      </c>
      <c r="C8">
        <v>6.22</v>
      </c>
      <c r="D8">
        <v>3403</v>
      </c>
      <c r="E8">
        <v>546</v>
      </c>
      <c r="F8">
        <v>591</v>
      </c>
      <c r="G8">
        <v>601</v>
      </c>
      <c r="H8">
        <v>573</v>
      </c>
      <c r="I8">
        <v>143</v>
      </c>
      <c r="J8" s="6" t="s">
        <v>105</v>
      </c>
      <c r="K8" s="6" t="s">
        <v>106</v>
      </c>
      <c r="L8">
        <v>50</v>
      </c>
      <c r="M8" s="6"/>
      <c r="N8">
        <v>22.990353697749196</v>
      </c>
    </row>
    <row r="9" spans="1:14" x14ac:dyDescent="0.3">
      <c r="A9" s="5">
        <v>44107</v>
      </c>
      <c r="B9" s="6" t="s">
        <v>9</v>
      </c>
      <c r="C9">
        <v>6.56</v>
      </c>
      <c r="D9">
        <v>3483</v>
      </c>
      <c r="E9">
        <v>530</v>
      </c>
      <c r="F9">
        <v>521</v>
      </c>
      <c r="G9">
        <v>528</v>
      </c>
      <c r="H9">
        <v>533</v>
      </c>
      <c r="I9">
        <v>0</v>
      </c>
      <c r="J9" s="6" t="s">
        <v>54</v>
      </c>
      <c r="K9" s="6" t="s">
        <v>132</v>
      </c>
      <c r="L9">
        <v>64</v>
      </c>
      <c r="M9" s="6"/>
      <c r="N9">
        <v>0</v>
      </c>
    </row>
    <row r="10" spans="1:14" x14ac:dyDescent="0.3">
      <c r="A10" s="5">
        <v>44121</v>
      </c>
      <c r="B10" s="6" t="s">
        <v>9</v>
      </c>
      <c r="C10">
        <v>3.39</v>
      </c>
      <c r="D10">
        <v>1703</v>
      </c>
      <c r="E10">
        <v>501</v>
      </c>
      <c r="F10">
        <v>511</v>
      </c>
      <c r="G10">
        <v>498</v>
      </c>
      <c r="H10">
        <v>494</v>
      </c>
      <c r="I10">
        <v>95</v>
      </c>
      <c r="J10" s="6" t="s">
        <v>94</v>
      </c>
      <c r="K10" s="6" t="s">
        <v>180</v>
      </c>
      <c r="L10">
        <v>78</v>
      </c>
      <c r="M10" s="6"/>
      <c r="N10">
        <v>28.023598820058996</v>
      </c>
    </row>
    <row r="11" spans="1:14" x14ac:dyDescent="0.3">
      <c r="A11" s="5">
        <v>44142</v>
      </c>
      <c r="B11" s="6" t="s">
        <v>9</v>
      </c>
      <c r="C11">
        <v>7.67</v>
      </c>
      <c r="D11">
        <v>3609</v>
      </c>
      <c r="E11">
        <v>470</v>
      </c>
      <c r="F11">
        <v>508</v>
      </c>
      <c r="G11">
        <v>472</v>
      </c>
      <c r="H11">
        <v>461</v>
      </c>
      <c r="I11">
        <v>138</v>
      </c>
      <c r="J11" s="6" t="s">
        <v>94</v>
      </c>
      <c r="K11" s="6" t="s">
        <v>204</v>
      </c>
      <c r="L11">
        <v>99</v>
      </c>
      <c r="M11" s="6"/>
      <c r="N11">
        <v>17.992177314211212</v>
      </c>
    </row>
    <row r="12" spans="1:14" x14ac:dyDescent="0.3">
      <c r="A12" s="5">
        <v>44149</v>
      </c>
      <c r="B12" s="6" t="s">
        <v>9</v>
      </c>
      <c r="C12">
        <v>7.48</v>
      </c>
      <c r="D12">
        <v>3489</v>
      </c>
      <c r="E12">
        <v>463</v>
      </c>
      <c r="F12">
        <v>462</v>
      </c>
      <c r="G12">
        <v>447</v>
      </c>
      <c r="H12">
        <v>451</v>
      </c>
      <c r="I12">
        <v>98</v>
      </c>
      <c r="J12" s="6" t="s">
        <v>94</v>
      </c>
      <c r="K12" s="6" t="s">
        <v>206</v>
      </c>
      <c r="L12">
        <v>106</v>
      </c>
      <c r="M12" s="6" t="s">
        <v>207</v>
      </c>
      <c r="N12">
        <v>13.101604278074866</v>
      </c>
    </row>
    <row r="13" spans="1:14" x14ac:dyDescent="0.3">
      <c r="A13" s="5">
        <v>44156</v>
      </c>
      <c r="B13" s="6" t="s">
        <v>9</v>
      </c>
      <c r="C13">
        <v>8.56</v>
      </c>
      <c r="D13">
        <v>4042</v>
      </c>
      <c r="E13">
        <v>472</v>
      </c>
      <c r="F13">
        <v>509</v>
      </c>
      <c r="G13">
        <v>447</v>
      </c>
      <c r="H13">
        <v>455</v>
      </c>
      <c r="I13">
        <v>168</v>
      </c>
      <c r="J13" s="6" t="s">
        <v>225</v>
      </c>
      <c r="K13" s="6" t="s">
        <v>224</v>
      </c>
      <c r="L13">
        <v>113</v>
      </c>
      <c r="M13" s="6"/>
      <c r="N13">
        <v>19.626168224299064</v>
      </c>
    </row>
    <row r="14" spans="1:14" x14ac:dyDescent="0.3">
      <c r="A14" s="5">
        <v>44177</v>
      </c>
      <c r="B14" s="6" t="s">
        <v>9</v>
      </c>
      <c r="C14">
        <v>6.03</v>
      </c>
      <c r="D14">
        <v>3235</v>
      </c>
      <c r="E14">
        <v>536</v>
      </c>
      <c r="F14">
        <v>551</v>
      </c>
      <c r="G14">
        <v>537</v>
      </c>
      <c r="H14">
        <v>521</v>
      </c>
      <c r="I14">
        <v>196</v>
      </c>
      <c r="J14" s="6" t="s">
        <v>225</v>
      </c>
      <c r="K14" s="6" t="s">
        <v>253</v>
      </c>
      <c r="L14">
        <v>134</v>
      </c>
      <c r="M14" s="6"/>
      <c r="N14">
        <v>32.504145936981757</v>
      </c>
    </row>
    <row r="15" spans="1:14" x14ac:dyDescent="0.3">
      <c r="A15" s="5">
        <v>44184</v>
      </c>
      <c r="B15" s="6" t="s">
        <v>9</v>
      </c>
      <c r="C15">
        <v>6.09</v>
      </c>
      <c r="D15">
        <v>3132</v>
      </c>
      <c r="E15">
        <v>514</v>
      </c>
      <c r="F15">
        <v>520</v>
      </c>
      <c r="G15">
        <v>528</v>
      </c>
      <c r="H15">
        <v>497</v>
      </c>
      <c r="I15">
        <v>454</v>
      </c>
      <c r="J15" s="6" t="s">
        <v>261</v>
      </c>
      <c r="K15" s="6" t="s">
        <v>262</v>
      </c>
      <c r="L15">
        <v>141</v>
      </c>
      <c r="M15" s="6"/>
      <c r="N15">
        <v>74.548440065681433</v>
      </c>
    </row>
    <row r="16" spans="1:14" x14ac:dyDescent="0.3">
      <c r="A16" s="5">
        <v>44198</v>
      </c>
      <c r="B16" s="6" t="s">
        <v>9</v>
      </c>
      <c r="C16">
        <v>5.16</v>
      </c>
      <c r="D16">
        <v>2468</v>
      </c>
      <c r="E16">
        <v>478</v>
      </c>
      <c r="F16">
        <v>488</v>
      </c>
      <c r="G16">
        <v>481</v>
      </c>
      <c r="H16">
        <v>494</v>
      </c>
      <c r="I16">
        <v>180</v>
      </c>
      <c r="J16" s="6" t="s">
        <v>282</v>
      </c>
      <c r="K16" s="6" t="s">
        <v>281</v>
      </c>
      <c r="L16">
        <v>155</v>
      </c>
      <c r="M16" s="6"/>
      <c r="N16">
        <v>34.883720930232556</v>
      </c>
    </row>
    <row r="17" spans="1:14" x14ac:dyDescent="0.3">
      <c r="A17" s="5">
        <v>44205</v>
      </c>
      <c r="B17" s="6" t="s">
        <v>9</v>
      </c>
      <c r="C17">
        <v>4.6900000000000004</v>
      </c>
      <c r="D17">
        <v>2145</v>
      </c>
      <c r="E17">
        <v>457</v>
      </c>
      <c r="F17">
        <v>468</v>
      </c>
      <c r="G17">
        <v>462</v>
      </c>
      <c r="H17">
        <v>453</v>
      </c>
      <c r="I17">
        <v>16</v>
      </c>
      <c r="J17" s="6" t="s">
        <v>54</v>
      </c>
      <c r="K17" s="6" t="s">
        <v>316</v>
      </c>
      <c r="L17">
        <v>162</v>
      </c>
      <c r="M17" s="6"/>
      <c r="N17">
        <v>3.4115138592750531</v>
      </c>
    </row>
    <row r="18" spans="1:14" x14ac:dyDescent="0.3">
      <c r="A18" s="5">
        <v>44212</v>
      </c>
      <c r="B18" s="6" t="s">
        <v>9</v>
      </c>
      <c r="C18">
        <v>6.02</v>
      </c>
      <c r="D18">
        <v>3214</v>
      </c>
      <c r="E18">
        <v>534</v>
      </c>
      <c r="F18">
        <v>537</v>
      </c>
      <c r="G18">
        <v>508</v>
      </c>
      <c r="H18">
        <v>512</v>
      </c>
      <c r="I18">
        <v>167</v>
      </c>
      <c r="J18" s="6" t="s">
        <v>45</v>
      </c>
      <c r="K18" s="6" t="s">
        <v>323</v>
      </c>
      <c r="L18">
        <v>169</v>
      </c>
      <c r="M18" s="6"/>
      <c r="N18">
        <v>27.740863787375417</v>
      </c>
    </row>
    <row r="19" spans="1:14" x14ac:dyDescent="0.3">
      <c r="A19" s="5">
        <v>44219</v>
      </c>
      <c r="B19" s="6" t="s">
        <v>9</v>
      </c>
      <c r="C19">
        <v>6.07</v>
      </c>
      <c r="D19">
        <v>2989</v>
      </c>
      <c r="E19">
        <v>492</v>
      </c>
      <c r="F19">
        <v>479</v>
      </c>
      <c r="G19">
        <v>470</v>
      </c>
      <c r="H19">
        <v>479</v>
      </c>
      <c r="I19">
        <v>88</v>
      </c>
      <c r="J19" s="6" t="s">
        <v>94</v>
      </c>
      <c r="K19" s="6" t="s">
        <v>332</v>
      </c>
      <c r="L19">
        <v>176</v>
      </c>
      <c r="M19" s="6"/>
      <c r="N19">
        <v>14.497528830313014</v>
      </c>
    </row>
    <row r="20" spans="1:14" x14ac:dyDescent="0.3">
      <c r="A20" s="5">
        <v>44226</v>
      </c>
      <c r="B20" s="6" t="s">
        <v>9</v>
      </c>
      <c r="C20">
        <v>7.41</v>
      </c>
      <c r="D20">
        <v>3714</v>
      </c>
      <c r="E20">
        <v>501</v>
      </c>
      <c r="F20">
        <v>480</v>
      </c>
      <c r="G20">
        <v>462</v>
      </c>
      <c r="H20">
        <v>479</v>
      </c>
      <c r="I20">
        <v>148</v>
      </c>
      <c r="J20" s="6" t="s">
        <v>225</v>
      </c>
      <c r="K20" s="6" t="s">
        <v>339</v>
      </c>
      <c r="L20">
        <v>183</v>
      </c>
      <c r="M20" s="6"/>
      <c r="N20">
        <v>19.973009446693656</v>
      </c>
    </row>
    <row r="21" spans="1:14" x14ac:dyDescent="0.3">
      <c r="A21" s="5">
        <v>44233</v>
      </c>
      <c r="B21" s="6" t="s">
        <v>9</v>
      </c>
      <c r="C21">
        <v>6.02</v>
      </c>
      <c r="D21">
        <v>2914</v>
      </c>
      <c r="E21">
        <v>484</v>
      </c>
      <c r="F21">
        <v>504</v>
      </c>
      <c r="G21">
        <v>480</v>
      </c>
      <c r="H21">
        <v>476</v>
      </c>
      <c r="I21">
        <v>96</v>
      </c>
      <c r="J21" s="6" t="s">
        <v>225</v>
      </c>
      <c r="K21" s="6" t="s">
        <v>346</v>
      </c>
      <c r="L21">
        <v>190</v>
      </c>
      <c r="M21" s="6"/>
      <c r="N21">
        <v>15.946843853820599</v>
      </c>
    </row>
    <row r="22" spans="1:14" x14ac:dyDescent="0.3">
      <c r="A22" s="5">
        <v>44261</v>
      </c>
      <c r="B22" s="6" t="s">
        <v>9</v>
      </c>
      <c r="C22">
        <v>3.9</v>
      </c>
      <c r="D22">
        <v>1948</v>
      </c>
      <c r="E22">
        <v>499</v>
      </c>
      <c r="F22">
        <v>507</v>
      </c>
      <c r="G22">
        <v>511</v>
      </c>
      <c r="H22">
        <v>517</v>
      </c>
      <c r="I22">
        <v>65</v>
      </c>
      <c r="J22" s="6" t="s">
        <v>377</v>
      </c>
      <c r="K22" s="6" t="s">
        <v>378</v>
      </c>
      <c r="L22">
        <v>218</v>
      </c>
      <c r="M22" s="6"/>
      <c r="N22">
        <v>16.666666666666668</v>
      </c>
    </row>
    <row r="23" spans="1:14" x14ac:dyDescent="0.3">
      <c r="A23" s="5">
        <v>44268</v>
      </c>
      <c r="B23" s="6" t="s">
        <v>9</v>
      </c>
      <c r="C23">
        <v>4.45</v>
      </c>
      <c r="D23">
        <v>2273</v>
      </c>
      <c r="E23">
        <v>510</v>
      </c>
      <c r="F23">
        <v>505</v>
      </c>
      <c r="G23">
        <v>517</v>
      </c>
      <c r="H23">
        <v>516</v>
      </c>
      <c r="I23">
        <v>33</v>
      </c>
      <c r="J23" s="6" t="s">
        <v>54</v>
      </c>
      <c r="K23" s="6" t="s">
        <v>387</v>
      </c>
      <c r="L23">
        <v>225</v>
      </c>
      <c r="M23" s="6"/>
      <c r="N23">
        <v>7.4157303370786511</v>
      </c>
    </row>
    <row r="24" spans="1:14" x14ac:dyDescent="0.3">
      <c r="A24" s="5">
        <v>44282</v>
      </c>
      <c r="B24" s="6" t="s">
        <v>9</v>
      </c>
      <c r="C24">
        <v>3.21</v>
      </c>
      <c r="D24">
        <v>1592</v>
      </c>
      <c r="E24">
        <v>495</v>
      </c>
      <c r="F24">
        <v>484</v>
      </c>
      <c r="G24">
        <v>494</v>
      </c>
      <c r="H24">
        <v>510</v>
      </c>
      <c r="I24">
        <v>72</v>
      </c>
      <c r="J24" s="6" t="s">
        <v>12</v>
      </c>
      <c r="K24" s="6" t="s">
        <v>412</v>
      </c>
      <c r="L24">
        <v>239</v>
      </c>
      <c r="M24" s="6" t="s">
        <v>410</v>
      </c>
      <c r="N24">
        <v>22.429906542056074</v>
      </c>
    </row>
    <row r="25" spans="1:14" x14ac:dyDescent="0.3">
      <c r="A25" s="5">
        <v>44297</v>
      </c>
      <c r="B25" s="6" t="s">
        <v>9</v>
      </c>
      <c r="C25">
        <v>5.37</v>
      </c>
      <c r="D25">
        <v>2655</v>
      </c>
      <c r="E25">
        <v>494</v>
      </c>
      <c r="F25">
        <v>483</v>
      </c>
      <c r="G25">
        <v>503</v>
      </c>
      <c r="H25">
        <v>515</v>
      </c>
      <c r="I25">
        <v>224</v>
      </c>
      <c r="J25" s="6" t="s">
        <v>282</v>
      </c>
      <c r="K25" s="6" t="s">
        <v>433</v>
      </c>
      <c r="L25">
        <v>254</v>
      </c>
      <c r="M25" s="6"/>
      <c r="N25">
        <v>41.713221601489757</v>
      </c>
    </row>
    <row r="26" spans="1:14" x14ac:dyDescent="0.3">
      <c r="A26" s="5">
        <v>44303</v>
      </c>
      <c r="B26" s="6" t="s">
        <v>9</v>
      </c>
      <c r="C26">
        <v>7.37</v>
      </c>
      <c r="D26">
        <v>3628</v>
      </c>
      <c r="E26">
        <v>492</v>
      </c>
      <c r="F26">
        <v>511</v>
      </c>
      <c r="G26">
        <v>468</v>
      </c>
      <c r="H26">
        <v>464</v>
      </c>
      <c r="I26">
        <v>174</v>
      </c>
      <c r="J26" s="6" t="s">
        <v>439</v>
      </c>
      <c r="K26" s="6" t="s">
        <v>440</v>
      </c>
      <c r="L26">
        <v>260</v>
      </c>
      <c r="M26" s="6"/>
      <c r="N26">
        <v>23.609226594301219</v>
      </c>
    </row>
    <row r="27" spans="1:14" x14ac:dyDescent="0.3">
      <c r="A27" s="5">
        <v>44317</v>
      </c>
      <c r="B27" s="6" t="s">
        <v>9</v>
      </c>
      <c r="C27">
        <v>6.03</v>
      </c>
      <c r="D27">
        <v>3184</v>
      </c>
      <c r="E27">
        <v>528</v>
      </c>
      <c r="F27">
        <v>538</v>
      </c>
      <c r="G27">
        <v>541</v>
      </c>
      <c r="H27">
        <v>561</v>
      </c>
      <c r="I27">
        <v>403</v>
      </c>
      <c r="J27" s="6" t="s">
        <v>261</v>
      </c>
      <c r="K27" s="6" t="s">
        <v>466</v>
      </c>
      <c r="L27">
        <v>274</v>
      </c>
      <c r="M27" s="6"/>
      <c r="N27">
        <v>66.83250414593698</v>
      </c>
    </row>
    <row r="28" spans="1:14" x14ac:dyDescent="0.3">
      <c r="A28" s="5">
        <v>44331</v>
      </c>
      <c r="B28" s="6" t="s">
        <v>9</v>
      </c>
      <c r="C28">
        <v>5.6</v>
      </c>
      <c r="D28">
        <v>2935</v>
      </c>
      <c r="E28">
        <v>524</v>
      </c>
      <c r="F28">
        <v>521</v>
      </c>
      <c r="G28">
        <v>502</v>
      </c>
      <c r="H28">
        <v>518</v>
      </c>
      <c r="I28">
        <v>133</v>
      </c>
      <c r="J28" s="6" t="s">
        <v>472</v>
      </c>
      <c r="K28" s="6" t="s">
        <v>484</v>
      </c>
      <c r="L28">
        <v>288</v>
      </c>
      <c r="M28" s="6"/>
      <c r="N28">
        <v>23.75</v>
      </c>
    </row>
    <row r="29" spans="1:14" x14ac:dyDescent="0.3">
      <c r="A29" s="5">
        <v>44345</v>
      </c>
      <c r="B29" s="6" t="s">
        <v>9</v>
      </c>
      <c r="C29">
        <v>6.05</v>
      </c>
      <c r="D29">
        <v>2884</v>
      </c>
      <c r="E29">
        <v>476</v>
      </c>
      <c r="F29">
        <v>509</v>
      </c>
      <c r="G29">
        <v>500</v>
      </c>
      <c r="H29">
        <v>487</v>
      </c>
      <c r="I29">
        <v>402</v>
      </c>
      <c r="J29" s="6" t="s">
        <v>261</v>
      </c>
      <c r="K29" s="6" t="s">
        <v>507</v>
      </c>
      <c r="L29">
        <v>302</v>
      </c>
      <c r="M29" s="6"/>
      <c r="N29">
        <v>66.446280991735534</v>
      </c>
    </row>
    <row r="30" spans="1:14" x14ac:dyDescent="0.3">
      <c r="A30" s="5">
        <v>44366</v>
      </c>
      <c r="B30" s="6" t="s">
        <v>9</v>
      </c>
      <c r="C30">
        <v>6.27</v>
      </c>
      <c r="D30">
        <v>3273</v>
      </c>
      <c r="E30">
        <v>521</v>
      </c>
      <c r="F30">
        <v>511</v>
      </c>
      <c r="G30">
        <v>494</v>
      </c>
      <c r="H30">
        <v>529</v>
      </c>
      <c r="I30">
        <v>408</v>
      </c>
      <c r="J30" s="6" t="s">
        <v>261</v>
      </c>
      <c r="K30" s="6" t="s">
        <v>534</v>
      </c>
      <c r="L30">
        <v>323</v>
      </c>
      <c r="M30" s="6"/>
      <c r="N30">
        <v>65.071770334928232</v>
      </c>
    </row>
    <row r="31" spans="1:14" x14ac:dyDescent="0.3">
      <c r="A31" s="5">
        <v>44387</v>
      </c>
      <c r="B31" s="6" t="s">
        <v>9</v>
      </c>
      <c r="C31">
        <v>4.01</v>
      </c>
      <c r="D31">
        <v>1967</v>
      </c>
      <c r="E31">
        <v>490</v>
      </c>
      <c r="F31">
        <v>504</v>
      </c>
      <c r="G31">
        <v>522</v>
      </c>
      <c r="H31">
        <v>477</v>
      </c>
      <c r="I31">
        <v>257</v>
      </c>
      <c r="J31" s="6" t="s">
        <v>261</v>
      </c>
      <c r="K31" s="6" t="s">
        <v>557</v>
      </c>
      <c r="L31">
        <v>344</v>
      </c>
      <c r="M31" s="6"/>
      <c r="N31">
        <v>64.089775561097255</v>
      </c>
    </row>
    <row r="32" spans="1:14" x14ac:dyDescent="0.3">
      <c r="A32" s="5">
        <v>44395</v>
      </c>
      <c r="B32" s="6" t="s">
        <v>9</v>
      </c>
      <c r="C32">
        <v>7.09</v>
      </c>
      <c r="D32">
        <v>3565</v>
      </c>
      <c r="E32">
        <v>503</v>
      </c>
      <c r="F32">
        <v>550</v>
      </c>
      <c r="G32">
        <v>511</v>
      </c>
      <c r="H32">
        <v>508</v>
      </c>
      <c r="I32">
        <v>244</v>
      </c>
      <c r="J32" s="6" t="s">
        <v>45</v>
      </c>
      <c r="K32" s="6" t="s">
        <v>565</v>
      </c>
      <c r="L32">
        <v>352</v>
      </c>
      <c r="M32" s="6"/>
      <c r="N32">
        <v>34.414668547249647</v>
      </c>
    </row>
    <row r="33" spans="1:14" x14ac:dyDescent="0.3">
      <c r="A33" s="5">
        <v>44402</v>
      </c>
      <c r="B33" s="6" t="s">
        <v>9</v>
      </c>
      <c r="C33">
        <v>6.42</v>
      </c>
      <c r="D33">
        <v>2999</v>
      </c>
      <c r="E33">
        <v>467</v>
      </c>
      <c r="F33">
        <v>469</v>
      </c>
      <c r="G33">
        <v>437</v>
      </c>
      <c r="H33">
        <v>457</v>
      </c>
      <c r="I33">
        <v>207</v>
      </c>
      <c r="J33" s="6" t="s">
        <v>12</v>
      </c>
      <c r="K33" s="6" t="s">
        <v>571</v>
      </c>
      <c r="L33">
        <v>359</v>
      </c>
      <c r="M33" s="6"/>
      <c r="N33">
        <v>32.242990654205606</v>
      </c>
    </row>
    <row r="34" spans="1:14" x14ac:dyDescent="0.3">
      <c r="A34" s="5">
        <v>44409</v>
      </c>
      <c r="B34" s="6" t="s">
        <v>9</v>
      </c>
      <c r="C34">
        <v>11.43</v>
      </c>
      <c r="D34">
        <v>6081</v>
      </c>
      <c r="E34">
        <v>532</v>
      </c>
      <c r="F34">
        <v>552</v>
      </c>
      <c r="G34">
        <v>545</v>
      </c>
      <c r="H34">
        <v>524</v>
      </c>
      <c r="I34">
        <v>213</v>
      </c>
      <c r="J34" s="6" t="s">
        <v>225</v>
      </c>
      <c r="K34" s="6" t="s">
        <v>578</v>
      </c>
      <c r="L34">
        <v>366</v>
      </c>
      <c r="M34" s="6"/>
      <c r="N34">
        <v>18.635170603674545</v>
      </c>
    </row>
    <row r="35" spans="1:14" x14ac:dyDescent="0.3">
      <c r="A35" s="5">
        <v>44416</v>
      </c>
      <c r="B35" s="6" t="s">
        <v>9</v>
      </c>
      <c r="C35">
        <v>8.02</v>
      </c>
      <c r="D35">
        <v>3910</v>
      </c>
      <c r="E35">
        <v>487</v>
      </c>
      <c r="F35">
        <v>534</v>
      </c>
      <c r="G35">
        <v>538</v>
      </c>
      <c r="H35">
        <v>526</v>
      </c>
      <c r="I35">
        <v>535</v>
      </c>
      <c r="J35" s="6" t="s">
        <v>261</v>
      </c>
      <c r="K35" s="6" t="s">
        <v>588</v>
      </c>
      <c r="L35">
        <v>373</v>
      </c>
      <c r="M35" s="6"/>
      <c r="N35">
        <v>66.708229426433917</v>
      </c>
    </row>
    <row r="36" spans="1:14" x14ac:dyDescent="0.3">
      <c r="A36" s="5">
        <v>44423</v>
      </c>
      <c r="B36" s="6" t="s">
        <v>9</v>
      </c>
      <c r="C36">
        <v>7.34</v>
      </c>
      <c r="D36">
        <v>3442</v>
      </c>
      <c r="E36">
        <v>469</v>
      </c>
      <c r="F36">
        <v>474</v>
      </c>
      <c r="G36">
        <v>471</v>
      </c>
      <c r="H36">
        <v>464</v>
      </c>
      <c r="I36">
        <v>187</v>
      </c>
      <c r="J36" s="6" t="s">
        <v>12</v>
      </c>
      <c r="K36" s="6" t="s">
        <v>603</v>
      </c>
      <c r="L36">
        <v>380</v>
      </c>
      <c r="M36" s="6"/>
      <c r="N36">
        <v>25.47683923705722</v>
      </c>
    </row>
    <row r="37" spans="1:14" x14ac:dyDescent="0.3">
      <c r="A37" s="5">
        <v>44464</v>
      </c>
      <c r="B37" s="6" t="s">
        <v>9</v>
      </c>
      <c r="C37">
        <v>6.23</v>
      </c>
      <c r="D37">
        <v>3048</v>
      </c>
      <c r="E37">
        <v>489</v>
      </c>
      <c r="F37">
        <v>544</v>
      </c>
      <c r="G37">
        <v>523</v>
      </c>
      <c r="H37">
        <v>472</v>
      </c>
      <c r="I37">
        <v>472</v>
      </c>
      <c r="J37" s="6" t="s">
        <v>261</v>
      </c>
      <c r="K37" s="6" t="s">
        <v>655</v>
      </c>
      <c r="L37">
        <v>421</v>
      </c>
      <c r="M37" s="6"/>
      <c r="N37">
        <v>75.762439807383629</v>
      </c>
    </row>
    <row r="38" spans="1:14" x14ac:dyDescent="0.3">
      <c r="A38" s="5">
        <v>44471</v>
      </c>
      <c r="B38" s="6" t="s">
        <v>9</v>
      </c>
      <c r="C38">
        <v>5.51</v>
      </c>
      <c r="D38">
        <v>2487</v>
      </c>
      <c r="E38">
        <v>451</v>
      </c>
      <c r="F38">
        <v>433</v>
      </c>
      <c r="G38">
        <v>442</v>
      </c>
      <c r="H38">
        <v>450</v>
      </c>
      <c r="I38">
        <v>115</v>
      </c>
      <c r="J38" s="6" t="s">
        <v>12</v>
      </c>
      <c r="K38" s="6" t="s">
        <v>664</v>
      </c>
      <c r="L38">
        <v>428</v>
      </c>
      <c r="M38" s="6"/>
      <c r="N38">
        <v>20.871143375680585</v>
      </c>
    </row>
    <row r="39" spans="1:14" x14ac:dyDescent="0.3">
      <c r="A39" s="5">
        <v>44492</v>
      </c>
      <c r="B39" s="6" t="s">
        <v>9</v>
      </c>
      <c r="C39">
        <v>6.54</v>
      </c>
      <c r="D39">
        <v>2978</v>
      </c>
      <c r="E39">
        <v>455</v>
      </c>
      <c r="F39">
        <v>464</v>
      </c>
      <c r="G39">
        <v>457</v>
      </c>
      <c r="H39">
        <v>458</v>
      </c>
      <c r="I39">
        <v>75</v>
      </c>
      <c r="J39" s="6" t="s">
        <v>94</v>
      </c>
      <c r="K39" s="6" t="s">
        <v>691</v>
      </c>
      <c r="L39">
        <v>449</v>
      </c>
      <c r="M39" s="6"/>
      <c r="N39">
        <v>11.467889908256881</v>
      </c>
    </row>
    <row r="40" spans="1:14" x14ac:dyDescent="0.3">
      <c r="A40" s="5">
        <v>44506</v>
      </c>
      <c r="B40" s="6" t="s">
        <v>9</v>
      </c>
      <c r="C40">
        <v>7.34</v>
      </c>
      <c r="D40">
        <v>3637</v>
      </c>
      <c r="E40">
        <v>496</v>
      </c>
      <c r="F40">
        <v>508</v>
      </c>
      <c r="G40">
        <v>513</v>
      </c>
      <c r="H40">
        <v>509</v>
      </c>
      <c r="I40">
        <v>250</v>
      </c>
      <c r="J40" s="6" t="s">
        <v>105</v>
      </c>
      <c r="K40" s="6" t="s">
        <v>711</v>
      </c>
      <c r="L40">
        <v>463</v>
      </c>
      <c r="M40" s="6"/>
      <c r="N40">
        <v>34.059945504087196</v>
      </c>
    </row>
    <row r="41" spans="1:14" x14ac:dyDescent="0.3">
      <c r="A41" s="5">
        <v>44527</v>
      </c>
      <c r="B41" s="6" t="s">
        <v>9</v>
      </c>
      <c r="C41">
        <v>6.25</v>
      </c>
      <c r="D41">
        <v>2718</v>
      </c>
      <c r="E41">
        <v>435</v>
      </c>
      <c r="F41">
        <v>464</v>
      </c>
      <c r="G41">
        <v>441</v>
      </c>
      <c r="H41">
        <v>435</v>
      </c>
      <c r="I41">
        <v>72</v>
      </c>
      <c r="J41" s="6" t="s">
        <v>54</v>
      </c>
      <c r="K41" s="6" t="s">
        <v>732</v>
      </c>
      <c r="L41">
        <v>484</v>
      </c>
      <c r="M41" s="6"/>
      <c r="N41">
        <v>11.52</v>
      </c>
    </row>
    <row r="42" spans="1:14" x14ac:dyDescent="0.3">
      <c r="A42" s="5">
        <v>44542</v>
      </c>
      <c r="B42" s="6" t="s">
        <v>9</v>
      </c>
      <c r="C42">
        <v>4.68</v>
      </c>
      <c r="D42">
        <v>2452</v>
      </c>
      <c r="E42">
        <v>524</v>
      </c>
      <c r="F42">
        <v>546</v>
      </c>
      <c r="G42">
        <v>523</v>
      </c>
      <c r="H42">
        <v>519</v>
      </c>
      <c r="I42">
        <v>7</v>
      </c>
      <c r="J42" s="6" t="s">
        <v>54</v>
      </c>
      <c r="K42" s="6" t="s">
        <v>757</v>
      </c>
      <c r="L42">
        <v>499</v>
      </c>
      <c r="M42" s="6"/>
      <c r="N42">
        <v>1.4957264957264955</v>
      </c>
    </row>
    <row r="43" spans="1:14" x14ac:dyDescent="0.3">
      <c r="A43" s="5">
        <v>44549</v>
      </c>
      <c r="B43" s="6" t="s">
        <v>9</v>
      </c>
      <c r="C43">
        <v>4.07</v>
      </c>
      <c r="D43">
        <v>2170</v>
      </c>
      <c r="E43">
        <v>533</v>
      </c>
      <c r="F43">
        <v>540</v>
      </c>
      <c r="G43">
        <v>529</v>
      </c>
      <c r="H43">
        <v>516</v>
      </c>
      <c r="I43">
        <v>82</v>
      </c>
      <c r="J43" s="6" t="s">
        <v>94</v>
      </c>
      <c r="K43" s="6" t="s">
        <v>765</v>
      </c>
      <c r="L43">
        <v>506</v>
      </c>
      <c r="M43" s="6"/>
      <c r="N43">
        <v>20.147420147420146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1A81-04EC-442D-A10A-65F415355212}">
  <dimension ref="A1:N113"/>
  <sheetViews>
    <sheetView topLeftCell="A94" workbookViewId="0">
      <selection activeCell="A93" sqref="A93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4.33203125" bestFit="1" customWidth="1"/>
    <col min="4" max="4" width="17.21875" bestFit="1" customWidth="1"/>
    <col min="5" max="5" width="18.21875" bestFit="1" customWidth="1"/>
    <col min="6" max="8" width="12.88671875" bestFit="1" customWidth="1"/>
    <col min="9" max="9" width="19" bestFit="1" customWidth="1"/>
    <col min="10" max="10" width="20.109375" bestFit="1" customWidth="1"/>
    <col min="11" max="11" width="42.33203125" bestFit="1" customWidth="1"/>
    <col min="12" max="12" width="10.5546875" bestFit="1" customWidth="1"/>
    <col min="13" max="13" width="8.88671875" bestFit="1" customWidth="1"/>
    <col min="14" max="14" width="24.6640625" bestFit="1" customWidth="1"/>
    <col min="15" max="15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19</v>
      </c>
      <c r="J1" t="s">
        <v>3</v>
      </c>
      <c r="K1" t="s">
        <v>7</v>
      </c>
      <c r="L1" t="s">
        <v>14</v>
      </c>
      <c r="M1" t="s">
        <v>13</v>
      </c>
      <c r="N1" t="s">
        <v>779</v>
      </c>
    </row>
    <row r="2" spans="1:14" x14ac:dyDescent="0.3">
      <c r="A2" s="5">
        <v>44092</v>
      </c>
      <c r="B2" s="6" t="s">
        <v>102</v>
      </c>
      <c r="C2">
        <v>3.16</v>
      </c>
      <c r="D2">
        <v>1577</v>
      </c>
      <c r="E2">
        <v>499</v>
      </c>
      <c r="F2">
        <v>507</v>
      </c>
      <c r="G2">
        <v>485</v>
      </c>
      <c r="H2">
        <v>502</v>
      </c>
      <c r="I2">
        <v>130</v>
      </c>
      <c r="J2" s="6" t="s">
        <v>104</v>
      </c>
      <c r="K2" s="6" t="s">
        <v>103</v>
      </c>
      <c r="L2">
        <v>49</v>
      </c>
      <c r="M2" s="6"/>
      <c r="N2">
        <v>41.139240506329109</v>
      </c>
    </row>
    <row r="3" spans="1:14" x14ac:dyDescent="0.3">
      <c r="A3" s="5">
        <v>44094</v>
      </c>
      <c r="B3" s="6" t="s">
        <v>102</v>
      </c>
      <c r="C3">
        <v>3.01</v>
      </c>
      <c r="D3">
        <v>1643</v>
      </c>
      <c r="E3">
        <v>545</v>
      </c>
      <c r="F3">
        <v>611</v>
      </c>
      <c r="G3">
        <v>521</v>
      </c>
      <c r="H3">
        <v>504</v>
      </c>
      <c r="I3">
        <v>116</v>
      </c>
      <c r="J3" s="6" t="s">
        <v>104</v>
      </c>
      <c r="K3" s="6" t="s">
        <v>107</v>
      </c>
      <c r="L3">
        <v>51</v>
      </c>
      <c r="M3" s="6"/>
      <c r="N3">
        <v>38.538205980066451</v>
      </c>
    </row>
    <row r="4" spans="1:14" x14ac:dyDescent="0.3">
      <c r="A4" s="5">
        <v>44106</v>
      </c>
      <c r="B4" s="6" t="s">
        <v>102</v>
      </c>
      <c r="C4">
        <v>3.12</v>
      </c>
      <c r="D4">
        <v>1552</v>
      </c>
      <c r="E4">
        <v>497</v>
      </c>
      <c r="F4">
        <v>527</v>
      </c>
      <c r="G4">
        <v>478</v>
      </c>
      <c r="H4">
        <v>492</v>
      </c>
      <c r="I4">
        <v>118</v>
      </c>
      <c r="J4" s="6" t="s">
        <v>104</v>
      </c>
      <c r="K4" s="6" t="s">
        <v>131</v>
      </c>
      <c r="L4">
        <v>63</v>
      </c>
      <c r="M4" s="6"/>
      <c r="N4">
        <v>37.820512820512818</v>
      </c>
    </row>
    <row r="5" spans="1:14" x14ac:dyDescent="0.3">
      <c r="A5" s="5">
        <v>44116</v>
      </c>
      <c r="B5" s="6" t="s">
        <v>102</v>
      </c>
      <c r="C5">
        <v>3.04</v>
      </c>
      <c r="D5">
        <v>1565</v>
      </c>
      <c r="E5">
        <v>515</v>
      </c>
      <c r="F5">
        <v>564</v>
      </c>
      <c r="G5">
        <v>502</v>
      </c>
      <c r="H5">
        <v>477</v>
      </c>
      <c r="I5">
        <v>128</v>
      </c>
      <c r="J5" s="6" t="s">
        <v>104</v>
      </c>
      <c r="K5" s="6" t="s">
        <v>166</v>
      </c>
      <c r="L5">
        <v>73</v>
      </c>
      <c r="M5" s="6"/>
      <c r="N5">
        <v>42.10526315789474</v>
      </c>
    </row>
    <row r="6" spans="1:14" x14ac:dyDescent="0.3">
      <c r="A6" s="5">
        <v>44127</v>
      </c>
      <c r="B6" s="6" t="s">
        <v>102</v>
      </c>
      <c r="C6">
        <v>3.11</v>
      </c>
      <c r="D6">
        <v>1531</v>
      </c>
      <c r="E6">
        <v>492</v>
      </c>
      <c r="F6">
        <v>524</v>
      </c>
      <c r="G6">
        <v>457</v>
      </c>
      <c r="H6">
        <v>493</v>
      </c>
      <c r="I6">
        <v>107</v>
      </c>
      <c r="J6" s="6" t="s">
        <v>104</v>
      </c>
      <c r="K6" s="6" t="s">
        <v>187</v>
      </c>
      <c r="L6">
        <v>84</v>
      </c>
      <c r="M6" s="6"/>
      <c r="N6">
        <v>34.40514469453376</v>
      </c>
    </row>
    <row r="7" spans="1:14" x14ac:dyDescent="0.3">
      <c r="A7" s="5">
        <v>44129</v>
      </c>
      <c r="B7" s="6" t="s">
        <v>102</v>
      </c>
      <c r="C7">
        <v>3.13</v>
      </c>
      <c r="D7">
        <v>1549</v>
      </c>
      <c r="E7">
        <v>494</v>
      </c>
      <c r="F7">
        <v>515</v>
      </c>
      <c r="G7">
        <v>461</v>
      </c>
      <c r="H7">
        <v>501</v>
      </c>
      <c r="I7">
        <v>108</v>
      </c>
      <c r="J7" s="6" t="s">
        <v>104</v>
      </c>
      <c r="K7" s="6" t="s">
        <v>189</v>
      </c>
      <c r="L7">
        <v>86</v>
      </c>
      <c r="M7" s="6"/>
      <c r="N7">
        <v>34.504792332268373</v>
      </c>
    </row>
    <row r="8" spans="1:14" x14ac:dyDescent="0.3">
      <c r="A8" s="5">
        <v>44135</v>
      </c>
      <c r="B8" s="6" t="s">
        <v>102</v>
      </c>
      <c r="C8">
        <v>3.02</v>
      </c>
      <c r="D8">
        <v>1596</v>
      </c>
      <c r="E8">
        <v>528</v>
      </c>
      <c r="F8">
        <v>567</v>
      </c>
      <c r="G8">
        <v>509</v>
      </c>
      <c r="H8">
        <v>509</v>
      </c>
      <c r="I8">
        <v>109</v>
      </c>
      <c r="J8" s="6" t="s">
        <v>104</v>
      </c>
      <c r="K8" s="6" t="s">
        <v>196</v>
      </c>
      <c r="L8">
        <v>92</v>
      </c>
      <c r="M8" s="6"/>
      <c r="N8">
        <v>36.092715231788077</v>
      </c>
    </row>
    <row r="9" spans="1:14" x14ac:dyDescent="0.3">
      <c r="A9" s="5">
        <v>44136</v>
      </c>
      <c r="B9" s="6" t="s">
        <v>102</v>
      </c>
      <c r="C9">
        <v>8.01</v>
      </c>
      <c r="D9">
        <v>3726</v>
      </c>
      <c r="E9">
        <v>465</v>
      </c>
      <c r="F9">
        <v>503</v>
      </c>
      <c r="G9">
        <v>464</v>
      </c>
      <c r="H9">
        <v>465</v>
      </c>
      <c r="I9">
        <v>348</v>
      </c>
      <c r="J9" s="6" t="s">
        <v>43</v>
      </c>
      <c r="K9" s="6" t="s">
        <v>197</v>
      </c>
      <c r="L9">
        <v>93</v>
      </c>
      <c r="M9" s="6"/>
      <c r="N9">
        <v>43.445692883895134</v>
      </c>
    </row>
    <row r="10" spans="1:14" x14ac:dyDescent="0.3">
      <c r="A10" s="5">
        <v>44148</v>
      </c>
      <c r="B10" s="6" t="s">
        <v>102</v>
      </c>
      <c r="C10">
        <v>3.12</v>
      </c>
      <c r="D10">
        <v>1585</v>
      </c>
      <c r="E10">
        <v>508</v>
      </c>
      <c r="F10">
        <v>548</v>
      </c>
      <c r="G10">
        <v>490</v>
      </c>
      <c r="H10">
        <v>490</v>
      </c>
      <c r="I10">
        <v>108</v>
      </c>
      <c r="J10" s="6" t="s">
        <v>104</v>
      </c>
      <c r="K10" s="6" t="s">
        <v>209</v>
      </c>
      <c r="L10">
        <v>105</v>
      </c>
      <c r="M10" s="6"/>
      <c r="N10">
        <v>34.615384615384613</v>
      </c>
    </row>
    <row r="11" spans="1:14" x14ac:dyDescent="0.3">
      <c r="A11" s="5">
        <v>44150</v>
      </c>
      <c r="B11" s="6" t="s">
        <v>102</v>
      </c>
      <c r="C11">
        <v>3.12</v>
      </c>
      <c r="D11">
        <v>1490</v>
      </c>
      <c r="E11">
        <v>477</v>
      </c>
      <c r="F11">
        <v>504</v>
      </c>
      <c r="G11">
        <v>458</v>
      </c>
      <c r="H11">
        <v>476</v>
      </c>
      <c r="I11">
        <v>108</v>
      </c>
      <c r="J11" s="6" t="s">
        <v>104</v>
      </c>
      <c r="K11" s="6" t="s">
        <v>216</v>
      </c>
      <c r="L11">
        <v>107</v>
      </c>
      <c r="M11" s="6"/>
      <c r="N11">
        <v>34.615384615384613</v>
      </c>
    </row>
    <row r="12" spans="1:14" x14ac:dyDescent="0.3">
      <c r="A12" s="5">
        <v>44176</v>
      </c>
      <c r="B12" s="6" t="s">
        <v>102</v>
      </c>
      <c r="C12">
        <v>8.02</v>
      </c>
      <c r="D12">
        <v>4362</v>
      </c>
      <c r="E12">
        <v>544</v>
      </c>
      <c r="F12">
        <v>521</v>
      </c>
      <c r="G12">
        <v>510</v>
      </c>
      <c r="H12">
        <v>512</v>
      </c>
      <c r="I12">
        <v>315</v>
      </c>
      <c r="J12" s="6" t="s">
        <v>104</v>
      </c>
      <c r="K12" s="6" t="s">
        <v>254</v>
      </c>
      <c r="L12">
        <v>133</v>
      </c>
      <c r="M12" s="6"/>
      <c r="N12">
        <v>39.276807980049874</v>
      </c>
    </row>
    <row r="13" spans="1:14" x14ac:dyDescent="0.3">
      <c r="A13" s="5">
        <v>44183</v>
      </c>
      <c r="B13" s="6" t="s">
        <v>102</v>
      </c>
      <c r="C13">
        <v>3.16</v>
      </c>
      <c r="D13">
        <v>1705</v>
      </c>
      <c r="E13">
        <v>539</v>
      </c>
      <c r="F13">
        <v>532</v>
      </c>
      <c r="G13">
        <v>539</v>
      </c>
      <c r="H13">
        <v>548</v>
      </c>
      <c r="I13">
        <v>110</v>
      </c>
      <c r="J13" s="6" t="s">
        <v>104</v>
      </c>
      <c r="K13" s="6" t="s">
        <v>260</v>
      </c>
      <c r="L13">
        <v>140</v>
      </c>
      <c r="M13" s="6"/>
      <c r="N13">
        <v>34.810126582278478</v>
      </c>
    </row>
    <row r="14" spans="1:14" x14ac:dyDescent="0.3">
      <c r="A14" s="5">
        <v>44189</v>
      </c>
      <c r="B14" s="6" t="s">
        <v>102</v>
      </c>
      <c r="C14">
        <v>3.32</v>
      </c>
      <c r="D14">
        <v>1667</v>
      </c>
      <c r="E14">
        <v>501</v>
      </c>
      <c r="F14">
        <v>507</v>
      </c>
      <c r="G14">
        <v>499</v>
      </c>
      <c r="H14">
        <v>499</v>
      </c>
      <c r="I14">
        <v>117</v>
      </c>
      <c r="J14" s="6" t="s">
        <v>104</v>
      </c>
      <c r="K14" s="6" t="s">
        <v>268</v>
      </c>
      <c r="L14">
        <v>146</v>
      </c>
      <c r="M14" s="6"/>
      <c r="N14">
        <v>35.24096385542169</v>
      </c>
    </row>
    <row r="15" spans="1:14" x14ac:dyDescent="0.3">
      <c r="A15" s="5">
        <v>44192</v>
      </c>
      <c r="B15" s="6" t="s">
        <v>102</v>
      </c>
      <c r="C15">
        <v>3.12</v>
      </c>
      <c r="D15">
        <v>1417</v>
      </c>
      <c r="E15">
        <v>454</v>
      </c>
      <c r="F15">
        <v>466</v>
      </c>
      <c r="G15">
        <v>436</v>
      </c>
      <c r="H15">
        <v>458</v>
      </c>
      <c r="I15">
        <v>109</v>
      </c>
      <c r="J15" s="6" t="s">
        <v>104</v>
      </c>
      <c r="K15" s="6" t="s">
        <v>272</v>
      </c>
      <c r="L15">
        <v>149</v>
      </c>
      <c r="M15" s="6"/>
      <c r="N15">
        <v>34.935897435897438</v>
      </c>
    </row>
    <row r="16" spans="1:14" x14ac:dyDescent="0.3">
      <c r="A16" s="5">
        <v>44197</v>
      </c>
      <c r="B16" s="6" t="s">
        <v>102</v>
      </c>
      <c r="C16">
        <v>3.11</v>
      </c>
      <c r="D16">
        <v>1725</v>
      </c>
      <c r="E16">
        <v>553</v>
      </c>
      <c r="F16">
        <v>562</v>
      </c>
      <c r="G16">
        <v>535</v>
      </c>
      <c r="H16">
        <v>557</v>
      </c>
      <c r="I16">
        <v>117</v>
      </c>
      <c r="J16" s="6" t="s">
        <v>104</v>
      </c>
      <c r="K16" s="6" t="s">
        <v>280</v>
      </c>
      <c r="L16">
        <v>154</v>
      </c>
      <c r="M16" s="6"/>
      <c r="N16">
        <v>37.620578778135048</v>
      </c>
    </row>
    <row r="17" spans="1:14" x14ac:dyDescent="0.3">
      <c r="A17" s="5">
        <v>44202</v>
      </c>
      <c r="B17" s="6" t="s">
        <v>102</v>
      </c>
      <c r="C17">
        <v>3.11</v>
      </c>
      <c r="D17">
        <v>1622</v>
      </c>
      <c r="E17">
        <v>521</v>
      </c>
      <c r="F17">
        <v>537</v>
      </c>
      <c r="G17">
        <v>507</v>
      </c>
      <c r="H17">
        <v>519</v>
      </c>
      <c r="I17">
        <v>134</v>
      </c>
      <c r="J17" s="6" t="s">
        <v>104</v>
      </c>
      <c r="K17" s="6" t="s">
        <v>314</v>
      </c>
      <c r="L17">
        <v>159</v>
      </c>
      <c r="M17" s="6"/>
      <c r="N17">
        <v>43.086816720257239</v>
      </c>
    </row>
    <row r="18" spans="1:14" x14ac:dyDescent="0.3">
      <c r="A18" s="5">
        <v>44204</v>
      </c>
      <c r="B18" s="6" t="s">
        <v>102</v>
      </c>
      <c r="C18">
        <v>3.11</v>
      </c>
      <c r="D18">
        <v>1577</v>
      </c>
      <c r="E18">
        <v>506</v>
      </c>
      <c r="F18">
        <v>511</v>
      </c>
      <c r="G18">
        <v>500</v>
      </c>
      <c r="H18">
        <v>508</v>
      </c>
      <c r="I18">
        <v>125</v>
      </c>
      <c r="J18" s="6" t="s">
        <v>104</v>
      </c>
      <c r="K18" s="6" t="s">
        <v>313</v>
      </c>
      <c r="L18">
        <v>161</v>
      </c>
      <c r="M18" s="6"/>
      <c r="N18">
        <v>40.19292604501608</v>
      </c>
    </row>
    <row r="19" spans="1:14" x14ac:dyDescent="0.3">
      <c r="A19" s="5">
        <v>44211</v>
      </c>
      <c r="B19" s="6" t="s">
        <v>102</v>
      </c>
      <c r="C19">
        <v>3.11</v>
      </c>
      <c r="D19">
        <v>1616</v>
      </c>
      <c r="E19">
        <v>518</v>
      </c>
      <c r="F19">
        <v>520</v>
      </c>
      <c r="G19">
        <v>517</v>
      </c>
      <c r="H19">
        <v>518</v>
      </c>
      <c r="I19">
        <v>107</v>
      </c>
      <c r="J19" s="6" t="s">
        <v>104</v>
      </c>
      <c r="K19" s="6" t="s">
        <v>322</v>
      </c>
      <c r="L19">
        <v>168</v>
      </c>
      <c r="M19" s="6"/>
      <c r="N19">
        <v>34.40514469453376</v>
      </c>
    </row>
    <row r="20" spans="1:14" x14ac:dyDescent="0.3">
      <c r="A20" s="5">
        <v>44218</v>
      </c>
      <c r="B20" s="6" t="s">
        <v>102</v>
      </c>
      <c r="C20">
        <v>3.11</v>
      </c>
      <c r="D20">
        <v>1517</v>
      </c>
      <c r="E20">
        <v>487</v>
      </c>
      <c r="F20">
        <v>489</v>
      </c>
      <c r="G20">
        <v>480</v>
      </c>
      <c r="H20">
        <v>488</v>
      </c>
      <c r="I20">
        <v>110</v>
      </c>
      <c r="J20" s="6" t="s">
        <v>104</v>
      </c>
      <c r="K20" s="6" t="s">
        <v>331</v>
      </c>
      <c r="L20">
        <v>175</v>
      </c>
      <c r="M20" s="6"/>
      <c r="N20">
        <v>35.369774919614152</v>
      </c>
    </row>
    <row r="21" spans="1:14" x14ac:dyDescent="0.3">
      <c r="A21" s="5">
        <v>44225</v>
      </c>
      <c r="B21" s="6" t="s">
        <v>102</v>
      </c>
      <c r="C21">
        <v>3.11</v>
      </c>
      <c r="D21">
        <v>1581</v>
      </c>
      <c r="E21">
        <v>507</v>
      </c>
      <c r="F21">
        <v>493</v>
      </c>
      <c r="G21">
        <v>501</v>
      </c>
      <c r="H21">
        <v>534</v>
      </c>
      <c r="I21">
        <v>116</v>
      </c>
      <c r="J21" s="6" t="s">
        <v>104</v>
      </c>
      <c r="K21" s="6" t="s">
        <v>336</v>
      </c>
      <c r="L21">
        <v>182</v>
      </c>
      <c r="M21" s="6"/>
      <c r="N21">
        <v>37.29903536977492</v>
      </c>
    </row>
    <row r="22" spans="1:14" x14ac:dyDescent="0.3">
      <c r="A22" s="5">
        <v>44227</v>
      </c>
      <c r="B22" s="6" t="s">
        <v>102</v>
      </c>
      <c r="C22">
        <v>3.1</v>
      </c>
      <c r="D22">
        <v>1593</v>
      </c>
      <c r="E22">
        <v>513</v>
      </c>
      <c r="F22">
        <v>507</v>
      </c>
      <c r="G22">
        <v>503</v>
      </c>
      <c r="H22">
        <v>521</v>
      </c>
      <c r="I22">
        <v>116</v>
      </c>
      <c r="J22" s="6" t="s">
        <v>104</v>
      </c>
      <c r="K22" s="6" t="s">
        <v>340</v>
      </c>
      <c r="L22">
        <v>184</v>
      </c>
      <c r="M22" s="6"/>
      <c r="N22">
        <v>37.41935483870968</v>
      </c>
    </row>
    <row r="23" spans="1:14" x14ac:dyDescent="0.3">
      <c r="A23" s="5">
        <v>44228</v>
      </c>
      <c r="B23" s="6" t="s">
        <v>102</v>
      </c>
      <c r="C23">
        <v>4.0199999999999996</v>
      </c>
      <c r="D23">
        <v>2009</v>
      </c>
      <c r="E23">
        <v>499</v>
      </c>
      <c r="F23">
        <v>503</v>
      </c>
      <c r="G23">
        <v>504</v>
      </c>
      <c r="H23">
        <v>477</v>
      </c>
      <c r="I23">
        <v>130</v>
      </c>
      <c r="J23" s="6" t="s">
        <v>104</v>
      </c>
      <c r="K23" s="6" t="s">
        <v>341</v>
      </c>
      <c r="L23">
        <v>185</v>
      </c>
      <c r="M23" s="6"/>
      <c r="N23">
        <v>32.338308457711449</v>
      </c>
    </row>
    <row r="24" spans="1:14" x14ac:dyDescent="0.3">
      <c r="A24" s="5">
        <v>44232</v>
      </c>
      <c r="B24" s="6" t="s">
        <v>102</v>
      </c>
      <c r="C24">
        <v>3.11</v>
      </c>
      <c r="D24">
        <v>1464</v>
      </c>
      <c r="E24">
        <v>469</v>
      </c>
      <c r="F24">
        <v>489</v>
      </c>
      <c r="G24">
        <v>461</v>
      </c>
      <c r="H24">
        <v>462</v>
      </c>
      <c r="I24">
        <v>124</v>
      </c>
      <c r="J24" s="6" t="s">
        <v>104</v>
      </c>
      <c r="K24" s="6" t="s">
        <v>345</v>
      </c>
      <c r="L24">
        <v>189</v>
      </c>
      <c r="M24" s="6"/>
      <c r="N24">
        <v>39.871382636655952</v>
      </c>
    </row>
    <row r="25" spans="1:14" x14ac:dyDescent="0.3">
      <c r="A25" s="5">
        <v>44239</v>
      </c>
      <c r="B25" s="6" t="s">
        <v>102</v>
      </c>
      <c r="C25">
        <v>3.12</v>
      </c>
      <c r="D25">
        <v>1594</v>
      </c>
      <c r="E25">
        <v>510</v>
      </c>
      <c r="F25">
        <v>499</v>
      </c>
      <c r="G25">
        <v>502</v>
      </c>
      <c r="H25">
        <v>528</v>
      </c>
      <c r="I25">
        <v>109</v>
      </c>
      <c r="J25" s="6" t="s">
        <v>104</v>
      </c>
      <c r="K25" s="6" t="s">
        <v>353</v>
      </c>
      <c r="L25">
        <v>196</v>
      </c>
      <c r="M25" s="6"/>
      <c r="N25">
        <v>34.935897435897438</v>
      </c>
    </row>
    <row r="26" spans="1:14" x14ac:dyDescent="0.3">
      <c r="A26" s="5">
        <v>44241</v>
      </c>
      <c r="B26" s="6" t="s">
        <v>102</v>
      </c>
      <c r="C26">
        <v>3.72</v>
      </c>
      <c r="D26">
        <v>2105</v>
      </c>
      <c r="E26">
        <v>565</v>
      </c>
      <c r="F26">
        <v>558</v>
      </c>
      <c r="G26">
        <v>557</v>
      </c>
      <c r="H26">
        <v>573</v>
      </c>
      <c r="I26">
        <v>141</v>
      </c>
      <c r="J26" s="6" t="s">
        <v>104</v>
      </c>
      <c r="K26" s="6" t="s">
        <v>355</v>
      </c>
      <c r="L26">
        <v>198</v>
      </c>
      <c r="M26" s="6"/>
      <c r="N26">
        <v>37.903225806451609</v>
      </c>
    </row>
    <row r="27" spans="1:14" x14ac:dyDescent="0.3">
      <c r="A27" s="5">
        <v>44244</v>
      </c>
      <c r="B27" s="6" t="s">
        <v>102</v>
      </c>
      <c r="C27">
        <v>3.13</v>
      </c>
      <c r="D27">
        <v>1604</v>
      </c>
      <c r="E27">
        <v>512</v>
      </c>
      <c r="F27">
        <v>503</v>
      </c>
      <c r="G27">
        <v>511</v>
      </c>
      <c r="H27">
        <v>522</v>
      </c>
      <c r="I27">
        <v>117</v>
      </c>
      <c r="J27" s="6" t="s">
        <v>104</v>
      </c>
      <c r="K27" s="6" t="s">
        <v>358</v>
      </c>
      <c r="L27">
        <v>201</v>
      </c>
      <c r="M27" s="6"/>
      <c r="N27">
        <v>37.380191693290733</v>
      </c>
    </row>
    <row r="28" spans="1:14" x14ac:dyDescent="0.3">
      <c r="A28" s="5">
        <v>44245</v>
      </c>
      <c r="B28" s="6" t="s">
        <v>102</v>
      </c>
      <c r="C28">
        <v>3.12</v>
      </c>
      <c r="D28">
        <v>1663</v>
      </c>
      <c r="E28">
        <v>533</v>
      </c>
      <c r="F28">
        <v>542</v>
      </c>
      <c r="G28">
        <v>526</v>
      </c>
      <c r="H28">
        <v>550</v>
      </c>
      <c r="I28">
        <v>112</v>
      </c>
      <c r="J28" s="6" t="s">
        <v>104</v>
      </c>
      <c r="K28" s="6" t="s">
        <v>359</v>
      </c>
      <c r="L28">
        <v>202</v>
      </c>
      <c r="M28" s="6"/>
      <c r="N28">
        <v>35.897435897435898</v>
      </c>
    </row>
    <row r="29" spans="1:14" x14ac:dyDescent="0.3">
      <c r="A29" s="5">
        <v>44246</v>
      </c>
      <c r="B29" s="6" t="s">
        <v>102</v>
      </c>
      <c r="C29">
        <v>3.11</v>
      </c>
      <c r="D29">
        <v>1565</v>
      </c>
      <c r="E29">
        <v>502</v>
      </c>
      <c r="F29">
        <v>490</v>
      </c>
      <c r="G29">
        <v>497</v>
      </c>
      <c r="H29">
        <v>507</v>
      </c>
      <c r="I29">
        <v>118</v>
      </c>
      <c r="J29" s="6" t="s">
        <v>104</v>
      </c>
      <c r="K29" s="6" t="s">
        <v>360</v>
      </c>
      <c r="L29">
        <v>203</v>
      </c>
      <c r="M29" s="6"/>
      <c r="N29">
        <v>37.942122186495176</v>
      </c>
    </row>
    <row r="30" spans="1:14" x14ac:dyDescent="0.3">
      <c r="A30" s="5">
        <v>44253</v>
      </c>
      <c r="B30" s="6" t="s">
        <v>102</v>
      </c>
      <c r="C30">
        <v>5.33</v>
      </c>
      <c r="D30">
        <v>2763</v>
      </c>
      <c r="E30">
        <v>518</v>
      </c>
      <c r="F30">
        <v>508</v>
      </c>
      <c r="G30">
        <v>504</v>
      </c>
      <c r="H30">
        <v>493</v>
      </c>
      <c r="I30">
        <v>141</v>
      </c>
      <c r="J30" s="6" t="s">
        <v>104</v>
      </c>
      <c r="K30" s="6" t="s">
        <v>368</v>
      </c>
      <c r="L30">
        <v>210</v>
      </c>
      <c r="M30" s="6"/>
      <c r="N30">
        <v>26.454033771106943</v>
      </c>
    </row>
    <row r="31" spans="1:14" x14ac:dyDescent="0.3">
      <c r="A31" s="5">
        <v>44255</v>
      </c>
      <c r="B31" s="6" t="s">
        <v>102</v>
      </c>
      <c r="C31">
        <v>3.16</v>
      </c>
      <c r="D31">
        <v>1542</v>
      </c>
      <c r="E31">
        <v>487</v>
      </c>
      <c r="F31">
        <v>494</v>
      </c>
      <c r="G31">
        <v>482</v>
      </c>
      <c r="H31">
        <v>494</v>
      </c>
      <c r="I31">
        <v>108</v>
      </c>
      <c r="J31" s="6" t="s">
        <v>104</v>
      </c>
      <c r="K31" s="6" t="s">
        <v>372</v>
      </c>
      <c r="L31">
        <v>212</v>
      </c>
      <c r="M31" s="6"/>
      <c r="N31">
        <v>34.177215189873415</v>
      </c>
    </row>
    <row r="32" spans="1:14" x14ac:dyDescent="0.3">
      <c r="A32" s="5">
        <v>44260</v>
      </c>
      <c r="B32" s="6" t="s">
        <v>102</v>
      </c>
      <c r="C32">
        <v>3.16</v>
      </c>
      <c r="D32">
        <v>1652</v>
      </c>
      <c r="E32">
        <v>522</v>
      </c>
      <c r="F32">
        <v>501</v>
      </c>
      <c r="G32">
        <v>531</v>
      </c>
      <c r="H32">
        <v>536</v>
      </c>
      <c r="I32">
        <v>118</v>
      </c>
      <c r="J32" s="6" t="s">
        <v>104</v>
      </c>
      <c r="K32" s="6" t="s">
        <v>379</v>
      </c>
      <c r="L32">
        <v>217</v>
      </c>
      <c r="M32" s="6"/>
      <c r="N32">
        <v>37.341772151898731</v>
      </c>
    </row>
    <row r="33" spans="1:14" x14ac:dyDescent="0.3">
      <c r="A33" s="5">
        <v>44262</v>
      </c>
      <c r="B33" s="6" t="s">
        <v>102</v>
      </c>
      <c r="C33">
        <v>3.21</v>
      </c>
      <c r="D33">
        <v>1723</v>
      </c>
      <c r="E33">
        <v>536</v>
      </c>
      <c r="F33">
        <v>533</v>
      </c>
      <c r="G33">
        <v>518</v>
      </c>
      <c r="H33">
        <v>553</v>
      </c>
      <c r="I33">
        <v>118</v>
      </c>
      <c r="J33" s="6" t="s">
        <v>104</v>
      </c>
      <c r="K33" s="6" t="s">
        <v>384</v>
      </c>
      <c r="L33">
        <v>219</v>
      </c>
      <c r="M33" s="6"/>
      <c r="N33">
        <v>36.760124610591902</v>
      </c>
    </row>
    <row r="34" spans="1:14" x14ac:dyDescent="0.3">
      <c r="A34" s="5">
        <v>44267</v>
      </c>
      <c r="B34" s="6" t="s">
        <v>102</v>
      </c>
      <c r="C34">
        <v>3.14</v>
      </c>
      <c r="D34">
        <v>1708</v>
      </c>
      <c r="E34">
        <v>544</v>
      </c>
      <c r="F34">
        <v>508</v>
      </c>
      <c r="G34">
        <v>555</v>
      </c>
      <c r="H34">
        <v>570</v>
      </c>
      <c r="I34">
        <v>108</v>
      </c>
      <c r="J34" s="6" t="s">
        <v>104</v>
      </c>
      <c r="K34" s="6" t="s">
        <v>386</v>
      </c>
      <c r="L34">
        <v>224</v>
      </c>
      <c r="M34" s="6"/>
      <c r="N34">
        <v>34.394904458598724</v>
      </c>
    </row>
    <row r="35" spans="1:14" x14ac:dyDescent="0.3">
      <c r="A35" s="5">
        <v>44274</v>
      </c>
      <c r="B35" s="6" t="s">
        <v>102</v>
      </c>
      <c r="C35">
        <v>3.11</v>
      </c>
      <c r="D35">
        <v>1752</v>
      </c>
      <c r="E35">
        <v>562</v>
      </c>
      <c r="F35">
        <v>549</v>
      </c>
      <c r="G35">
        <v>586</v>
      </c>
      <c r="H35">
        <v>553</v>
      </c>
      <c r="I35">
        <v>138</v>
      </c>
      <c r="J35" s="6" t="s">
        <v>104</v>
      </c>
      <c r="K35" s="6" t="s">
        <v>395</v>
      </c>
      <c r="L35">
        <v>231</v>
      </c>
      <c r="M35" s="6"/>
      <c r="N35">
        <v>44.372990353697752</v>
      </c>
    </row>
    <row r="36" spans="1:14" x14ac:dyDescent="0.3">
      <c r="A36" s="5">
        <v>44281</v>
      </c>
      <c r="B36" s="6" t="s">
        <v>102</v>
      </c>
      <c r="C36">
        <v>3.13</v>
      </c>
      <c r="D36">
        <v>1828</v>
      </c>
      <c r="E36">
        <v>583</v>
      </c>
      <c r="F36">
        <v>588</v>
      </c>
      <c r="G36">
        <v>578</v>
      </c>
      <c r="H36">
        <v>583</v>
      </c>
      <c r="I36">
        <v>108</v>
      </c>
      <c r="J36" s="6" t="s">
        <v>104</v>
      </c>
      <c r="K36" s="6" t="s">
        <v>409</v>
      </c>
      <c r="L36">
        <v>238</v>
      </c>
      <c r="M36" s="6"/>
      <c r="N36">
        <v>34.504792332268373</v>
      </c>
    </row>
    <row r="37" spans="1:14" x14ac:dyDescent="0.3">
      <c r="A37" s="5">
        <v>44283</v>
      </c>
      <c r="B37" s="6" t="s">
        <v>102</v>
      </c>
      <c r="C37">
        <v>3.23</v>
      </c>
      <c r="D37">
        <v>1816</v>
      </c>
      <c r="E37">
        <v>561</v>
      </c>
      <c r="F37">
        <v>541</v>
      </c>
      <c r="G37">
        <v>548</v>
      </c>
      <c r="H37">
        <v>582</v>
      </c>
      <c r="I37">
        <v>151</v>
      </c>
      <c r="J37" s="6" t="s">
        <v>104</v>
      </c>
      <c r="K37" s="6" t="s">
        <v>411</v>
      </c>
      <c r="L37">
        <v>240</v>
      </c>
      <c r="M37" s="6"/>
      <c r="N37">
        <v>46.749226006191954</v>
      </c>
    </row>
    <row r="38" spans="1:14" x14ac:dyDescent="0.3">
      <c r="A38" s="5">
        <v>44288</v>
      </c>
      <c r="B38" s="6" t="s">
        <v>102</v>
      </c>
      <c r="C38">
        <v>3.11</v>
      </c>
      <c r="D38">
        <v>1673</v>
      </c>
      <c r="E38">
        <v>537</v>
      </c>
      <c r="F38">
        <v>518</v>
      </c>
      <c r="G38">
        <v>532</v>
      </c>
      <c r="H38">
        <v>556</v>
      </c>
      <c r="I38">
        <v>121</v>
      </c>
      <c r="J38" s="6" t="s">
        <v>104</v>
      </c>
      <c r="K38" s="6" t="s">
        <v>417</v>
      </c>
      <c r="L38">
        <v>245</v>
      </c>
      <c r="M38" s="6"/>
      <c r="N38">
        <v>38.906752411575567</v>
      </c>
    </row>
    <row r="39" spans="1:14" x14ac:dyDescent="0.3">
      <c r="A39" s="5">
        <v>44302</v>
      </c>
      <c r="B39" s="6" t="s">
        <v>102</v>
      </c>
      <c r="C39">
        <v>3.12</v>
      </c>
      <c r="D39">
        <v>1748</v>
      </c>
      <c r="E39">
        <v>559</v>
      </c>
      <c r="F39">
        <v>539</v>
      </c>
      <c r="G39">
        <v>561</v>
      </c>
      <c r="H39">
        <v>571</v>
      </c>
      <c r="I39">
        <v>121</v>
      </c>
      <c r="J39" s="6" t="s">
        <v>104</v>
      </c>
      <c r="K39" s="6" t="s">
        <v>442</v>
      </c>
      <c r="L39">
        <v>259</v>
      </c>
      <c r="M39" s="6"/>
      <c r="N39">
        <v>38.782051282051277</v>
      </c>
    </row>
    <row r="40" spans="1:14" x14ac:dyDescent="0.3">
      <c r="A40" s="5">
        <v>44304</v>
      </c>
      <c r="B40" s="6" t="s">
        <v>102</v>
      </c>
      <c r="C40">
        <v>3.12</v>
      </c>
      <c r="D40">
        <v>1774</v>
      </c>
      <c r="E40">
        <v>568</v>
      </c>
      <c r="F40">
        <v>559</v>
      </c>
      <c r="G40">
        <v>567</v>
      </c>
      <c r="H40">
        <v>580</v>
      </c>
      <c r="I40">
        <v>121</v>
      </c>
      <c r="J40" s="6" t="s">
        <v>104</v>
      </c>
      <c r="K40" s="6" t="s">
        <v>438</v>
      </c>
      <c r="L40">
        <v>261</v>
      </c>
      <c r="M40" s="6"/>
      <c r="N40">
        <v>38.782051282051277</v>
      </c>
    </row>
    <row r="41" spans="1:14" x14ac:dyDescent="0.3">
      <c r="A41" s="5">
        <v>44309</v>
      </c>
      <c r="B41" s="6" t="s">
        <v>102</v>
      </c>
      <c r="C41">
        <v>3.19</v>
      </c>
      <c r="D41">
        <v>1719</v>
      </c>
      <c r="E41">
        <v>538</v>
      </c>
      <c r="F41">
        <v>530</v>
      </c>
      <c r="G41">
        <v>542</v>
      </c>
      <c r="H41">
        <v>548</v>
      </c>
      <c r="I41">
        <v>115</v>
      </c>
      <c r="J41" s="6" t="s">
        <v>104</v>
      </c>
      <c r="K41" s="6" t="s">
        <v>445</v>
      </c>
      <c r="L41">
        <v>266</v>
      </c>
      <c r="M41" s="6"/>
      <c r="N41">
        <v>36.050156739811911</v>
      </c>
    </row>
    <row r="42" spans="1:14" x14ac:dyDescent="0.3">
      <c r="A42" s="5">
        <v>44315</v>
      </c>
      <c r="B42" s="6" t="s">
        <v>102</v>
      </c>
      <c r="C42">
        <v>3.12</v>
      </c>
      <c r="D42">
        <v>1776</v>
      </c>
      <c r="E42">
        <v>569</v>
      </c>
      <c r="F42">
        <v>567</v>
      </c>
      <c r="G42">
        <v>562</v>
      </c>
      <c r="H42">
        <v>575</v>
      </c>
      <c r="I42">
        <v>109</v>
      </c>
      <c r="J42" s="6" t="s">
        <v>104</v>
      </c>
      <c r="K42" s="6" t="s">
        <v>452</v>
      </c>
      <c r="L42">
        <v>272</v>
      </c>
      <c r="M42" s="6"/>
      <c r="N42">
        <v>34.935897435897438</v>
      </c>
    </row>
    <row r="43" spans="1:14" x14ac:dyDescent="0.3">
      <c r="A43" s="5">
        <v>44316</v>
      </c>
      <c r="B43" s="6" t="s">
        <v>102</v>
      </c>
      <c r="C43">
        <v>3.12</v>
      </c>
      <c r="D43">
        <v>1797</v>
      </c>
      <c r="E43">
        <v>575</v>
      </c>
      <c r="F43">
        <v>566</v>
      </c>
      <c r="G43">
        <v>581</v>
      </c>
      <c r="H43">
        <v>574</v>
      </c>
      <c r="I43">
        <v>108</v>
      </c>
      <c r="J43" s="6" t="s">
        <v>104</v>
      </c>
      <c r="K43" s="6" t="s">
        <v>455</v>
      </c>
      <c r="L43">
        <v>273</v>
      </c>
      <c r="M43" s="6"/>
      <c r="N43">
        <v>34.615384615384613</v>
      </c>
    </row>
    <row r="44" spans="1:14" x14ac:dyDescent="0.3">
      <c r="A44" s="5">
        <v>44318</v>
      </c>
      <c r="B44" s="6" t="s">
        <v>102</v>
      </c>
      <c r="C44">
        <v>3.12</v>
      </c>
      <c r="D44">
        <v>1686</v>
      </c>
      <c r="E44">
        <v>540</v>
      </c>
      <c r="F44">
        <v>536</v>
      </c>
      <c r="G44">
        <v>535</v>
      </c>
      <c r="H44">
        <v>546</v>
      </c>
      <c r="I44">
        <v>108</v>
      </c>
      <c r="J44" s="6" t="s">
        <v>104</v>
      </c>
      <c r="K44" s="6" t="s">
        <v>467</v>
      </c>
      <c r="L44">
        <v>275</v>
      </c>
      <c r="M44" s="6"/>
      <c r="N44">
        <v>34.615384615384613</v>
      </c>
    </row>
    <row r="45" spans="1:14" x14ac:dyDescent="0.3">
      <c r="A45" s="5">
        <v>44330</v>
      </c>
      <c r="B45" s="6" t="s">
        <v>102</v>
      </c>
      <c r="C45">
        <v>3.11</v>
      </c>
      <c r="D45">
        <v>1709</v>
      </c>
      <c r="E45">
        <v>548</v>
      </c>
      <c r="F45">
        <v>570</v>
      </c>
      <c r="G45">
        <v>537</v>
      </c>
      <c r="H45">
        <v>540</v>
      </c>
      <c r="I45">
        <v>112</v>
      </c>
      <c r="J45" s="6" t="s">
        <v>104</v>
      </c>
      <c r="K45" s="6" t="s">
        <v>482</v>
      </c>
      <c r="L45">
        <v>287</v>
      </c>
      <c r="M45" s="6"/>
      <c r="N45">
        <v>36.012861736334408</v>
      </c>
    </row>
    <row r="46" spans="1:14" x14ac:dyDescent="0.3">
      <c r="A46" s="5">
        <v>44339</v>
      </c>
      <c r="B46" s="6" t="s">
        <v>102</v>
      </c>
      <c r="C46">
        <v>3.13</v>
      </c>
      <c r="D46">
        <v>1851</v>
      </c>
      <c r="E46">
        <v>591</v>
      </c>
      <c r="F46">
        <v>591</v>
      </c>
      <c r="G46">
        <v>574</v>
      </c>
      <c r="H46">
        <v>615</v>
      </c>
      <c r="I46">
        <v>108</v>
      </c>
      <c r="J46" s="6" t="s">
        <v>104</v>
      </c>
      <c r="K46" s="6" t="s">
        <v>493</v>
      </c>
      <c r="L46">
        <v>296</v>
      </c>
      <c r="M46" s="6"/>
      <c r="N46">
        <v>34.504792332268373</v>
      </c>
    </row>
    <row r="47" spans="1:14" x14ac:dyDescent="0.3">
      <c r="A47" s="5">
        <v>44346</v>
      </c>
      <c r="B47" s="6" t="s">
        <v>102</v>
      </c>
      <c r="C47">
        <v>3.14</v>
      </c>
      <c r="D47">
        <v>1637</v>
      </c>
      <c r="E47">
        <v>521</v>
      </c>
      <c r="F47">
        <v>547</v>
      </c>
      <c r="G47">
        <v>543</v>
      </c>
      <c r="H47">
        <v>488</v>
      </c>
      <c r="I47">
        <v>118</v>
      </c>
      <c r="J47" s="6" t="s">
        <v>104</v>
      </c>
      <c r="K47" s="6" t="s">
        <v>506</v>
      </c>
      <c r="L47">
        <v>303</v>
      </c>
      <c r="M47" s="6"/>
      <c r="N47">
        <v>37.579617834394902</v>
      </c>
    </row>
    <row r="48" spans="1:14" x14ac:dyDescent="0.3">
      <c r="A48" s="5">
        <v>44351</v>
      </c>
      <c r="B48" s="6" t="s">
        <v>102</v>
      </c>
      <c r="C48">
        <v>3.14</v>
      </c>
      <c r="D48">
        <v>1856</v>
      </c>
      <c r="E48">
        <v>591</v>
      </c>
      <c r="F48">
        <v>619</v>
      </c>
      <c r="G48">
        <v>577</v>
      </c>
      <c r="H48">
        <v>573</v>
      </c>
      <c r="I48">
        <v>125</v>
      </c>
      <c r="J48" s="6" t="s">
        <v>104</v>
      </c>
      <c r="K48" s="6" t="s">
        <v>515</v>
      </c>
      <c r="L48">
        <v>308</v>
      </c>
      <c r="M48" s="6"/>
      <c r="N48">
        <v>39.808917197452224</v>
      </c>
    </row>
    <row r="49" spans="1:14" x14ac:dyDescent="0.3">
      <c r="A49" s="5">
        <v>44358</v>
      </c>
      <c r="B49" s="6" t="s">
        <v>102</v>
      </c>
      <c r="C49">
        <v>3.17</v>
      </c>
      <c r="D49">
        <v>1786</v>
      </c>
      <c r="E49">
        <v>563</v>
      </c>
      <c r="F49">
        <v>587</v>
      </c>
      <c r="G49">
        <v>563</v>
      </c>
      <c r="H49">
        <v>557</v>
      </c>
      <c r="I49">
        <v>111</v>
      </c>
      <c r="J49" s="6" t="s">
        <v>104</v>
      </c>
      <c r="K49" s="6" t="s">
        <v>525</v>
      </c>
      <c r="L49">
        <v>315</v>
      </c>
      <c r="M49" s="6"/>
      <c r="N49">
        <v>35.01577287066246</v>
      </c>
    </row>
    <row r="50" spans="1:14" x14ac:dyDescent="0.3">
      <c r="A50" s="5">
        <v>44365</v>
      </c>
      <c r="B50" s="6" t="s">
        <v>102</v>
      </c>
      <c r="C50">
        <v>3.11</v>
      </c>
      <c r="D50">
        <v>1579</v>
      </c>
      <c r="E50">
        <v>507</v>
      </c>
      <c r="F50">
        <v>526</v>
      </c>
      <c r="G50">
        <v>484</v>
      </c>
      <c r="H50">
        <v>513</v>
      </c>
      <c r="I50">
        <v>142</v>
      </c>
      <c r="J50" s="6" t="s">
        <v>104</v>
      </c>
      <c r="K50" s="6" t="s">
        <v>533</v>
      </c>
      <c r="L50">
        <v>322</v>
      </c>
      <c r="M50" s="6"/>
      <c r="N50">
        <v>45.659163987138264</v>
      </c>
    </row>
    <row r="51" spans="1:14" x14ac:dyDescent="0.3">
      <c r="A51" s="5">
        <v>44367</v>
      </c>
      <c r="B51" s="6" t="s">
        <v>102</v>
      </c>
      <c r="C51">
        <v>3.11</v>
      </c>
      <c r="D51">
        <v>1718</v>
      </c>
      <c r="E51">
        <v>551</v>
      </c>
      <c r="F51">
        <v>534</v>
      </c>
      <c r="G51">
        <v>543</v>
      </c>
      <c r="H51">
        <v>570</v>
      </c>
      <c r="I51">
        <v>115</v>
      </c>
      <c r="J51" s="6" t="s">
        <v>104</v>
      </c>
      <c r="K51" s="6" t="s">
        <v>535</v>
      </c>
      <c r="L51">
        <v>324</v>
      </c>
      <c r="M51" s="6"/>
      <c r="N51">
        <v>36.977491961414792</v>
      </c>
    </row>
    <row r="52" spans="1:14" x14ac:dyDescent="0.3">
      <c r="A52" s="5">
        <v>44370</v>
      </c>
      <c r="B52" s="6" t="s">
        <v>102</v>
      </c>
      <c r="C52">
        <v>3.12</v>
      </c>
      <c r="D52">
        <v>1679</v>
      </c>
      <c r="E52">
        <v>537</v>
      </c>
      <c r="F52">
        <v>557</v>
      </c>
      <c r="G52">
        <v>560</v>
      </c>
      <c r="H52">
        <v>510</v>
      </c>
      <c r="I52">
        <v>112</v>
      </c>
      <c r="J52" s="6" t="s">
        <v>104</v>
      </c>
      <c r="K52" s="6" t="s">
        <v>537</v>
      </c>
      <c r="L52">
        <v>327</v>
      </c>
      <c r="M52" s="6"/>
      <c r="N52">
        <v>35.897435897435898</v>
      </c>
    </row>
    <row r="53" spans="1:14" x14ac:dyDescent="0.3">
      <c r="A53" s="5">
        <v>44374</v>
      </c>
      <c r="B53" s="6" t="s">
        <v>102</v>
      </c>
      <c r="C53">
        <v>3.11</v>
      </c>
      <c r="D53">
        <v>1911</v>
      </c>
      <c r="E53">
        <v>613</v>
      </c>
      <c r="F53">
        <v>618</v>
      </c>
      <c r="G53">
        <v>609</v>
      </c>
      <c r="H53">
        <v>613</v>
      </c>
      <c r="I53">
        <v>112</v>
      </c>
      <c r="J53" s="6" t="s">
        <v>104</v>
      </c>
      <c r="K53" s="6" t="s">
        <v>540</v>
      </c>
      <c r="L53">
        <v>331</v>
      </c>
      <c r="M53" s="6"/>
      <c r="N53">
        <v>36.012861736334408</v>
      </c>
    </row>
    <row r="54" spans="1:14" x14ac:dyDescent="0.3">
      <c r="A54" s="5">
        <v>44379</v>
      </c>
      <c r="B54" s="6" t="s">
        <v>102</v>
      </c>
      <c r="C54">
        <v>3.11</v>
      </c>
      <c r="D54">
        <v>1640</v>
      </c>
      <c r="E54">
        <v>527</v>
      </c>
      <c r="F54">
        <v>532</v>
      </c>
      <c r="G54">
        <v>513</v>
      </c>
      <c r="H54">
        <v>530</v>
      </c>
      <c r="I54">
        <v>128</v>
      </c>
      <c r="J54" s="6" t="s">
        <v>104</v>
      </c>
      <c r="K54" s="6" t="s">
        <v>544</v>
      </c>
      <c r="L54">
        <v>336</v>
      </c>
      <c r="M54" s="6"/>
      <c r="N54">
        <v>41.157556270096464</v>
      </c>
    </row>
    <row r="55" spans="1:14" x14ac:dyDescent="0.3">
      <c r="A55" s="5">
        <v>44381</v>
      </c>
      <c r="B55" s="6" t="s">
        <v>102</v>
      </c>
      <c r="C55">
        <v>3.11</v>
      </c>
      <c r="D55">
        <v>1757</v>
      </c>
      <c r="E55">
        <v>564</v>
      </c>
      <c r="F55">
        <v>538</v>
      </c>
      <c r="G55">
        <v>576</v>
      </c>
      <c r="H55">
        <v>575</v>
      </c>
      <c r="I55">
        <v>144</v>
      </c>
      <c r="J55" s="6" t="s">
        <v>104</v>
      </c>
      <c r="K55" s="6" t="s">
        <v>547</v>
      </c>
      <c r="L55">
        <v>338</v>
      </c>
      <c r="M55" s="6"/>
      <c r="N55">
        <v>46.30225080385852</v>
      </c>
    </row>
    <row r="56" spans="1:14" x14ac:dyDescent="0.3">
      <c r="A56" s="5">
        <v>44382</v>
      </c>
      <c r="B56" s="6" t="s">
        <v>102</v>
      </c>
      <c r="C56">
        <v>3.11</v>
      </c>
      <c r="D56">
        <v>1728</v>
      </c>
      <c r="E56">
        <v>554</v>
      </c>
      <c r="F56">
        <v>555</v>
      </c>
      <c r="G56">
        <v>554</v>
      </c>
      <c r="H56">
        <v>559</v>
      </c>
      <c r="I56">
        <v>108</v>
      </c>
      <c r="J56" s="6" t="s">
        <v>104</v>
      </c>
      <c r="K56" s="6" t="s">
        <v>548</v>
      </c>
      <c r="L56">
        <v>339</v>
      </c>
      <c r="M56" s="6"/>
      <c r="N56">
        <v>34.726688102893895</v>
      </c>
    </row>
    <row r="57" spans="1:14" x14ac:dyDescent="0.3">
      <c r="A57" s="5">
        <v>44386</v>
      </c>
      <c r="B57" s="6" t="s">
        <v>102</v>
      </c>
      <c r="C57">
        <v>3.14</v>
      </c>
      <c r="D57">
        <v>1677</v>
      </c>
      <c r="E57">
        <v>533</v>
      </c>
      <c r="F57">
        <v>535</v>
      </c>
      <c r="G57">
        <v>554</v>
      </c>
      <c r="H57">
        <v>522</v>
      </c>
      <c r="I57">
        <v>135</v>
      </c>
      <c r="J57" s="6" t="s">
        <v>104</v>
      </c>
      <c r="K57" s="6" t="s">
        <v>556</v>
      </c>
      <c r="L57">
        <v>343</v>
      </c>
      <c r="M57" s="6"/>
      <c r="N57">
        <v>42.993630573248403</v>
      </c>
    </row>
    <row r="58" spans="1:14" x14ac:dyDescent="0.3">
      <c r="A58" s="5">
        <v>44388</v>
      </c>
      <c r="B58" s="6" t="s">
        <v>102</v>
      </c>
      <c r="C58">
        <v>3.12</v>
      </c>
      <c r="D58">
        <v>1807</v>
      </c>
      <c r="E58">
        <v>579</v>
      </c>
      <c r="F58">
        <v>573</v>
      </c>
      <c r="G58">
        <v>579</v>
      </c>
      <c r="H58">
        <v>584</v>
      </c>
      <c r="I58">
        <v>125</v>
      </c>
      <c r="J58" s="6" t="s">
        <v>104</v>
      </c>
      <c r="K58" s="6" t="s">
        <v>558</v>
      </c>
      <c r="L58">
        <v>345</v>
      </c>
      <c r="M58" s="6"/>
      <c r="N58">
        <v>40.064102564102562</v>
      </c>
    </row>
    <row r="59" spans="1:14" x14ac:dyDescent="0.3">
      <c r="A59" s="5">
        <v>44393</v>
      </c>
      <c r="B59" s="6" t="s">
        <v>102</v>
      </c>
      <c r="C59">
        <v>3.13</v>
      </c>
      <c r="D59">
        <v>1734</v>
      </c>
      <c r="E59">
        <v>553</v>
      </c>
      <c r="F59">
        <v>544</v>
      </c>
      <c r="G59">
        <v>560</v>
      </c>
      <c r="H59">
        <v>564</v>
      </c>
      <c r="I59">
        <v>109</v>
      </c>
      <c r="J59" s="6" t="s">
        <v>104</v>
      </c>
      <c r="K59" s="6" t="s">
        <v>563</v>
      </c>
      <c r="L59">
        <v>350</v>
      </c>
      <c r="M59" s="6"/>
      <c r="N59">
        <v>34.824281150159749</v>
      </c>
    </row>
    <row r="60" spans="1:14" x14ac:dyDescent="0.3">
      <c r="A60" s="5">
        <v>44408</v>
      </c>
      <c r="B60" s="6" t="s">
        <v>102</v>
      </c>
      <c r="C60">
        <v>3.12</v>
      </c>
      <c r="D60">
        <v>1498</v>
      </c>
      <c r="E60">
        <v>480</v>
      </c>
      <c r="F60">
        <v>490</v>
      </c>
      <c r="G60">
        <v>470</v>
      </c>
      <c r="H60">
        <v>486</v>
      </c>
      <c r="I60">
        <v>107</v>
      </c>
      <c r="J60" s="6" t="s">
        <v>104</v>
      </c>
      <c r="K60" s="6" t="s">
        <v>579</v>
      </c>
      <c r="L60">
        <v>365</v>
      </c>
      <c r="M60" s="6"/>
      <c r="N60">
        <v>34.294871794871796</v>
      </c>
    </row>
    <row r="61" spans="1:14" x14ac:dyDescent="0.3">
      <c r="A61" s="5">
        <v>44410</v>
      </c>
      <c r="B61" s="6" t="s">
        <v>102</v>
      </c>
      <c r="C61">
        <v>3.13</v>
      </c>
      <c r="D61">
        <v>1662</v>
      </c>
      <c r="E61">
        <v>530</v>
      </c>
      <c r="F61">
        <v>549</v>
      </c>
      <c r="G61">
        <v>523</v>
      </c>
      <c r="H61">
        <v>534</v>
      </c>
      <c r="I61">
        <v>115</v>
      </c>
      <c r="J61" s="6" t="s">
        <v>104</v>
      </c>
      <c r="K61" s="6" t="s">
        <v>585</v>
      </c>
      <c r="L61">
        <v>367</v>
      </c>
      <c r="M61" s="6"/>
      <c r="N61">
        <v>36.741214057507989</v>
      </c>
    </row>
    <row r="62" spans="1:14" x14ac:dyDescent="0.3">
      <c r="A62" s="5">
        <v>44411</v>
      </c>
      <c r="B62" s="6" t="s">
        <v>102</v>
      </c>
      <c r="C62">
        <v>3.16</v>
      </c>
      <c r="D62">
        <v>1806</v>
      </c>
      <c r="E62">
        <v>571</v>
      </c>
      <c r="F62">
        <v>569</v>
      </c>
      <c r="G62">
        <v>543</v>
      </c>
      <c r="H62">
        <v>588</v>
      </c>
      <c r="I62">
        <v>121</v>
      </c>
      <c r="J62" s="6" t="s">
        <v>104</v>
      </c>
      <c r="K62" s="6" t="s">
        <v>586</v>
      </c>
      <c r="L62">
        <v>368</v>
      </c>
      <c r="M62" s="6"/>
      <c r="N62">
        <v>38.291139240506325</v>
      </c>
    </row>
    <row r="63" spans="1:14" x14ac:dyDescent="0.3">
      <c r="A63" s="5">
        <v>44414</v>
      </c>
      <c r="B63" s="6" t="s">
        <v>102</v>
      </c>
      <c r="C63">
        <v>3.13</v>
      </c>
      <c r="D63">
        <v>1710</v>
      </c>
      <c r="E63">
        <v>546</v>
      </c>
      <c r="F63">
        <v>519</v>
      </c>
      <c r="G63">
        <v>556</v>
      </c>
      <c r="H63">
        <v>566</v>
      </c>
      <c r="I63">
        <v>115</v>
      </c>
      <c r="J63" s="6" t="s">
        <v>104</v>
      </c>
      <c r="K63" s="6" t="s">
        <v>589</v>
      </c>
      <c r="L63">
        <v>371</v>
      </c>
      <c r="M63" s="6"/>
      <c r="N63">
        <v>36.741214057507989</v>
      </c>
    </row>
    <row r="64" spans="1:14" x14ac:dyDescent="0.3">
      <c r="A64" s="5">
        <v>44420</v>
      </c>
      <c r="B64" s="6" t="s">
        <v>102</v>
      </c>
      <c r="C64">
        <v>3.11</v>
      </c>
      <c r="D64">
        <v>1703</v>
      </c>
      <c r="E64">
        <v>547</v>
      </c>
      <c r="F64">
        <v>548</v>
      </c>
      <c r="G64">
        <v>548</v>
      </c>
      <c r="H64">
        <v>561</v>
      </c>
      <c r="I64">
        <v>136</v>
      </c>
      <c r="J64" s="6" t="s">
        <v>104</v>
      </c>
      <c r="K64" s="6" t="s">
        <v>600</v>
      </c>
      <c r="L64">
        <v>377</v>
      </c>
      <c r="M64" s="6"/>
      <c r="N64">
        <v>43.729903536977496</v>
      </c>
    </row>
    <row r="65" spans="1:14" x14ac:dyDescent="0.3">
      <c r="A65" s="5">
        <v>44421</v>
      </c>
      <c r="B65" s="6" t="s">
        <v>102</v>
      </c>
      <c r="C65">
        <v>3.12</v>
      </c>
      <c r="D65">
        <v>1547</v>
      </c>
      <c r="E65">
        <v>496</v>
      </c>
      <c r="F65">
        <v>512</v>
      </c>
      <c r="G65">
        <v>494</v>
      </c>
      <c r="H65">
        <v>496</v>
      </c>
      <c r="I65">
        <v>105</v>
      </c>
      <c r="J65" s="6" t="s">
        <v>104</v>
      </c>
      <c r="K65" s="6" t="s">
        <v>601</v>
      </c>
      <c r="L65">
        <v>378</v>
      </c>
      <c r="M65" s="6"/>
      <c r="N65">
        <v>33.653846153846153</v>
      </c>
    </row>
    <row r="66" spans="1:14" x14ac:dyDescent="0.3">
      <c r="A66" s="5">
        <v>44425</v>
      </c>
      <c r="B66" s="6" t="s">
        <v>102</v>
      </c>
      <c r="C66">
        <v>3.12</v>
      </c>
      <c r="D66">
        <v>1690</v>
      </c>
      <c r="E66">
        <v>541</v>
      </c>
      <c r="F66">
        <v>533</v>
      </c>
      <c r="G66">
        <v>543</v>
      </c>
      <c r="H66">
        <v>558</v>
      </c>
      <c r="I66">
        <v>105</v>
      </c>
      <c r="J66" s="6" t="s">
        <v>104</v>
      </c>
      <c r="K66" s="6" t="s">
        <v>596</v>
      </c>
      <c r="L66">
        <v>382</v>
      </c>
      <c r="M66" s="6"/>
      <c r="N66">
        <v>33.653846153846153</v>
      </c>
    </row>
    <row r="67" spans="1:14" x14ac:dyDescent="0.3">
      <c r="A67" s="5">
        <v>44427</v>
      </c>
      <c r="B67" s="6" t="s">
        <v>102</v>
      </c>
      <c r="C67">
        <v>3.11</v>
      </c>
      <c r="D67">
        <v>1771</v>
      </c>
      <c r="E67">
        <v>568</v>
      </c>
      <c r="F67">
        <v>533</v>
      </c>
      <c r="G67">
        <v>543</v>
      </c>
      <c r="H67">
        <v>558</v>
      </c>
      <c r="I67">
        <v>105</v>
      </c>
      <c r="J67" s="6" t="s">
        <v>104</v>
      </c>
      <c r="K67" s="6" t="s">
        <v>594</v>
      </c>
      <c r="L67">
        <v>384</v>
      </c>
      <c r="M67" s="6"/>
      <c r="N67">
        <v>33.762057877813504</v>
      </c>
    </row>
    <row r="68" spans="1:14" x14ac:dyDescent="0.3">
      <c r="A68" s="5">
        <v>44430</v>
      </c>
      <c r="B68" s="6" t="s">
        <v>102</v>
      </c>
      <c r="C68">
        <v>3.3</v>
      </c>
      <c r="D68">
        <v>1906</v>
      </c>
      <c r="E68">
        <v>578</v>
      </c>
      <c r="F68">
        <v>583</v>
      </c>
      <c r="G68">
        <v>583</v>
      </c>
      <c r="H68">
        <v>577</v>
      </c>
      <c r="I68">
        <v>118</v>
      </c>
      <c r="J68" s="6" t="s">
        <v>104</v>
      </c>
      <c r="K68" s="6" t="s">
        <v>609</v>
      </c>
      <c r="L68">
        <v>387</v>
      </c>
      <c r="M68" s="6"/>
      <c r="N68">
        <v>35.757575757575758</v>
      </c>
    </row>
    <row r="69" spans="1:14" x14ac:dyDescent="0.3">
      <c r="A69" s="5">
        <v>44434</v>
      </c>
      <c r="B69" s="6" t="s">
        <v>102</v>
      </c>
      <c r="C69">
        <v>3.12</v>
      </c>
      <c r="D69">
        <v>1655</v>
      </c>
      <c r="E69">
        <v>530</v>
      </c>
      <c r="F69">
        <v>550</v>
      </c>
      <c r="G69">
        <v>510</v>
      </c>
      <c r="H69">
        <v>545</v>
      </c>
      <c r="I69">
        <v>118</v>
      </c>
      <c r="J69" s="6" t="s">
        <v>104</v>
      </c>
      <c r="K69" s="6" t="s">
        <v>615</v>
      </c>
      <c r="L69">
        <v>391</v>
      </c>
      <c r="M69" s="6"/>
      <c r="N69">
        <v>37.820512820512818</v>
      </c>
    </row>
    <row r="70" spans="1:14" x14ac:dyDescent="0.3">
      <c r="A70" s="5">
        <v>44439</v>
      </c>
      <c r="B70" s="6" t="s">
        <v>102</v>
      </c>
      <c r="C70">
        <v>3.15</v>
      </c>
      <c r="D70">
        <v>1772</v>
      </c>
      <c r="E70">
        <v>561</v>
      </c>
      <c r="F70">
        <v>554</v>
      </c>
      <c r="G70">
        <v>545</v>
      </c>
      <c r="H70">
        <v>576</v>
      </c>
      <c r="I70">
        <v>125</v>
      </c>
      <c r="J70" s="6" t="s">
        <v>104</v>
      </c>
      <c r="K70" s="6" t="s">
        <v>620</v>
      </c>
      <c r="L70">
        <v>396</v>
      </c>
      <c r="M70" s="6"/>
      <c r="N70">
        <v>39.682539682539677</v>
      </c>
    </row>
    <row r="71" spans="1:14" x14ac:dyDescent="0.3">
      <c r="A71" s="5">
        <v>44441</v>
      </c>
      <c r="B71" s="6" t="s">
        <v>102</v>
      </c>
      <c r="C71">
        <v>3.11</v>
      </c>
      <c r="D71">
        <v>1821</v>
      </c>
      <c r="E71">
        <v>585</v>
      </c>
      <c r="F71">
        <v>550</v>
      </c>
      <c r="G71">
        <v>565</v>
      </c>
      <c r="H71">
        <v>631</v>
      </c>
      <c r="I71">
        <v>144</v>
      </c>
      <c r="J71" s="6" t="s">
        <v>104</v>
      </c>
      <c r="K71" s="6" t="s">
        <v>634</v>
      </c>
      <c r="L71">
        <v>398</v>
      </c>
      <c r="M71" s="6"/>
      <c r="N71">
        <v>46.30225080385852</v>
      </c>
    </row>
    <row r="72" spans="1:14" x14ac:dyDescent="0.3">
      <c r="A72" s="5">
        <v>44444</v>
      </c>
      <c r="B72" s="6" t="s">
        <v>102</v>
      </c>
      <c r="C72">
        <v>3.13</v>
      </c>
      <c r="D72">
        <v>1734</v>
      </c>
      <c r="E72">
        <v>554</v>
      </c>
      <c r="F72">
        <v>569</v>
      </c>
      <c r="G72">
        <v>542</v>
      </c>
      <c r="H72">
        <v>562</v>
      </c>
      <c r="I72">
        <v>114</v>
      </c>
      <c r="J72" s="6" t="s">
        <v>104</v>
      </c>
      <c r="K72" s="6" t="s">
        <v>628</v>
      </c>
      <c r="L72">
        <v>401</v>
      </c>
      <c r="M72" s="6"/>
      <c r="N72">
        <v>36.421725239616613</v>
      </c>
    </row>
    <row r="73" spans="1:14" x14ac:dyDescent="0.3">
      <c r="A73" s="5">
        <v>44449</v>
      </c>
      <c r="B73" s="6" t="s">
        <v>102</v>
      </c>
      <c r="C73">
        <v>3.13</v>
      </c>
      <c r="D73">
        <v>1767</v>
      </c>
      <c r="E73">
        <v>563</v>
      </c>
      <c r="F73">
        <v>561</v>
      </c>
      <c r="G73">
        <v>565</v>
      </c>
      <c r="H73">
        <v>577</v>
      </c>
      <c r="I73">
        <v>118</v>
      </c>
      <c r="J73" s="6" t="s">
        <v>104</v>
      </c>
      <c r="K73" s="6" t="s">
        <v>637</v>
      </c>
      <c r="L73">
        <v>406</v>
      </c>
      <c r="M73" s="6"/>
      <c r="N73">
        <v>37.699680511182109</v>
      </c>
    </row>
    <row r="74" spans="1:14" x14ac:dyDescent="0.3">
      <c r="A74" s="5">
        <v>44451</v>
      </c>
      <c r="B74" s="6" t="s">
        <v>102</v>
      </c>
      <c r="C74">
        <v>3.12</v>
      </c>
      <c r="D74">
        <v>1837</v>
      </c>
      <c r="E74">
        <v>589</v>
      </c>
      <c r="F74">
        <v>586</v>
      </c>
      <c r="G74">
        <v>593</v>
      </c>
      <c r="H74">
        <v>584</v>
      </c>
      <c r="I74">
        <v>115</v>
      </c>
      <c r="J74" s="6" t="s">
        <v>104</v>
      </c>
      <c r="K74" s="6" t="s">
        <v>640</v>
      </c>
      <c r="L74">
        <v>408</v>
      </c>
      <c r="M74" s="6"/>
      <c r="N74">
        <v>36.858974358974358</v>
      </c>
    </row>
    <row r="75" spans="1:14" x14ac:dyDescent="0.3">
      <c r="A75" s="5">
        <v>44456</v>
      </c>
      <c r="B75" s="6" t="s">
        <v>102</v>
      </c>
      <c r="C75">
        <v>3.14</v>
      </c>
      <c r="D75">
        <v>1661</v>
      </c>
      <c r="E75">
        <v>528</v>
      </c>
      <c r="F75">
        <v>543</v>
      </c>
      <c r="G75">
        <v>529</v>
      </c>
      <c r="H75">
        <v>523</v>
      </c>
      <c r="I75">
        <v>112</v>
      </c>
      <c r="J75" s="6" t="s">
        <v>104</v>
      </c>
      <c r="K75" s="6" t="s">
        <v>648</v>
      </c>
      <c r="L75">
        <v>413</v>
      </c>
      <c r="M75" s="6"/>
      <c r="N75">
        <v>35.668789808917197</v>
      </c>
    </row>
    <row r="76" spans="1:14" x14ac:dyDescent="0.3">
      <c r="A76" s="5">
        <v>44458</v>
      </c>
      <c r="B76" s="6" t="s">
        <v>102</v>
      </c>
      <c r="C76">
        <v>3.12</v>
      </c>
      <c r="D76">
        <v>1798</v>
      </c>
      <c r="E76">
        <v>576</v>
      </c>
      <c r="F76">
        <v>590</v>
      </c>
      <c r="G76">
        <v>547</v>
      </c>
      <c r="H76">
        <v>600</v>
      </c>
      <c r="I76">
        <v>112</v>
      </c>
      <c r="J76" s="6" t="s">
        <v>104</v>
      </c>
      <c r="K76" s="6" t="s">
        <v>645</v>
      </c>
      <c r="L76">
        <v>415</v>
      </c>
      <c r="M76" s="6"/>
      <c r="N76">
        <v>35.897435897435898</v>
      </c>
    </row>
    <row r="77" spans="1:14" x14ac:dyDescent="0.3">
      <c r="A77" s="5">
        <v>44460</v>
      </c>
      <c r="B77" s="6" t="s">
        <v>102</v>
      </c>
      <c r="C77">
        <v>3.12</v>
      </c>
      <c r="D77">
        <v>1673</v>
      </c>
      <c r="E77">
        <v>536</v>
      </c>
      <c r="F77">
        <v>562</v>
      </c>
      <c r="G77">
        <v>535</v>
      </c>
      <c r="H77">
        <v>532</v>
      </c>
      <c r="I77">
        <v>125</v>
      </c>
      <c r="J77" s="6" t="s">
        <v>104</v>
      </c>
      <c r="K77" s="6" t="s">
        <v>651</v>
      </c>
      <c r="L77">
        <v>417</v>
      </c>
      <c r="M77" s="6"/>
      <c r="N77">
        <v>40.064102564102562</v>
      </c>
    </row>
    <row r="78" spans="1:14" x14ac:dyDescent="0.3">
      <c r="A78" s="5">
        <v>44462</v>
      </c>
      <c r="B78" s="6" t="s">
        <v>102</v>
      </c>
      <c r="C78">
        <v>3.51</v>
      </c>
      <c r="D78">
        <v>1805</v>
      </c>
      <c r="E78">
        <v>514</v>
      </c>
      <c r="F78">
        <v>499</v>
      </c>
      <c r="G78">
        <v>501</v>
      </c>
      <c r="H78">
        <v>535</v>
      </c>
      <c r="I78">
        <v>138</v>
      </c>
      <c r="J78" s="6" t="s">
        <v>104</v>
      </c>
      <c r="K78" s="6" t="s">
        <v>653</v>
      </c>
      <c r="L78">
        <v>419</v>
      </c>
      <c r="M78" s="6"/>
      <c r="N78">
        <v>39.316239316239319</v>
      </c>
    </row>
    <row r="79" spans="1:14" x14ac:dyDescent="0.3">
      <c r="A79" s="5">
        <v>44463</v>
      </c>
      <c r="B79" s="6" t="s">
        <v>102</v>
      </c>
      <c r="C79">
        <v>3.25</v>
      </c>
      <c r="D79">
        <v>1722</v>
      </c>
      <c r="E79">
        <v>530</v>
      </c>
      <c r="F79">
        <v>537</v>
      </c>
      <c r="G79">
        <v>536</v>
      </c>
      <c r="H79">
        <v>535</v>
      </c>
      <c r="I79">
        <v>127</v>
      </c>
      <c r="J79" s="6" t="s">
        <v>104</v>
      </c>
      <c r="K79" s="6" t="s">
        <v>654</v>
      </c>
      <c r="L79">
        <v>420</v>
      </c>
      <c r="M79" s="6"/>
      <c r="N79">
        <v>39.07692307692308</v>
      </c>
    </row>
    <row r="80" spans="1:14" x14ac:dyDescent="0.3">
      <c r="A80" s="5">
        <v>44470</v>
      </c>
      <c r="B80" s="6" t="s">
        <v>102</v>
      </c>
      <c r="C80">
        <v>3.11</v>
      </c>
      <c r="D80">
        <v>1654</v>
      </c>
      <c r="E80">
        <v>531</v>
      </c>
      <c r="F80">
        <v>544</v>
      </c>
      <c r="G80">
        <v>499</v>
      </c>
      <c r="H80">
        <v>546</v>
      </c>
      <c r="I80">
        <v>135</v>
      </c>
      <c r="J80" s="6" t="s">
        <v>104</v>
      </c>
      <c r="K80" s="6" t="s">
        <v>656</v>
      </c>
      <c r="L80">
        <v>427</v>
      </c>
      <c r="M80" s="6"/>
      <c r="N80">
        <v>43.408360128617367</v>
      </c>
    </row>
    <row r="81" spans="1:14" x14ac:dyDescent="0.3">
      <c r="A81" s="5">
        <v>44473</v>
      </c>
      <c r="B81" s="6" t="s">
        <v>102</v>
      </c>
      <c r="C81">
        <v>3.11</v>
      </c>
      <c r="D81">
        <v>1647</v>
      </c>
      <c r="E81">
        <v>529</v>
      </c>
      <c r="F81">
        <v>516</v>
      </c>
      <c r="G81">
        <v>539</v>
      </c>
      <c r="H81">
        <v>572</v>
      </c>
      <c r="I81">
        <v>140</v>
      </c>
      <c r="J81" s="6" t="s">
        <v>104</v>
      </c>
      <c r="K81" s="6" t="s">
        <v>667</v>
      </c>
      <c r="L81">
        <v>430</v>
      </c>
      <c r="M81" s="6"/>
      <c r="N81">
        <v>45.016077170418008</v>
      </c>
    </row>
    <row r="82" spans="1:14" x14ac:dyDescent="0.3">
      <c r="A82" s="5">
        <v>44476</v>
      </c>
      <c r="B82" s="6" t="s">
        <v>102</v>
      </c>
      <c r="C82">
        <v>4.01</v>
      </c>
      <c r="D82">
        <v>2131</v>
      </c>
      <c r="E82">
        <v>531</v>
      </c>
      <c r="F82">
        <v>535</v>
      </c>
      <c r="G82">
        <v>514</v>
      </c>
      <c r="H82">
        <v>533</v>
      </c>
      <c r="I82">
        <v>193</v>
      </c>
      <c r="J82" s="6" t="s">
        <v>104</v>
      </c>
      <c r="K82" s="6" t="s">
        <v>684</v>
      </c>
      <c r="L82">
        <v>433</v>
      </c>
      <c r="M82" s="6"/>
      <c r="N82">
        <v>48.12967581047382</v>
      </c>
    </row>
    <row r="83" spans="1:14" x14ac:dyDescent="0.3">
      <c r="A83" s="5">
        <v>44486</v>
      </c>
      <c r="B83" s="6" t="s">
        <v>102</v>
      </c>
      <c r="C83">
        <v>3.12</v>
      </c>
      <c r="D83">
        <v>1731</v>
      </c>
      <c r="E83">
        <v>555</v>
      </c>
      <c r="F83">
        <v>531</v>
      </c>
      <c r="G83">
        <v>554</v>
      </c>
      <c r="H83">
        <v>584</v>
      </c>
      <c r="I83">
        <v>141</v>
      </c>
      <c r="J83" s="6" t="s">
        <v>104</v>
      </c>
      <c r="K83" s="6" t="s">
        <v>669</v>
      </c>
      <c r="L83">
        <v>443</v>
      </c>
      <c r="M83" s="6"/>
      <c r="N83">
        <v>45.192307692307693</v>
      </c>
    </row>
    <row r="84" spans="1:14" x14ac:dyDescent="0.3">
      <c r="A84" s="5">
        <v>44490</v>
      </c>
      <c r="B84" s="6" t="s">
        <v>102</v>
      </c>
      <c r="C84">
        <v>3.27</v>
      </c>
      <c r="D84">
        <v>1622</v>
      </c>
      <c r="E84">
        <v>495</v>
      </c>
      <c r="F84">
        <v>521</v>
      </c>
      <c r="G84">
        <v>495</v>
      </c>
      <c r="H84">
        <v>492</v>
      </c>
      <c r="I84">
        <v>118</v>
      </c>
      <c r="J84" s="6" t="s">
        <v>104</v>
      </c>
      <c r="K84" s="6" t="s">
        <v>690</v>
      </c>
      <c r="L84">
        <v>447</v>
      </c>
      <c r="M84" s="6"/>
      <c r="N84">
        <v>36.085626911314982</v>
      </c>
    </row>
    <row r="85" spans="1:14" x14ac:dyDescent="0.3">
      <c r="A85" s="5">
        <v>44491</v>
      </c>
      <c r="B85" s="6" t="s">
        <v>102</v>
      </c>
      <c r="C85">
        <v>3.12</v>
      </c>
      <c r="D85">
        <v>1591</v>
      </c>
      <c r="E85">
        <v>510</v>
      </c>
      <c r="F85">
        <v>524</v>
      </c>
      <c r="G85">
        <v>501</v>
      </c>
      <c r="H85">
        <v>521</v>
      </c>
      <c r="I85">
        <v>129</v>
      </c>
      <c r="J85" s="6" t="s">
        <v>104</v>
      </c>
      <c r="K85" s="6" t="s">
        <v>692</v>
      </c>
      <c r="L85">
        <v>448</v>
      </c>
      <c r="M85" s="6"/>
      <c r="N85">
        <v>41.346153846153847</v>
      </c>
    </row>
    <row r="86" spans="1:14" x14ac:dyDescent="0.3">
      <c r="A86" s="5">
        <v>44493</v>
      </c>
      <c r="B86" s="6" t="s">
        <v>102</v>
      </c>
      <c r="C86">
        <v>3.12</v>
      </c>
      <c r="D86">
        <v>1753</v>
      </c>
      <c r="E86">
        <v>562</v>
      </c>
      <c r="F86">
        <v>567</v>
      </c>
      <c r="G86">
        <v>553</v>
      </c>
      <c r="H86">
        <v>577</v>
      </c>
      <c r="I86">
        <v>137</v>
      </c>
      <c r="J86" s="6" t="s">
        <v>104</v>
      </c>
      <c r="K86" s="6" t="s">
        <v>693</v>
      </c>
      <c r="L86">
        <v>450</v>
      </c>
      <c r="M86" s="6"/>
      <c r="N86">
        <v>43.910256410256409</v>
      </c>
    </row>
    <row r="87" spans="1:14" x14ac:dyDescent="0.3">
      <c r="A87" s="5">
        <v>44497</v>
      </c>
      <c r="B87" s="6" t="s">
        <v>102</v>
      </c>
      <c r="C87">
        <v>3.11</v>
      </c>
      <c r="D87">
        <v>1502</v>
      </c>
      <c r="E87">
        <v>483</v>
      </c>
      <c r="F87">
        <v>475</v>
      </c>
      <c r="G87">
        <v>469</v>
      </c>
      <c r="H87">
        <v>508</v>
      </c>
      <c r="I87">
        <v>123</v>
      </c>
      <c r="J87" s="6" t="s">
        <v>104</v>
      </c>
      <c r="K87" s="6" t="s">
        <v>698</v>
      </c>
      <c r="L87">
        <v>454</v>
      </c>
      <c r="M87" s="6"/>
      <c r="N87">
        <v>39.549839228295824</v>
      </c>
    </row>
    <row r="88" spans="1:14" x14ac:dyDescent="0.3">
      <c r="A88" s="5">
        <v>44500</v>
      </c>
      <c r="B88" s="6" t="s">
        <v>102</v>
      </c>
      <c r="C88">
        <v>3.11</v>
      </c>
      <c r="D88">
        <v>1632</v>
      </c>
      <c r="E88">
        <v>525</v>
      </c>
      <c r="F88">
        <v>502</v>
      </c>
      <c r="G88">
        <v>524</v>
      </c>
      <c r="H88">
        <v>565</v>
      </c>
      <c r="I88">
        <v>127</v>
      </c>
      <c r="J88" s="6" t="s">
        <v>104</v>
      </c>
      <c r="K88" s="6" t="s">
        <v>704</v>
      </c>
      <c r="L88">
        <v>457</v>
      </c>
      <c r="M88" s="6"/>
      <c r="N88">
        <v>40.836012861736336</v>
      </c>
    </row>
    <row r="89" spans="1:14" x14ac:dyDescent="0.3">
      <c r="A89" s="5">
        <v>44504</v>
      </c>
      <c r="B89" s="6" t="s">
        <v>102</v>
      </c>
      <c r="C89">
        <v>3.13</v>
      </c>
      <c r="D89">
        <v>1651</v>
      </c>
      <c r="E89">
        <v>528</v>
      </c>
      <c r="F89">
        <v>539</v>
      </c>
      <c r="G89">
        <v>512</v>
      </c>
      <c r="H89">
        <v>537</v>
      </c>
      <c r="I89">
        <v>182</v>
      </c>
      <c r="J89" s="6" t="s">
        <v>104</v>
      </c>
      <c r="K89" s="6" t="s">
        <v>709</v>
      </c>
      <c r="L89">
        <v>461</v>
      </c>
      <c r="M89" s="6"/>
      <c r="N89">
        <v>58.146964856230035</v>
      </c>
    </row>
    <row r="90" spans="1:14" x14ac:dyDescent="0.3">
      <c r="A90" s="5">
        <v>44505</v>
      </c>
      <c r="B90" s="6" t="s">
        <v>102</v>
      </c>
      <c r="C90">
        <v>3.14</v>
      </c>
      <c r="D90">
        <v>1645</v>
      </c>
      <c r="E90">
        <v>524</v>
      </c>
      <c r="F90">
        <v>518</v>
      </c>
      <c r="G90">
        <v>535</v>
      </c>
      <c r="H90">
        <v>530</v>
      </c>
      <c r="I90">
        <v>121</v>
      </c>
      <c r="J90" s="6" t="s">
        <v>104</v>
      </c>
      <c r="K90" s="6" t="s">
        <v>710</v>
      </c>
      <c r="L90">
        <v>462</v>
      </c>
      <c r="M90" s="6"/>
      <c r="N90">
        <v>38.535031847133759</v>
      </c>
    </row>
    <row r="91" spans="1:14" x14ac:dyDescent="0.3">
      <c r="A91" s="5">
        <v>44507</v>
      </c>
      <c r="B91" s="6" t="s">
        <v>102</v>
      </c>
      <c r="C91">
        <v>3.12</v>
      </c>
      <c r="D91">
        <v>1670</v>
      </c>
      <c r="E91">
        <v>535</v>
      </c>
      <c r="F91">
        <v>550</v>
      </c>
      <c r="G91">
        <v>539</v>
      </c>
      <c r="H91">
        <v>536</v>
      </c>
      <c r="I91">
        <v>136</v>
      </c>
      <c r="J91" s="6" t="s">
        <v>104</v>
      </c>
      <c r="K91" s="6" t="s">
        <v>712</v>
      </c>
      <c r="L91">
        <v>464</v>
      </c>
      <c r="M91" s="6"/>
      <c r="N91">
        <v>43.589743589743591</v>
      </c>
    </row>
    <row r="92" spans="1:14" x14ac:dyDescent="0.3">
      <c r="A92" s="5">
        <v>44509</v>
      </c>
      <c r="B92" s="6" t="s">
        <v>102</v>
      </c>
      <c r="C92">
        <v>3.17</v>
      </c>
      <c r="D92">
        <v>1736</v>
      </c>
      <c r="E92">
        <v>548</v>
      </c>
      <c r="F92">
        <v>559</v>
      </c>
      <c r="G92">
        <v>541</v>
      </c>
      <c r="H92">
        <v>543</v>
      </c>
      <c r="I92">
        <v>108</v>
      </c>
      <c r="J92" s="6" t="s">
        <v>104</v>
      </c>
      <c r="K92" s="6" t="s">
        <v>714</v>
      </c>
      <c r="L92">
        <v>466</v>
      </c>
      <c r="M92" s="6"/>
      <c r="N92">
        <v>34.069400630914828</v>
      </c>
    </row>
    <row r="93" spans="1:14" x14ac:dyDescent="0.3">
      <c r="A93" s="5">
        <v>44511</v>
      </c>
      <c r="B93" s="6" t="s">
        <v>102</v>
      </c>
      <c r="C93">
        <v>3.11</v>
      </c>
      <c r="D93">
        <v>1746</v>
      </c>
      <c r="E93">
        <v>561</v>
      </c>
      <c r="F93">
        <v>548</v>
      </c>
      <c r="G93">
        <v>551</v>
      </c>
      <c r="H93">
        <v>586</v>
      </c>
      <c r="I93">
        <v>141</v>
      </c>
      <c r="J93" s="6" t="s">
        <v>104</v>
      </c>
      <c r="K93" s="6" t="s">
        <v>719</v>
      </c>
      <c r="L93">
        <v>468</v>
      </c>
      <c r="M93" s="6"/>
      <c r="N93">
        <v>45.337620578778136</v>
      </c>
    </row>
    <row r="94" spans="1:14" x14ac:dyDescent="0.3">
      <c r="A94" s="5">
        <v>44512</v>
      </c>
      <c r="B94" s="6" t="s">
        <v>102</v>
      </c>
      <c r="C94">
        <v>3.12</v>
      </c>
      <c r="D94">
        <v>1670</v>
      </c>
      <c r="E94">
        <v>535</v>
      </c>
      <c r="F94">
        <v>526</v>
      </c>
      <c r="G94">
        <v>541</v>
      </c>
      <c r="H94">
        <v>547</v>
      </c>
      <c r="I94">
        <v>121</v>
      </c>
      <c r="J94" s="6" t="s">
        <v>104</v>
      </c>
      <c r="K94" s="6" t="s">
        <v>718</v>
      </c>
      <c r="L94">
        <v>469</v>
      </c>
      <c r="M94" s="6"/>
      <c r="N94">
        <v>38.782051282051277</v>
      </c>
    </row>
    <row r="95" spans="1:14" x14ac:dyDescent="0.3">
      <c r="A95" s="5">
        <v>44513</v>
      </c>
      <c r="B95" s="6" t="s">
        <v>102</v>
      </c>
      <c r="C95">
        <v>3.12</v>
      </c>
      <c r="D95">
        <v>1731</v>
      </c>
      <c r="E95">
        <v>554</v>
      </c>
      <c r="F95">
        <v>557</v>
      </c>
      <c r="G95">
        <v>551</v>
      </c>
      <c r="H95">
        <v>560</v>
      </c>
      <c r="I95">
        <v>131</v>
      </c>
      <c r="J95" s="6" t="s">
        <v>104</v>
      </c>
      <c r="K95" s="6" t="s">
        <v>717</v>
      </c>
      <c r="L95">
        <v>470</v>
      </c>
      <c r="M95" s="6"/>
      <c r="N95">
        <v>41.987179487179489</v>
      </c>
    </row>
    <row r="96" spans="1:14" x14ac:dyDescent="0.3">
      <c r="A96" s="5">
        <v>44518</v>
      </c>
      <c r="B96" s="6" t="s">
        <v>102</v>
      </c>
      <c r="C96">
        <v>3.12</v>
      </c>
      <c r="D96">
        <v>1600</v>
      </c>
      <c r="E96">
        <v>513</v>
      </c>
      <c r="F96">
        <v>528</v>
      </c>
      <c r="G96">
        <v>509</v>
      </c>
      <c r="H96">
        <v>509</v>
      </c>
      <c r="I96">
        <v>120</v>
      </c>
      <c r="J96" s="6" t="s">
        <v>104</v>
      </c>
      <c r="K96" s="6" t="s">
        <v>723</v>
      </c>
      <c r="L96">
        <v>475</v>
      </c>
      <c r="M96" s="6"/>
      <c r="N96">
        <v>38.46153846153846</v>
      </c>
    </row>
    <row r="97" spans="1:14" x14ac:dyDescent="0.3">
      <c r="A97" s="5">
        <v>44519</v>
      </c>
      <c r="B97" s="6" t="s">
        <v>102</v>
      </c>
      <c r="C97">
        <v>3.12</v>
      </c>
      <c r="D97">
        <v>1558</v>
      </c>
      <c r="E97">
        <v>499</v>
      </c>
      <c r="F97">
        <v>506</v>
      </c>
      <c r="G97">
        <v>506</v>
      </c>
      <c r="H97">
        <v>496</v>
      </c>
      <c r="I97">
        <v>112</v>
      </c>
      <c r="J97" s="6" t="s">
        <v>104</v>
      </c>
      <c r="K97" s="6" t="s">
        <v>725</v>
      </c>
      <c r="L97">
        <v>476</v>
      </c>
      <c r="M97" s="6"/>
      <c r="N97">
        <v>35.897435897435898</v>
      </c>
    </row>
    <row r="98" spans="1:14" x14ac:dyDescent="0.3">
      <c r="A98" s="5">
        <v>44523</v>
      </c>
      <c r="B98" s="6" t="s">
        <v>102</v>
      </c>
      <c r="C98">
        <v>3.12</v>
      </c>
      <c r="D98">
        <v>1636</v>
      </c>
      <c r="E98">
        <v>524</v>
      </c>
      <c r="F98">
        <v>516</v>
      </c>
      <c r="G98">
        <v>515</v>
      </c>
      <c r="H98">
        <v>548</v>
      </c>
      <c r="I98">
        <v>136</v>
      </c>
      <c r="J98" s="6" t="s">
        <v>104</v>
      </c>
      <c r="K98" s="6" t="s">
        <v>737</v>
      </c>
      <c r="L98">
        <v>480</v>
      </c>
      <c r="M98" s="6"/>
      <c r="N98">
        <v>43.589743589743591</v>
      </c>
    </row>
    <row r="99" spans="1:14" x14ac:dyDescent="0.3">
      <c r="A99" s="5">
        <v>44526</v>
      </c>
      <c r="B99" s="6" t="s">
        <v>102</v>
      </c>
      <c r="C99">
        <v>3.13</v>
      </c>
      <c r="D99">
        <v>1604</v>
      </c>
      <c r="E99">
        <v>512</v>
      </c>
      <c r="F99">
        <v>531</v>
      </c>
      <c r="G99">
        <v>519</v>
      </c>
      <c r="H99">
        <v>505</v>
      </c>
      <c r="I99">
        <v>136</v>
      </c>
      <c r="J99" s="6" t="s">
        <v>104</v>
      </c>
      <c r="K99" s="6" t="s">
        <v>733</v>
      </c>
      <c r="L99">
        <v>483</v>
      </c>
      <c r="M99" s="6"/>
      <c r="N99">
        <v>43.450479233226837</v>
      </c>
    </row>
    <row r="100" spans="1:14" x14ac:dyDescent="0.3">
      <c r="A100" s="5">
        <v>44530</v>
      </c>
      <c r="B100" s="6" t="s">
        <v>102</v>
      </c>
      <c r="C100">
        <v>3.12</v>
      </c>
      <c r="D100">
        <v>1713</v>
      </c>
      <c r="E100">
        <v>549</v>
      </c>
      <c r="F100">
        <v>554</v>
      </c>
      <c r="G100">
        <v>549</v>
      </c>
      <c r="H100">
        <v>547</v>
      </c>
      <c r="I100">
        <v>131</v>
      </c>
      <c r="J100" s="6" t="s">
        <v>104</v>
      </c>
      <c r="K100" s="6" t="s">
        <v>747</v>
      </c>
      <c r="L100">
        <v>487</v>
      </c>
      <c r="M100" s="6"/>
      <c r="N100">
        <v>41.987179487179489</v>
      </c>
    </row>
    <row r="101" spans="1:14" x14ac:dyDescent="0.3">
      <c r="A101" s="5">
        <v>44532</v>
      </c>
      <c r="B101" s="6" t="s">
        <v>102</v>
      </c>
      <c r="C101">
        <v>3.12</v>
      </c>
      <c r="D101">
        <v>1719</v>
      </c>
      <c r="E101">
        <v>551</v>
      </c>
      <c r="F101">
        <v>563</v>
      </c>
      <c r="G101">
        <v>557</v>
      </c>
      <c r="H101">
        <v>548</v>
      </c>
      <c r="I101">
        <v>119</v>
      </c>
      <c r="J101" s="6" t="s">
        <v>104</v>
      </c>
      <c r="K101" s="6" t="s">
        <v>749</v>
      </c>
      <c r="L101">
        <v>489</v>
      </c>
      <c r="M101" s="6"/>
      <c r="N101">
        <v>38.141025641025642</v>
      </c>
    </row>
    <row r="102" spans="1:14" x14ac:dyDescent="0.3">
      <c r="A102" s="5">
        <v>44533</v>
      </c>
      <c r="B102" s="6" t="s">
        <v>102</v>
      </c>
      <c r="C102">
        <v>3.24</v>
      </c>
      <c r="D102">
        <v>1917</v>
      </c>
      <c r="E102">
        <v>592</v>
      </c>
      <c r="F102">
        <v>585</v>
      </c>
      <c r="G102">
        <v>583</v>
      </c>
      <c r="H102">
        <v>606</v>
      </c>
      <c r="I102">
        <v>204</v>
      </c>
      <c r="J102" s="6" t="s">
        <v>104</v>
      </c>
      <c r="K102" s="6" t="s">
        <v>750</v>
      </c>
      <c r="L102">
        <v>490</v>
      </c>
      <c r="M102" s="6"/>
      <c r="N102">
        <v>62.962962962962962</v>
      </c>
    </row>
    <row r="103" spans="1:14" x14ac:dyDescent="0.3">
      <c r="A103" s="5">
        <v>44534</v>
      </c>
      <c r="B103" s="6" t="s">
        <v>102</v>
      </c>
      <c r="C103">
        <v>3.12</v>
      </c>
      <c r="D103">
        <v>1778</v>
      </c>
      <c r="E103">
        <v>570</v>
      </c>
      <c r="F103">
        <v>565</v>
      </c>
      <c r="G103">
        <v>563</v>
      </c>
      <c r="H103">
        <v>592</v>
      </c>
      <c r="I103">
        <v>135</v>
      </c>
      <c r="J103" s="6" t="s">
        <v>104</v>
      </c>
      <c r="K103" s="6" t="s">
        <v>751</v>
      </c>
      <c r="L103">
        <v>491</v>
      </c>
      <c r="M103" s="6"/>
      <c r="N103">
        <v>43.269230769230766</v>
      </c>
    </row>
    <row r="104" spans="1:14" x14ac:dyDescent="0.3">
      <c r="A104" s="5">
        <v>44537</v>
      </c>
      <c r="B104" s="6" t="s">
        <v>102</v>
      </c>
      <c r="C104">
        <v>3.12</v>
      </c>
      <c r="D104">
        <v>1629</v>
      </c>
      <c r="E104">
        <v>522</v>
      </c>
      <c r="F104">
        <v>527</v>
      </c>
      <c r="G104">
        <v>507</v>
      </c>
      <c r="H104">
        <v>529</v>
      </c>
      <c r="I104">
        <v>202</v>
      </c>
      <c r="J104" s="6" t="s">
        <v>104</v>
      </c>
      <c r="K104" s="6" t="s">
        <v>744</v>
      </c>
      <c r="L104">
        <v>494</v>
      </c>
      <c r="M104" s="6"/>
      <c r="N104">
        <v>64.743589743589737</v>
      </c>
    </row>
    <row r="105" spans="1:14" x14ac:dyDescent="0.3">
      <c r="A105" s="5">
        <v>44539</v>
      </c>
      <c r="B105" s="6" t="s">
        <v>102</v>
      </c>
      <c r="C105">
        <v>3.13</v>
      </c>
      <c r="D105">
        <v>1763</v>
      </c>
      <c r="E105">
        <v>563</v>
      </c>
      <c r="F105">
        <v>531</v>
      </c>
      <c r="G105">
        <v>574</v>
      </c>
      <c r="H105">
        <v>595</v>
      </c>
      <c r="I105">
        <v>141</v>
      </c>
      <c r="J105" s="6" t="s">
        <v>104</v>
      </c>
      <c r="K105" s="6" t="s">
        <v>742</v>
      </c>
      <c r="L105">
        <v>496</v>
      </c>
      <c r="M105" s="6"/>
      <c r="N105">
        <v>45.047923322683715</v>
      </c>
    </row>
    <row r="106" spans="1:14" x14ac:dyDescent="0.3">
      <c r="A106" s="5">
        <v>44540</v>
      </c>
      <c r="B106" s="6" t="s">
        <v>102</v>
      </c>
      <c r="C106">
        <v>3.12</v>
      </c>
      <c r="D106">
        <v>1727</v>
      </c>
      <c r="E106">
        <v>553</v>
      </c>
      <c r="F106">
        <v>563</v>
      </c>
      <c r="G106">
        <v>562</v>
      </c>
      <c r="H106">
        <v>557</v>
      </c>
      <c r="I106">
        <v>107</v>
      </c>
      <c r="J106" s="6" t="s">
        <v>104</v>
      </c>
      <c r="K106" s="6" t="s">
        <v>741</v>
      </c>
      <c r="L106">
        <v>497</v>
      </c>
      <c r="M106" s="6"/>
      <c r="N106">
        <v>34.294871794871796</v>
      </c>
    </row>
    <row r="107" spans="1:14" x14ac:dyDescent="0.3">
      <c r="A107" s="5">
        <v>44544</v>
      </c>
      <c r="B107" s="6" t="s">
        <v>102</v>
      </c>
      <c r="C107">
        <v>3.12</v>
      </c>
      <c r="D107">
        <v>1776</v>
      </c>
      <c r="E107">
        <v>569</v>
      </c>
      <c r="F107">
        <v>567</v>
      </c>
      <c r="G107">
        <v>580</v>
      </c>
      <c r="H107">
        <v>570</v>
      </c>
      <c r="I107">
        <v>150</v>
      </c>
      <c r="J107" s="6" t="s">
        <v>104</v>
      </c>
      <c r="K107" s="6" t="s">
        <v>759</v>
      </c>
      <c r="L107">
        <v>501</v>
      </c>
      <c r="M107" s="6"/>
      <c r="N107">
        <v>48.076923076923073</v>
      </c>
    </row>
    <row r="108" spans="1:14" x14ac:dyDescent="0.3">
      <c r="A108" s="5">
        <v>44547</v>
      </c>
      <c r="B108" s="6" t="s">
        <v>102</v>
      </c>
      <c r="C108">
        <v>3.22</v>
      </c>
      <c r="D108">
        <v>1773</v>
      </c>
      <c r="E108">
        <v>551</v>
      </c>
      <c r="F108">
        <v>555</v>
      </c>
      <c r="G108">
        <v>568</v>
      </c>
      <c r="H108">
        <v>548</v>
      </c>
      <c r="I108">
        <v>128</v>
      </c>
      <c r="J108" s="6" t="s">
        <v>104</v>
      </c>
      <c r="K108" s="6" t="s">
        <v>763</v>
      </c>
      <c r="L108">
        <v>504</v>
      </c>
      <c r="M108" s="6"/>
      <c r="N108">
        <v>39.751552795031053</v>
      </c>
    </row>
    <row r="109" spans="1:14" x14ac:dyDescent="0.3">
      <c r="A109" s="5">
        <v>44553</v>
      </c>
      <c r="B109" s="6" t="s">
        <v>102</v>
      </c>
      <c r="C109">
        <v>3.13</v>
      </c>
      <c r="D109">
        <v>1568</v>
      </c>
      <c r="E109">
        <v>501</v>
      </c>
      <c r="F109">
        <v>505</v>
      </c>
      <c r="G109">
        <v>473</v>
      </c>
      <c r="H109">
        <v>537</v>
      </c>
      <c r="I109">
        <v>108</v>
      </c>
      <c r="J109" s="6" t="s">
        <v>104</v>
      </c>
      <c r="K109" s="6" t="s">
        <v>770</v>
      </c>
      <c r="L109">
        <v>510</v>
      </c>
      <c r="M109" s="6"/>
      <c r="N109">
        <v>34.504792332268373</v>
      </c>
    </row>
    <row r="110" spans="1:14" x14ac:dyDescent="0.3">
      <c r="A110" s="5">
        <v>44554</v>
      </c>
      <c r="B110" s="6" t="s">
        <v>102</v>
      </c>
      <c r="C110">
        <v>3.13</v>
      </c>
      <c r="D110">
        <v>1625</v>
      </c>
      <c r="E110">
        <v>519</v>
      </c>
      <c r="F110">
        <v>523</v>
      </c>
      <c r="G110">
        <v>525</v>
      </c>
      <c r="H110">
        <v>522</v>
      </c>
      <c r="I110">
        <v>129</v>
      </c>
      <c r="J110" s="6" t="s">
        <v>104</v>
      </c>
      <c r="K110" s="6" t="s">
        <v>771</v>
      </c>
      <c r="L110">
        <v>511</v>
      </c>
      <c r="M110" s="6"/>
      <c r="N110">
        <v>41.214057507987221</v>
      </c>
    </row>
    <row r="111" spans="1:14" x14ac:dyDescent="0.3">
      <c r="A111" s="5">
        <v>44556</v>
      </c>
      <c r="B111" s="6" t="s">
        <v>102</v>
      </c>
      <c r="C111">
        <v>3.12</v>
      </c>
      <c r="D111">
        <v>1788</v>
      </c>
      <c r="E111">
        <v>573</v>
      </c>
      <c r="F111">
        <v>574</v>
      </c>
      <c r="G111">
        <v>560</v>
      </c>
      <c r="H111">
        <v>593</v>
      </c>
      <c r="I111">
        <v>163</v>
      </c>
      <c r="J111" s="6" t="s">
        <v>104</v>
      </c>
      <c r="K111" s="6" t="s">
        <v>776</v>
      </c>
      <c r="L111">
        <v>513</v>
      </c>
      <c r="M111" s="6"/>
      <c r="N111">
        <v>52.243589743589745</v>
      </c>
    </row>
    <row r="112" spans="1:14" x14ac:dyDescent="0.3">
      <c r="A112" s="5">
        <v>44558</v>
      </c>
      <c r="B112" s="6" t="s">
        <v>102</v>
      </c>
      <c r="C112">
        <v>3.12</v>
      </c>
      <c r="D112">
        <v>1639</v>
      </c>
      <c r="E112">
        <v>525</v>
      </c>
      <c r="F112">
        <v>504</v>
      </c>
      <c r="G112">
        <v>523</v>
      </c>
      <c r="H112">
        <v>539</v>
      </c>
      <c r="I112">
        <v>135</v>
      </c>
      <c r="J112" s="6" t="s">
        <v>104</v>
      </c>
      <c r="K112" s="6" t="s">
        <v>774</v>
      </c>
      <c r="L112">
        <v>515</v>
      </c>
      <c r="M112" s="6"/>
      <c r="N112">
        <v>43.269230769230766</v>
      </c>
    </row>
    <row r="113" spans="1:14" x14ac:dyDescent="0.3">
      <c r="A113" s="5">
        <v>44560</v>
      </c>
      <c r="B113" s="6" t="s">
        <v>102</v>
      </c>
      <c r="C113">
        <v>3.16</v>
      </c>
      <c r="D113">
        <v>1605</v>
      </c>
      <c r="E113">
        <v>508</v>
      </c>
      <c r="F113">
        <v>510</v>
      </c>
      <c r="G113">
        <v>505</v>
      </c>
      <c r="H113">
        <v>526</v>
      </c>
      <c r="I113">
        <v>158</v>
      </c>
      <c r="J113" s="6" t="s">
        <v>104</v>
      </c>
      <c r="K113" s="6" t="s">
        <v>778</v>
      </c>
      <c r="L113">
        <v>517</v>
      </c>
      <c r="M113" s="6"/>
      <c r="N113">
        <v>50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2516-71D3-4F19-8E6C-066D4DEFA2C9}">
  <dimension ref="A1:O12"/>
  <sheetViews>
    <sheetView workbookViewId="0">
      <selection activeCell="A13" sqref="A13"/>
    </sheetView>
  </sheetViews>
  <sheetFormatPr defaultRowHeight="14.4" x14ac:dyDescent="0.3"/>
  <cols>
    <col min="1" max="1" width="8" bestFit="1" customWidth="1"/>
    <col min="2" max="2" width="9.5546875" bestFit="1" customWidth="1"/>
    <col min="3" max="3" width="12.109375" bestFit="1" customWidth="1"/>
    <col min="4" max="4" width="14.33203125" bestFit="1" customWidth="1"/>
    <col min="5" max="5" width="17.21875" bestFit="1" customWidth="1"/>
    <col min="6" max="6" width="18.21875" bestFit="1" customWidth="1"/>
    <col min="7" max="9" width="12.88671875" bestFit="1" customWidth="1"/>
    <col min="10" max="10" width="19" bestFit="1" customWidth="1"/>
    <col min="11" max="11" width="20.44140625" bestFit="1" customWidth="1"/>
    <col min="12" max="12" width="42.33203125" bestFit="1" customWidth="1"/>
    <col min="13" max="13" width="10.5546875" bestFit="1" customWidth="1"/>
    <col min="14" max="14" width="8.88671875" bestFit="1" customWidth="1"/>
    <col min="15" max="15" width="24.6640625" bestFit="1" customWidth="1"/>
    <col min="16" max="16" width="18.44140625" bestFit="1" customWidth="1"/>
  </cols>
  <sheetData>
    <row r="1" spans="1:15" x14ac:dyDescent="0.3">
      <c r="A1" t="s">
        <v>122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19</v>
      </c>
      <c r="K1" t="s">
        <v>3</v>
      </c>
      <c r="L1" t="s">
        <v>7</v>
      </c>
      <c r="M1" t="s">
        <v>14</v>
      </c>
      <c r="N1" t="s">
        <v>13</v>
      </c>
      <c r="O1" t="s">
        <v>779</v>
      </c>
    </row>
    <row r="2" spans="1:15" x14ac:dyDescent="0.3">
      <c r="A2" s="6">
        <f t="shared" ref="A2:A12" si="0">ROW(A2)-1</f>
        <v>1</v>
      </c>
      <c r="B2" s="5">
        <v>44292</v>
      </c>
      <c r="C2" s="6" t="s">
        <v>420</v>
      </c>
      <c r="D2">
        <v>3.21</v>
      </c>
      <c r="E2">
        <v>1746</v>
      </c>
      <c r="F2">
        <v>543</v>
      </c>
      <c r="G2">
        <v>542</v>
      </c>
      <c r="H2">
        <v>548</v>
      </c>
      <c r="I2">
        <v>550</v>
      </c>
      <c r="J2">
        <v>157</v>
      </c>
      <c r="K2" s="6" t="s">
        <v>421</v>
      </c>
      <c r="L2" s="6" t="s">
        <v>424</v>
      </c>
      <c r="M2">
        <v>249</v>
      </c>
      <c r="N2" s="6"/>
      <c r="O2" s="6">
        <v>48.909657320872277</v>
      </c>
    </row>
    <row r="3" spans="1:15" x14ac:dyDescent="0.3">
      <c r="A3" s="6">
        <f t="shared" si="0"/>
        <v>2</v>
      </c>
      <c r="B3" s="5">
        <v>44299</v>
      </c>
      <c r="C3" s="6" t="s">
        <v>420</v>
      </c>
      <c r="D3">
        <v>3.11</v>
      </c>
      <c r="E3">
        <v>1642</v>
      </c>
      <c r="F3">
        <v>527</v>
      </c>
      <c r="G3">
        <v>528</v>
      </c>
      <c r="H3">
        <v>525</v>
      </c>
      <c r="I3">
        <v>530</v>
      </c>
      <c r="J3">
        <v>154</v>
      </c>
      <c r="K3" s="6" t="s">
        <v>421</v>
      </c>
      <c r="L3" s="6" t="s">
        <v>434</v>
      </c>
      <c r="M3">
        <v>256</v>
      </c>
      <c r="N3" s="6"/>
      <c r="O3" s="6">
        <v>49.517684887459808</v>
      </c>
    </row>
    <row r="4" spans="1:15" x14ac:dyDescent="0.3">
      <c r="A4" s="6">
        <f t="shared" si="0"/>
        <v>3</v>
      </c>
      <c r="B4" s="5">
        <v>44306</v>
      </c>
      <c r="C4" s="6" t="s">
        <v>420</v>
      </c>
      <c r="D4">
        <v>3.11</v>
      </c>
      <c r="E4">
        <v>1486</v>
      </c>
      <c r="F4">
        <v>477</v>
      </c>
      <c r="G4">
        <v>488</v>
      </c>
      <c r="H4">
        <v>480</v>
      </c>
      <c r="I4">
        <v>471</v>
      </c>
      <c r="J4">
        <v>115</v>
      </c>
      <c r="K4" s="6" t="s">
        <v>421</v>
      </c>
      <c r="L4" s="6" t="s">
        <v>444</v>
      </c>
      <c r="M4">
        <v>263</v>
      </c>
      <c r="N4" s="6"/>
      <c r="O4" s="6">
        <v>36.977491961414792</v>
      </c>
    </row>
    <row r="5" spans="1:15" x14ac:dyDescent="0.3">
      <c r="A5" s="6">
        <f t="shared" si="0"/>
        <v>4</v>
      </c>
      <c r="B5" s="5">
        <v>44313</v>
      </c>
      <c r="C5" s="6" t="s">
        <v>420</v>
      </c>
      <c r="D5">
        <v>3.16</v>
      </c>
      <c r="E5">
        <v>1653</v>
      </c>
      <c r="F5">
        <v>522</v>
      </c>
      <c r="G5">
        <v>501</v>
      </c>
      <c r="H5">
        <v>527</v>
      </c>
      <c r="I5">
        <v>549</v>
      </c>
      <c r="J5">
        <v>164</v>
      </c>
      <c r="K5" s="6" t="s">
        <v>421</v>
      </c>
      <c r="L5" s="6" t="s">
        <v>454</v>
      </c>
      <c r="M5">
        <v>270</v>
      </c>
      <c r="N5" s="6"/>
      <c r="O5" s="6">
        <v>51.898734177215189</v>
      </c>
    </row>
    <row r="6" spans="1:15" x14ac:dyDescent="0.3">
      <c r="A6" s="6">
        <f t="shared" si="0"/>
        <v>5</v>
      </c>
      <c r="B6" s="5">
        <v>44320</v>
      </c>
      <c r="C6" s="6" t="s">
        <v>420</v>
      </c>
      <c r="D6">
        <v>3.13</v>
      </c>
      <c r="E6">
        <v>1509</v>
      </c>
      <c r="F6">
        <v>482</v>
      </c>
      <c r="G6">
        <v>512</v>
      </c>
      <c r="H6">
        <v>476</v>
      </c>
      <c r="I6">
        <v>464</v>
      </c>
      <c r="J6">
        <v>158</v>
      </c>
      <c r="K6" s="6" t="s">
        <v>421</v>
      </c>
      <c r="L6" s="6" t="s">
        <v>470</v>
      </c>
      <c r="M6">
        <v>277</v>
      </c>
      <c r="N6" s="6"/>
      <c r="O6" s="6">
        <v>50.47923322683706</v>
      </c>
    </row>
    <row r="7" spans="1:15" x14ac:dyDescent="0.3">
      <c r="A7" s="6">
        <f t="shared" si="0"/>
        <v>6</v>
      </c>
      <c r="B7" s="5">
        <v>44327</v>
      </c>
      <c r="C7" s="6" t="s">
        <v>420</v>
      </c>
      <c r="D7">
        <v>3.11</v>
      </c>
      <c r="E7">
        <v>1650</v>
      </c>
      <c r="F7">
        <v>529</v>
      </c>
      <c r="G7">
        <v>496</v>
      </c>
      <c r="H7">
        <v>539</v>
      </c>
      <c r="I7">
        <v>556</v>
      </c>
      <c r="J7">
        <v>148</v>
      </c>
      <c r="K7" s="6" t="s">
        <v>421</v>
      </c>
      <c r="L7" s="6" t="s">
        <v>480</v>
      </c>
      <c r="M7">
        <v>284</v>
      </c>
      <c r="N7" s="6"/>
      <c r="O7" s="6">
        <v>47.588424437299039</v>
      </c>
    </row>
    <row r="8" spans="1:15" x14ac:dyDescent="0.3">
      <c r="A8" s="6">
        <f t="shared" si="0"/>
        <v>7</v>
      </c>
      <c r="B8" s="5">
        <v>44334</v>
      </c>
      <c r="C8" s="6" t="s">
        <v>420</v>
      </c>
      <c r="D8">
        <v>5.0199999999999996</v>
      </c>
      <c r="E8">
        <v>2342</v>
      </c>
      <c r="F8">
        <v>466</v>
      </c>
      <c r="G8">
        <v>478</v>
      </c>
      <c r="H8">
        <v>461</v>
      </c>
      <c r="I8">
        <v>455</v>
      </c>
      <c r="J8">
        <v>247</v>
      </c>
      <c r="K8" s="6" t="s">
        <v>489</v>
      </c>
      <c r="L8" s="6" t="s">
        <v>488</v>
      </c>
      <c r="M8">
        <v>291</v>
      </c>
      <c r="N8" s="6"/>
      <c r="O8" s="6">
        <v>49.203187250996017</v>
      </c>
    </row>
    <row r="9" spans="1:15" x14ac:dyDescent="0.3">
      <c r="A9" s="6">
        <f t="shared" si="0"/>
        <v>8</v>
      </c>
      <c r="B9" s="5">
        <v>44341</v>
      </c>
      <c r="C9" s="6" t="s">
        <v>420</v>
      </c>
      <c r="D9">
        <v>3.18</v>
      </c>
      <c r="E9">
        <v>1573</v>
      </c>
      <c r="F9">
        <v>493</v>
      </c>
      <c r="G9">
        <v>489</v>
      </c>
      <c r="H9">
        <v>505</v>
      </c>
      <c r="I9">
        <v>491</v>
      </c>
      <c r="J9">
        <v>155</v>
      </c>
      <c r="K9" s="6" t="s">
        <v>421</v>
      </c>
      <c r="L9" s="6" t="s">
        <v>499</v>
      </c>
      <c r="M9">
        <v>298</v>
      </c>
      <c r="N9" s="6"/>
      <c r="O9" s="6">
        <v>48.742138364779869</v>
      </c>
    </row>
    <row r="10" spans="1:15" x14ac:dyDescent="0.3">
      <c r="A10" s="6">
        <f t="shared" si="0"/>
        <v>9</v>
      </c>
      <c r="B10" s="5">
        <v>44348</v>
      </c>
      <c r="C10" s="6" t="s">
        <v>420</v>
      </c>
      <c r="D10">
        <v>3.12</v>
      </c>
      <c r="E10">
        <v>1426</v>
      </c>
      <c r="F10">
        <v>457</v>
      </c>
      <c r="G10">
        <v>468</v>
      </c>
      <c r="H10">
        <v>460</v>
      </c>
      <c r="I10">
        <v>444</v>
      </c>
      <c r="J10">
        <v>165</v>
      </c>
      <c r="K10" s="6" t="s">
        <v>421</v>
      </c>
      <c r="L10" s="6" t="s">
        <v>504</v>
      </c>
      <c r="M10">
        <v>305</v>
      </c>
      <c r="N10" s="6"/>
      <c r="O10" s="6">
        <v>52.88461538461538</v>
      </c>
    </row>
    <row r="11" spans="1:15" x14ac:dyDescent="0.3">
      <c r="A11" s="6">
        <f t="shared" si="0"/>
        <v>10</v>
      </c>
      <c r="B11" s="5">
        <v>44355</v>
      </c>
      <c r="C11" s="6" t="s">
        <v>420</v>
      </c>
      <c r="D11">
        <v>3.12</v>
      </c>
      <c r="E11">
        <v>1796</v>
      </c>
      <c r="F11">
        <v>574</v>
      </c>
      <c r="G11">
        <v>589</v>
      </c>
      <c r="H11">
        <v>580</v>
      </c>
      <c r="I11">
        <v>555</v>
      </c>
      <c r="J11">
        <v>175</v>
      </c>
      <c r="K11" s="6" t="s">
        <v>421</v>
      </c>
      <c r="L11" s="6" t="s">
        <v>521</v>
      </c>
      <c r="M11">
        <v>312</v>
      </c>
      <c r="N11" s="6"/>
      <c r="O11" s="6">
        <v>56.089743589743591</v>
      </c>
    </row>
    <row r="12" spans="1:15" x14ac:dyDescent="0.3">
      <c r="A12" s="6">
        <f t="shared" si="0"/>
        <v>11</v>
      </c>
      <c r="B12" s="5">
        <v>44362</v>
      </c>
      <c r="C12" s="6" t="s">
        <v>420</v>
      </c>
      <c r="D12">
        <v>3.12</v>
      </c>
      <c r="E12">
        <v>1594</v>
      </c>
      <c r="F12">
        <v>511</v>
      </c>
      <c r="G12">
        <v>524</v>
      </c>
      <c r="H12">
        <v>522</v>
      </c>
      <c r="I12">
        <v>491</v>
      </c>
      <c r="J12">
        <v>151</v>
      </c>
      <c r="K12" s="6" t="s">
        <v>421</v>
      </c>
      <c r="L12" s="6" t="s">
        <v>530</v>
      </c>
      <c r="M12">
        <v>319</v>
      </c>
      <c r="N12" s="6"/>
      <c r="O12" s="6">
        <v>48.397435897435898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F4AA-3DCB-435F-96BF-36A2E153D1CB}">
  <dimension ref="A1:E145"/>
  <sheetViews>
    <sheetView topLeftCell="A130" workbookViewId="0">
      <selection activeCell="A4" sqref="A4"/>
    </sheetView>
  </sheetViews>
  <sheetFormatPr defaultRowHeight="14.4" x14ac:dyDescent="0.3"/>
  <cols>
    <col min="1" max="1" width="9.5546875" style="5" bestFit="1" customWidth="1"/>
  </cols>
  <sheetData>
    <row r="1" spans="1:5" x14ac:dyDescent="0.3">
      <c r="B1" t="s">
        <v>396</v>
      </c>
      <c r="C1" t="s">
        <v>397</v>
      </c>
      <c r="D1" t="s">
        <v>404</v>
      </c>
      <c r="E1" t="s">
        <v>405</v>
      </c>
    </row>
    <row r="2" spans="1:5" x14ac:dyDescent="0.3">
      <c r="A2" s="5">
        <v>44265</v>
      </c>
      <c r="B2">
        <v>2</v>
      </c>
      <c r="E2">
        <v>8</v>
      </c>
    </row>
    <row r="3" spans="1:5" x14ac:dyDescent="0.3">
      <c r="A3" s="5">
        <v>44266</v>
      </c>
      <c r="B3">
        <v>2</v>
      </c>
      <c r="C3" t="s">
        <v>398</v>
      </c>
      <c r="E3">
        <v>8</v>
      </c>
    </row>
    <row r="4" spans="1:5" x14ac:dyDescent="0.3">
      <c r="A4" s="5">
        <v>44267</v>
      </c>
      <c r="B4">
        <v>2</v>
      </c>
      <c r="E4">
        <v>9</v>
      </c>
    </row>
    <row r="5" spans="1:5" x14ac:dyDescent="0.3">
      <c r="A5" s="5">
        <v>44268</v>
      </c>
      <c r="B5">
        <v>2</v>
      </c>
      <c r="C5" t="s">
        <v>398</v>
      </c>
      <c r="E5">
        <v>8</v>
      </c>
    </row>
    <row r="6" spans="1:5" x14ac:dyDescent="0.3">
      <c r="A6" s="5">
        <v>44269</v>
      </c>
      <c r="B6">
        <v>2</v>
      </c>
      <c r="C6" t="s">
        <v>398</v>
      </c>
      <c r="E6">
        <v>4</v>
      </c>
    </row>
    <row r="7" spans="1:5" x14ac:dyDescent="0.3">
      <c r="A7" s="5">
        <v>44270</v>
      </c>
      <c r="B7">
        <v>2</v>
      </c>
      <c r="C7" t="s">
        <v>398</v>
      </c>
      <c r="E7">
        <v>5</v>
      </c>
    </row>
    <row r="8" spans="1:5" x14ac:dyDescent="0.3">
      <c r="A8" s="5">
        <v>44271</v>
      </c>
      <c r="B8">
        <v>2</v>
      </c>
      <c r="C8" t="s">
        <v>398</v>
      </c>
      <c r="E8">
        <v>6</v>
      </c>
    </row>
    <row r="9" spans="1:5" x14ac:dyDescent="0.3">
      <c r="A9" s="5">
        <v>44272</v>
      </c>
      <c r="B9">
        <v>2</v>
      </c>
      <c r="C9" t="s">
        <v>398</v>
      </c>
      <c r="E9">
        <v>7</v>
      </c>
    </row>
    <row r="10" spans="1:5" x14ac:dyDescent="0.3">
      <c r="A10" s="5">
        <v>44273</v>
      </c>
      <c r="B10">
        <v>2</v>
      </c>
      <c r="E10">
        <v>7</v>
      </c>
    </row>
    <row r="11" spans="1:5" x14ac:dyDescent="0.3">
      <c r="A11" s="5">
        <v>44274</v>
      </c>
      <c r="B11">
        <v>2</v>
      </c>
      <c r="E11">
        <v>6</v>
      </c>
    </row>
    <row r="12" spans="1:5" x14ac:dyDescent="0.3">
      <c r="A12" s="5">
        <v>44275</v>
      </c>
      <c r="B12">
        <v>0</v>
      </c>
      <c r="E12">
        <v>6</v>
      </c>
    </row>
    <row r="13" spans="1:5" x14ac:dyDescent="0.3">
      <c r="A13" s="5">
        <v>44276</v>
      </c>
      <c r="B13">
        <v>0</v>
      </c>
      <c r="E13">
        <v>6</v>
      </c>
    </row>
    <row r="14" spans="1:5" x14ac:dyDescent="0.3">
      <c r="A14" s="5">
        <v>44277</v>
      </c>
      <c r="B14">
        <v>0</v>
      </c>
      <c r="E14">
        <v>7</v>
      </c>
    </row>
    <row r="15" spans="1:5" x14ac:dyDescent="0.3">
      <c r="A15" s="5">
        <v>44278</v>
      </c>
      <c r="B15">
        <v>2</v>
      </c>
      <c r="E15">
        <v>5</v>
      </c>
    </row>
    <row r="16" spans="1:5" x14ac:dyDescent="0.3">
      <c r="A16" s="5">
        <v>44279</v>
      </c>
      <c r="B16">
        <v>0</v>
      </c>
      <c r="E16">
        <v>8</v>
      </c>
    </row>
    <row r="17" spans="1:5" x14ac:dyDescent="0.3">
      <c r="A17" s="5">
        <v>44280</v>
      </c>
      <c r="B17">
        <v>0</v>
      </c>
      <c r="D17">
        <v>2</v>
      </c>
      <c r="E17">
        <v>7</v>
      </c>
    </row>
    <row r="18" spans="1:5" x14ac:dyDescent="0.3">
      <c r="A18" s="5">
        <v>44281</v>
      </c>
      <c r="B18">
        <v>0</v>
      </c>
      <c r="E18">
        <v>8</v>
      </c>
    </row>
    <row r="19" spans="1:5" x14ac:dyDescent="0.3">
      <c r="A19" s="5">
        <v>44282</v>
      </c>
      <c r="B19">
        <v>2</v>
      </c>
      <c r="E19">
        <v>6</v>
      </c>
    </row>
    <row r="20" spans="1:5" x14ac:dyDescent="0.3">
      <c r="A20" s="5">
        <v>44283</v>
      </c>
      <c r="B20">
        <v>0</v>
      </c>
      <c r="E20">
        <v>7</v>
      </c>
    </row>
    <row r="21" spans="1:5" x14ac:dyDescent="0.3">
      <c r="A21" s="5">
        <v>44284</v>
      </c>
      <c r="B21">
        <v>0</v>
      </c>
      <c r="E21">
        <v>7</v>
      </c>
    </row>
    <row r="22" spans="1:5" x14ac:dyDescent="0.3">
      <c r="A22" s="5">
        <v>44285</v>
      </c>
      <c r="B22">
        <v>2</v>
      </c>
      <c r="E22">
        <v>6</v>
      </c>
    </row>
    <row r="23" spans="1:5" x14ac:dyDescent="0.3">
      <c r="A23" s="5">
        <v>44286</v>
      </c>
      <c r="B23">
        <v>0</v>
      </c>
      <c r="E23">
        <v>8</v>
      </c>
    </row>
    <row r="24" spans="1:5" x14ac:dyDescent="0.3">
      <c r="A24" s="5">
        <v>44287</v>
      </c>
      <c r="B24">
        <v>2</v>
      </c>
      <c r="E24">
        <v>5</v>
      </c>
    </row>
    <row r="25" spans="1:5" x14ac:dyDescent="0.3">
      <c r="A25" s="5">
        <v>44288</v>
      </c>
      <c r="B25">
        <v>0</v>
      </c>
      <c r="E25">
        <v>7</v>
      </c>
    </row>
    <row r="26" spans="1:5" x14ac:dyDescent="0.3">
      <c r="A26" s="5">
        <v>44289</v>
      </c>
      <c r="B26">
        <v>0</v>
      </c>
      <c r="E26">
        <v>6</v>
      </c>
    </row>
    <row r="27" spans="1:5" x14ac:dyDescent="0.3">
      <c r="A27" s="5">
        <v>44290</v>
      </c>
      <c r="B27">
        <v>0</v>
      </c>
      <c r="E27">
        <v>8</v>
      </c>
    </row>
    <row r="28" spans="1:5" x14ac:dyDescent="0.3">
      <c r="A28" s="5">
        <v>44291</v>
      </c>
      <c r="B28">
        <v>0</v>
      </c>
      <c r="E28">
        <v>7</v>
      </c>
    </row>
    <row r="29" spans="1:5" x14ac:dyDescent="0.3">
      <c r="A29" s="5">
        <v>44292</v>
      </c>
      <c r="B29">
        <v>0</v>
      </c>
      <c r="E29">
        <v>6</v>
      </c>
    </row>
    <row r="30" spans="1:5" x14ac:dyDescent="0.3">
      <c r="A30" s="5">
        <v>44293</v>
      </c>
      <c r="B30">
        <v>2</v>
      </c>
      <c r="E30">
        <v>5</v>
      </c>
    </row>
    <row r="31" spans="1:5" x14ac:dyDescent="0.3">
      <c r="A31" s="5">
        <v>44294</v>
      </c>
      <c r="B31">
        <v>0</v>
      </c>
      <c r="E31">
        <v>6</v>
      </c>
    </row>
    <row r="32" spans="1:5" x14ac:dyDescent="0.3">
      <c r="A32" s="5">
        <v>44295</v>
      </c>
      <c r="B32">
        <v>0</v>
      </c>
      <c r="E32">
        <v>6</v>
      </c>
    </row>
    <row r="33" spans="1:5" x14ac:dyDescent="0.3">
      <c r="A33" s="5">
        <v>44296</v>
      </c>
      <c r="B33">
        <v>2</v>
      </c>
      <c r="E33">
        <v>5</v>
      </c>
    </row>
    <row r="34" spans="1:5" x14ac:dyDescent="0.3">
      <c r="A34" s="5">
        <v>44297</v>
      </c>
      <c r="B34">
        <v>2</v>
      </c>
      <c r="E34">
        <v>6</v>
      </c>
    </row>
    <row r="35" spans="1:5" x14ac:dyDescent="0.3">
      <c r="A35" s="5">
        <v>44298</v>
      </c>
      <c r="B35">
        <v>0</v>
      </c>
      <c r="E35">
        <v>5</v>
      </c>
    </row>
    <row r="36" spans="1:5" x14ac:dyDescent="0.3">
      <c r="A36" s="5">
        <v>44299</v>
      </c>
      <c r="B36">
        <v>0</v>
      </c>
      <c r="E36">
        <v>6</v>
      </c>
    </row>
    <row r="37" spans="1:5" x14ac:dyDescent="0.3">
      <c r="A37" s="5">
        <v>44300</v>
      </c>
      <c r="B37">
        <v>0</v>
      </c>
      <c r="E37">
        <v>6</v>
      </c>
    </row>
    <row r="38" spans="1:5" x14ac:dyDescent="0.3">
      <c r="A38" s="5">
        <v>44301</v>
      </c>
      <c r="B38">
        <v>0</v>
      </c>
      <c r="E38">
        <v>6</v>
      </c>
    </row>
    <row r="39" spans="1:5" x14ac:dyDescent="0.3">
      <c r="A39" s="5">
        <v>44302</v>
      </c>
      <c r="B39">
        <v>0</v>
      </c>
      <c r="E39">
        <v>6</v>
      </c>
    </row>
    <row r="40" spans="1:5" x14ac:dyDescent="0.3">
      <c r="A40" s="5">
        <v>44303</v>
      </c>
      <c r="B40">
        <v>2</v>
      </c>
      <c r="E40">
        <v>5</v>
      </c>
    </row>
    <row r="41" spans="1:5" x14ac:dyDescent="0.3">
      <c r="A41" s="5">
        <v>44304</v>
      </c>
      <c r="B41">
        <v>0</v>
      </c>
      <c r="E41">
        <v>5</v>
      </c>
    </row>
    <row r="42" spans="1:5" x14ac:dyDescent="0.3">
      <c r="A42" s="5">
        <v>44305</v>
      </c>
      <c r="D42">
        <v>2</v>
      </c>
      <c r="E42">
        <v>5</v>
      </c>
    </row>
    <row r="43" spans="1:5" x14ac:dyDescent="0.3">
      <c r="A43" s="5">
        <v>44306</v>
      </c>
      <c r="B43">
        <v>0</v>
      </c>
      <c r="E43">
        <v>5</v>
      </c>
    </row>
    <row r="44" spans="1:5" x14ac:dyDescent="0.3">
      <c r="A44" s="5">
        <v>44307</v>
      </c>
      <c r="B44">
        <v>0</v>
      </c>
      <c r="E44">
        <v>5</v>
      </c>
    </row>
    <row r="45" spans="1:5" x14ac:dyDescent="0.3">
      <c r="A45" s="5">
        <v>44308</v>
      </c>
      <c r="B45">
        <v>0</v>
      </c>
      <c r="E45">
        <v>5</v>
      </c>
    </row>
    <row r="46" spans="1:5" x14ac:dyDescent="0.3">
      <c r="A46" s="5">
        <v>44309</v>
      </c>
      <c r="B46">
        <v>0</v>
      </c>
      <c r="E46">
        <v>6</v>
      </c>
    </row>
    <row r="47" spans="1:5" x14ac:dyDescent="0.3">
      <c r="A47" s="5">
        <v>44310</v>
      </c>
      <c r="B47">
        <v>2</v>
      </c>
      <c r="E47">
        <v>4</v>
      </c>
    </row>
    <row r="48" spans="1:5" x14ac:dyDescent="0.3">
      <c r="A48" s="5">
        <v>44311</v>
      </c>
      <c r="B48">
        <v>2</v>
      </c>
      <c r="E48">
        <v>5</v>
      </c>
    </row>
    <row r="49" spans="1:5" x14ac:dyDescent="0.3">
      <c r="A49" s="5">
        <v>44312</v>
      </c>
      <c r="B49">
        <v>0</v>
      </c>
      <c r="E49">
        <v>6</v>
      </c>
    </row>
    <row r="50" spans="1:5" x14ac:dyDescent="0.3">
      <c r="A50" s="5">
        <v>44313</v>
      </c>
      <c r="B50">
        <v>0</v>
      </c>
      <c r="E50">
        <v>6</v>
      </c>
    </row>
    <row r="51" spans="1:5" x14ac:dyDescent="0.3">
      <c r="A51" s="5">
        <v>44314</v>
      </c>
      <c r="B51">
        <v>0</v>
      </c>
      <c r="E51">
        <v>5</v>
      </c>
    </row>
    <row r="52" spans="1:5" x14ac:dyDescent="0.3">
      <c r="A52" s="5">
        <v>44315</v>
      </c>
      <c r="B52">
        <v>0</v>
      </c>
      <c r="E52">
        <v>5</v>
      </c>
    </row>
    <row r="53" spans="1:5" x14ac:dyDescent="0.3">
      <c r="A53" s="5">
        <v>44316</v>
      </c>
      <c r="B53">
        <v>0</v>
      </c>
      <c r="E53">
        <v>5</v>
      </c>
    </row>
    <row r="54" spans="1:5" x14ac:dyDescent="0.3">
      <c r="A54" s="5">
        <v>44317</v>
      </c>
      <c r="B54">
        <v>2</v>
      </c>
      <c r="E54">
        <v>3</v>
      </c>
    </row>
    <row r="55" spans="1:5" x14ac:dyDescent="0.3">
      <c r="A55" s="5">
        <v>44318</v>
      </c>
      <c r="B55">
        <v>0</v>
      </c>
      <c r="E55">
        <v>5</v>
      </c>
    </row>
    <row r="56" spans="1:5" x14ac:dyDescent="0.3">
      <c r="A56" s="5">
        <v>44319</v>
      </c>
      <c r="B56">
        <v>0</v>
      </c>
      <c r="E56">
        <v>4</v>
      </c>
    </row>
    <row r="57" spans="1:5" x14ac:dyDescent="0.3">
      <c r="A57" s="5">
        <v>44320</v>
      </c>
      <c r="B57">
        <v>2</v>
      </c>
      <c r="E57">
        <v>3</v>
      </c>
    </row>
    <row r="58" spans="1:5" x14ac:dyDescent="0.3">
      <c r="A58" s="5">
        <v>44321</v>
      </c>
      <c r="D58">
        <v>2</v>
      </c>
      <c r="E58">
        <v>3</v>
      </c>
    </row>
    <row r="59" spans="1:5" x14ac:dyDescent="0.3">
      <c r="A59" s="5">
        <v>44322</v>
      </c>
      <c r="B59">
        <v>0</v>
      </c>
      <c r="E59">
        <v>4</v>
      </c>
    </row>
    <row r="60" spans="1:5" x14ac:dyDescent="0.3">
      <c r="A60" s="5">
        <v>44323</v>
      </c>
      <c r="B60">
        <v>0</v>
      </c>
      <c r="E60">
        <v>5</v>
      </c>
    </row>
    <row r="61" spans="1:5" x14ac:dyDescent="0.3">
      <c r="A61" s="5">
        <v>44324</v>
      </c>
      <c r="B61">
        <v>2</v>
      </c>
      <c r="E61">
        <v>3</v>
      </c>
    </row>
    <row r="62" spans="1:5" x14ac:dyDescent="0.3">
      <c r="A62" s="5">
        <v>44325</v>
      </c>
      <c r="B62">
        <v>0</v>
      </c>
      <c r="E62">
        <v>4</v>
      </c>
    </row>
    <row r="63" spans="1:5" x14ac:dyDescent="0.3">
      <c r="A63" s="5">
        <v>44326</v>
      </c>
      <c r="B63">
        <v>0</v>
      </c>
      <c r="E63">
        <v>4</v>
      </c>
    </row>
    <row r="64" spans="1:5" x14ac:dyDescent="0.3">
      <c r="A64" s="5">
        <v>44327</v>
      </c>
      <c r="B64">
        <v>0</v>
      </c>
      <c r="E64">
        <v>4</v>
      </c>
    </row>
    <row r="65" spans="1:5" x14ac:dyDescent="0.3">
      <c r="A65" s="5">
        <v>44328</v>
      </c>
      <c r="B65">
        <v>2</v>
      </c>
      <c r="E65">
        <v>3</v>
      </c>
    </row>
    <row r="66" spans="1:5" x14ac:dyDescent="0.3">
      <c r="A66" s="5">
        <v>44329</v>
      </c>
      <c r="B66">
        <v>0</v>
      </c>
      <c r="E66">
        <v>4</v>
      </c>
    </row>
    <row r="67" spans="1:5" x14ac:dyDescent="0.3">
      <c r="A67" s="5">
        <v>44330</v>
      </c>
      <c r="B67">
        <v>0</v>
      </c>
      <c r="E67">
        <v>5</v>
      </c>
    </row>
    <row r="68" spans="1:5" x14ac:dyDescent="0.3">
      <c r="A68" s="5">
        <v>44331</v>
      </c>
      <c r="B68">
        <v>2</v>
      </c>
      <c r="E68">
        <v>3</v>
      </c>
    </row>
    <row r="69" spans="1:5" x14ac:dyDescent="0.3">
      <c r="A69" s="5">
        <v>44332</v>
      </c>
      <c r="B69">
        <v>0</v>
      </c>
      <c r="E69">
        <v>3</v>
      </c>
    </row>
    <row r="70" spans="1:5" x14ac:dyDescent="0.3">
      <c r="A70" s="5">
        <v>44333</v>
      </c>
      <c r="B70">
        <v>0</v>
      </c>
      <c r="E70">
        <v>4</v>
      </c>
    </row>
    <row r="71" spans="1:5" x14ac:dyDescent="0.3">
      <c r="A71" s="5">
        <v>44334</v>
      </c>
      <c r="B71">
        <v>2</v>
      </c>
      <c r="E71">
        <v>4</v>
      </c>
    </row>
    <row r="72" spans="1:5" x14ac:dyDescent="0.3">
      <c r="A72" s="5">
        <v>44335</v>
      </c>
      <c r="B72">
        <v>2</v>
      </c>
      <c r="E72">
        <v>4</v>
      </c>
    </row>
    <row r="73" spans="1:5" x14ac:dyDescent="0.3">
      <c r="A73" s="5">
        <v>44336</v>
      </c>
      <c r="B73">
        <v>0</v>
      </c>
      <c r="E73">
        <v>5</v>
      </c>
    </row>
    <row r="74" spans="1:5" x14ac:dyDescent="0.3">
      <c r="A74" s="5">
        <v>44337</v>
      </c>
      <c r="B74">
        <v>0</v>
      </c>
      <c r="E74">
        <v>4</v>
      </c>
    </row>
    <row r="75" spans="1:5" x14ac:dyDescent="0.3">
      <c r="A75" s="5">
        <v>44338</v>
      </c>
      <c r="B75">
        <v>2</v>
      </c>
      <c r="E75">
        <v>4</v>
      </c>
    </row>
    <row r="76" spans="1:5" x14ac:dyDescent="0.3">
      <c r="A76" s="5">
        <v>44339</v>
      </c>
      <c r="B76">
        <v>0</v>
      </c>
      <c r="E76">
        <v>4</v>
      </c>
    </row>
    <row r="77" spans="1:5" x14ac:dyDescent="0.3">
      <c r="A77" s="5">
        <v>44340</v>
      </c>
      <c r="B77">
        <v>0</v>
      </c>
      <c r="E77">
        <v>3</v>
      </c>
    </row>
    <row r="78" spans="1:5" x14ac:dyDescent="0.3">
      <c r="A78" s="5">
        <v>44341</v>
      </c>
      <c r="B78">
        <v>0</v>
      </c>
      <c r="E78">
        <v>5</v>
      </c>
    </row>
    <row r="79" spans="1:5" x14ac:dyDescent="0.3">
      <c r="A79" s="5">
        <v>44342</v>
      </c>
      <c r="B79">
        <v>0</v>
      </c>
      <c r="E79">
        <v>4</v>
      </c>
    </row>
    <row r="80" spans="1:5" x14ac:dyDescent="0.3">
      <c r="A80" s="5">
        <v>44343</v>
      </c>
      <c r="B80">
        <v>0</v>
      </c>
      <c r="E80">
        <v>3</v>
      </c>
    </row>
    <row r="81" spans="1:5" x14ac:dyDescent="0.3">
      <c r="A81" s="5">
        <v>44344</v>
      </c>
      <c r="B81">
        <v>0</v>
      </c>
      <c r="E81">
        <v>4</v>
      </c>
    </row>
    <row r="82" spans="1:5" x14ac:dyDescent="0.3">
      <c r="A82" s="5">
        <v>44345</v>
      </c>
      <c r="B82">
        <v>2</v>
      </c>
      <c r="E82">
        <v>3</v>
      </c>
    </row>
    <row r="83" spans="1:5" x14ac:dyDescent="0.3">
      <c r="A83" s="5">
        <v>44346</v>
      </c>
      <c r="B83">
        <v>0</v>
      </c>
      <c r="E83">
        <v>4</v>
      </c>
    </row>
    <row r="84" spans="1:5" x14ac:dyDescent="0.3">
      <c r="A84" s="5">
        <v>44347</v>
      </c>
      <c r="B84">
        <v>0</v>
      </c>
      <c r="E84">
        <v>3</v>
      </c>
    </row>
    <row r="85" spans="1:5" x14ac:dyDescent="0.3">
      <c r="A85" s="5">
        <v>44348</v>
      </c>
      <c r="B85">
        <v>0</v>
      </c>
      <c r="E85">
        <v>4</v>
      </c>
    </row>
    <row r="86" spans="1:5" x14ac:dyDescent="0.3">
      <c r="A86" s="5">
        <v>44349</v>
      </c>
      <c r="B86">
        <v>0</v>
      </c>
      <c r="E86">
        <v>4</v>
      </c>
    </row>
    <row r="87" spans="1:5" x14ac:dyDescent="0.3">
      <c r="A87" s="5">
        <v>44350</v>
      </c>
      <c r="B87">
        <v>0</v>
      </c>
      <c r="E87">
        <v>4</v>
      </c>
    </row>
    <row r="88" spans="1:5" x14ac:dyDescent="0.3">
      <c r="A88" s="5">
        <v>44351</v>
      </c>
      <c r="B88">
        <v>0</v>
      </c>
      <c r="E88">
        <v>5</v>
      </c>
    </row>
    <row r="89" spans="1:5" x14ac:dyDescent="0.3">
      <c r="A89" s="5">
        <v>44352</v>
      </c>
      <c r="B89">
        <v>2</v>
      </c>
      <c r="E89">
        <v>2</v>
      </c>
    </row>
    <row r="90" spans="1:5" x14ac:dyDescent="0.3">
      <c r="A90" s="5">
        <v>44353</v>
      </c>
      <c r="B90">
        <v>0</v>
      </c>
      <c r="E90">
        <v>3</v>
      </c>
    </row>
    <row r="91" spans="1:5" x14ac:dyDescent="0.3">
      <c r="A91" s="5">
        <v>44354</v>
      </c>
      <c r="B91">
        <v>0</v>
      </c>
      <c r="E91">
        <v>3</v>
      </c>
    </row>
    <row r="92" spans="1:5" x14ac:dyDescent="0.3">
      <c r="A92" s="5">
        <v>44355</v>
      </c>
      <c r="B92">
        <v>0</v>
      </c>
      <c r="E92">
        <v>4</v>
      </c>
    </row>
    <row r="93" spans="1:5" x14ac:dyDescent="0.3">
      <c r="A93" s="5">
        <v>44356</v>
      </c>
      <c r="B93">
        <v>0</v>
      </c>
      <c r="E93">
        <v>3</v>
      </c>
    </row>
    <row r="94" spans="1:5" x14ac:dyDescent="0.3">
      <c r="A94" s="5">
        <v>44357</v>
      </c>
      <c r="B94">
        <v>0</v>
      </c>
      <c r="C94" s="9" t="s">
        <v>398</v>
      </c>
      <c r="E94">
        <v>3</v>
      </c>
    </row>
    <row r="95" spans="1:5" x14ac:dyDescent="0.3">
      <c r="A95" s="5">
        <v>44358</v>
      </c>
      <c r="B95">
        <v>0</v>
      </c>
      <c r="C95" s="9" t="s">
        <v>398</v>
      </c>
      <c r="E95">
        <v>4</v>
      </c>
    </row>
    <row r="96" spans="1:5" x14ac:dyDescent="0.3">
      <c r="A96" s="5">
        <v>44359</v>
      </c>
      <c r="B96">
        <v>0</v>
      </c>
      <c r="E96">
        <v>4</v>
      </c>
    </row>
    <row r="97" spans="1:5" x14ac:dyDescent="0.3">
      <c r="A97" s="5">
        <v>44360</v>
      </c>
      <c r="B97">
        <v>0</v>
      </c>
      <c r="E97">
        <v>2</v>
      </c>
    </row>
    <row r="98" spans="1:5" x14ac:dyDescent="0.3">
      <c r="A98" s="5">
        <v>44361</v>
      </c>
      <c r="B98">
        <v>0</v>
      </c>
      <c r="E98">
        <v>2</v>
      </c>
    </row>
    <row r="99" spans="1:5" x14ac:dyDescent="0.3">
      <c r="A99" s="5">
        <v>44362</v>
      </c>
      <c r="B99">
        <v>0</v>
      </c>
      <c r="E99">
        <v>2</v>
      </c>
    </row>
    <row r="100" spans="1:5" x14ac:dyDescent="0.3">
      <c r="A100" s="5">
        <v>44363</v>
      </c>
      <c r="B100">
        <v>0</v>
      </c>
      <c r="E100">
        <v>2</v>
      </c>
    </row>
    <row r="101" spans="1:5" x14ac:dyDescent="0.3">
      <c r="A101" s="5">
        <v>44364</v>
      </c>
      <c r="B101">
        <v>0</v>
      </c>
      <c r="E101">
        <v>2</v>
      </c>
    </row>
    <row r="102" spans="1:5" x14ac:dyDescent="0.3">
      <c r="A102" s="5">
        <v>44365</v>
      </c>
      <c r="B102">
        <v>0</v>
      </c>
      <c r="E102">
        <v>2</v>
      </c>
    </row>
    <row r="103" spans="1:5" x14ac:dyDescent="0.3">
      <c r="A103" s="5">
        <v>44366</v>
      </c>
      <c r="B103">
        <v>2</v>
      </c>
      <c r="E103">
        <v>0</v>
      </c>
    </row>
    <row r="104" spans="1:5" x14ac:dyDescent="0.3">
      <c r="A104" s="5">
        <v>44367</v>
      </c>
      <c r="B104">
        <v>0</v>
      </c>
      <c r="E104">
        <v>0</v>
      </c>
    </row>
    <row r="105" spans="1:5" x14ac:dyDescent="0.3">
      <c r="A105" s="5">
        <v>44368</v>
      </c>
      <c r="B105">
        <v>0</v>
      </c>
      <c r="E105">
        <v>0</v>
      </c>
    </row>
    <row r="106" spans="1:5" x14ac:dyDescent="0.3">
      <c r="A106" s="5">
        <v>44369</v>
      </c>
      <c r="B106">
        <v>0</v>
      </c>
      <c r="E106">
        <v>2</v>
      </c>
    </row>
    <row r="107" spans="1:5" x14ac:dyDescent="0.3">
      <c r="A107" s="5">
        <v>44370</v>
      </c>
      <c r="B107">
        <v>0</v>
      </c>
      <c r="E107">
        <v>0</v>
      </c>
    </row>
    <row r="108" spans="1:5" x14ac:dyDescent="0.3">
      <c r="A108" s="5">
        <v>44371</v>
      </c>
      <c r="B108">
        <v>0</v>
      </c>
      <c r="E108">
        <v>0</v>
      </c>
    </row>
    <row r="109" spans="1:5" x14ac:dyDescent="0.3">
      <c r="A109" s="5">
        <v>44372</v>
      </c>
      <c r="B109">
        <v>0</v>
      </c>
      <c r="E109">
        <v>2</v>
      </c>
    </row>
    <row r="110" spans="1:5" x14ac:dyDescent="0.3">
      <c r="A110" s="5">
        <v>44373</v>
      </c>
      <c r="B110">
        <v>0</v>
      </c>
      <c r="E110">
        <v>0</v>
      </c>
    </row>
    <row r="111" spans="1:5" x14ac:dyDescent="0.3">
      <c r="A111" s="5">
        <v>44374</v>
      </c>
      <c r="B111">
        <v>0</v>
      </c>
      <c r="E111">
        <v>0</v>
      </c>
    </row>
    <row r="112" spans="1:5" x14ac:dyDescent="0.3">
      <c r="A112" s="5">
        <v>44375</v>
      </c>
      <c r="B112">
        <v>0</v>
      </c>
      <c r="E112">
        <v>0</v>
      </c>
    </row>
    <row r="113" spans="1:5" x14ac:dyDescent="0.3">
      <c r="A113" s="5">
        <v>44376</v>
      </c>
      <c r="B113">
        <v>0</v>
      </c>
      <c r="E113">
        <v>0</v>
      </c>
    </row>
    <row r="114" spans="1:5" x14ac:dyDescent="0.3">
      <c r="A114" s="5">
        <v>44377</v>
      </c>
      <c r="B114">
        <v>0</v>
      </c>
      <c r="E114">
        <v>0</v>
      </c>
    </row>
    <row r="115" spans="1:5" x14ac:dyDescent="0.3">
      <c r="A115" s="5">
        <v>44378</v>
      </c>
      <c r="B115">
        <v>0</v>
      </c>
      <c r="E115">
        <v>0</v>
      </c>
    </row>
    <row r="116" spans="1:5" x14ac:dyDescent="0.3">
      <c r="A116" s="5">
        <v>44379</v>
      </c>
      <c r="B116">
        <v>0</v>
      </c>
      <c r="E116">
        <v>0</v>
      </c>
    </row>
    <row r="117" spans="1:5" x14ac:dyDescent="0.3">
      <c r="A117" s="5">
        <v>44380</v>
      </c>
      <c r="B117">
        <v>0</v>
      </c>
      <c r="E117">
        <v>0</v>
      </c>
    </row>
    <row r="118" spans="1:5" x14ac:dyDescent="0.3">
      <c r="A118" s="5">
        <v>44381</v>
      </c>
      <c r="B118">
        <v>0</v>
      </c>
      <c r="E118">
        <v>0</v>
      </c>
    </row>
    <row r="119" spans="1:5" x14ac:dyDescent="0.3">
      <c r="A119" s="5">
        <v>44382</v>
      </c>
      <c r="B119">
        <v>0</v>
      </c>
      <c r="E119">
        <v>0</v>
      </c>
    </row>
    <row r="120" spans="1:5" x14ac:dyDescent="0.3">
      <c r="A120" s="5">
        <v>44383</v>
      </c>
      <c r="B120">
        <v>0</v>
      </c>
      <c r="E120">
        <v>0</v>
      </c>
    </row>
    <row r="121" spans="1:5" x14ac:dyDescent="0.3">
      <c r="A121" s="5">
        <v>44384</v>
      </c>
      <c r="B121">
        <v>0</v>
      </c>
      <c r="E121">
        <v>0</v>
      </c>
    </row>
    <row r="122" spans="1:5" x14ac:dyDescent="0.3">
      <c r="A122" s="5">
        <v>44385</v>
      </c>
      <c r="B122">
        <v>0</v>
      </c>
      <c r="E122">
        <v>0</v>
      </c>
    </row>
    <row r="123" spans="1:5" x14ac:dyDescent="0.3">
      <c r="A123" s="5">
        <v>44386</v>
      </c>
      <c r="B123">
        <v>0</v>
      </c>
      <c r="E123">
        <v>0</v>
      </c>
    </row>
    <row r="124" spans="1:5" x14ac:dyDescent="0.3">
      <c r="A124" s="5">
        <v>44387</v>
      </c>
      <c r="B124">
        <v>0</v>
      </c>
      <c r="E124">
        <v>0</v>
      </c>
    </row>
    <row r="125" spans="1:5" x14ac:dyDescent="0.3">
      <c r="A125" s="5">
        <v>44388</v>
      </c>
      <c r="B125">
        <v>0</v>
      </c>
      <c r="E125">
        <v>0</v>
      </c>
    </row>
    <row r="126" spans="1:5" x14ac:dyDescent="0.3">
      <c r="A126" s="5">
        <v>44389</v>
      </c>
      <c r="B126">
        <v>0</v>
      </c>
      <c r="E126">
        <v>0</v>
      </c>
    </row>
    <row r="127" spans="1:5" x14ac:dyDescent="0.3">
      <c r="A127" s="5">
        <v>44390</v>
      </c>
      <c r="B127">
        <v>0</v>
      </c>
      <c r="E127">
        <v>0</v>
      </c>
    </row>
    <row r="128" spans="1:5" x14ac:dyDescent="0.3">
      <c r="A128" s="5">
        <v>44391</v>
      </c>
      <c r="B128">
        <v>0</v>
      </c>
      <c r="E128">
        <v>0</v>
      </c>
    </row>
    <row r="129" spans="1:5" x14ac:dyDescent="0.3">
      <c r="A129" s="5">
        <v>44392</v>
      </c>
      <c r="B129">
        <v>0</v>
      </c>
      <c r="E129">
        <v>0</v>
      </c>
    </row>
    <row r="130" spans="1:5" x14ac:dyDescent="0.3">
      <c r="A130" s="5">
        <v>44393</v>
      </c>
      <c r="B130">
        <v>0</v>
      </c>
      <c r="E130">
        <v>0</v>
      </c>
    </row>
    <row r="131" spans="1:5" x14ac:dyDescent="0.3">
      <c r="A131" s="5">
        <v>44394</v>
      </c>
      <c r="B131">
        <v>0</v>
      </c>
      <c r="E131">
        <v>0</v>
      </c>
    </row>
    <row r="132" spans="1:5" x14ac:dyDescent="0.3">
      <c r="A132" s="5">
        <v>44395</v>
      </c>
      <c r="B132">
        <v>0</v>
      </c>
      <c r="E132">
        <v>0</v>
      </c>
    </row>
    <row r="133" spans="1:5" x14ac:dyDescent="0.3">
      <c r="A133" s="5">
        <v>44396</v>
      </c>
      <c r="B133">
        <v>0</v>
      </c>
      <c r="E133">
        <v>3</v>
      </c>
    </row>
    <row r="134" spans="1:5" x14ac:dyDescent="0.3">
      <c r="A134" s="5">
        <v>44397</v>
      </c>
      <c r="B134">
        <v>0</v>
      </c>
      <c r="E134">
        <v>0</v>
      </c>
    </row>
    <row r="135" spans="1:5" x14ac:dyDescent="0.3">
      <c r="A135" s="5">
        <v>44398</v>
      </c>
      <c r="B135">
        <v>0</v>
      </c>
      <c r="E135">
        <v>0</v>
      </c>
    </row>
    <row r="136" spans="1:5" x14ac:dyDescent="0.3">
      <c r="A136" s="5">
        <v>44399</v>
      </c>
      <c r="B136">
        <v>0</v>
      </c>
      <c r="E136">
        <v>0</v>
      </c>
    </row>
    <row r="137" spans="1:5" x14ac:dyDescent="0.3">
      <c r="A137" s="5">
        <v>44400</v>
      </c>
      <c r="B137">
        <v>0</v>
      </c>
      <c r="E137">
        <v>0</v>
      </c>
    </row>
    <row r="138" spans="1:5" x14ac:dyDescent="0.3">
      <c r="A138" s="5">
        <v>44401</v>
      </c>
      <c r="B138">
        <v>0</v>
      </c>
      <c r="E138">
        <v>0</v>
      </c>
    </row>
    <row r="139" spans="1:5" x14ac:dyDescent="0.3">
      <c r="A139" s="5">
        <v>44402</v>
      </c>
      <c r="B139">
        <v>0</v>
      </c>
      <c r="E139">
        <v>0</v>
      </c>
    </row>
    <row r="140" spans="1:5" x14ac:dyDescent="0.3">
      <c r="A140" s="5">
        <v>44403</v>
      </c>
      <c r="B140">
        <v>0</v>
      </c>
      <c r="E140">
        <v>3</v>
      </c>
    </row>
    <row r="141" spans="1:5" x14ac:dyDescent="0.3">
      <c r="A141" s="5">
        <v>44404</v>
      </c>
      <c r="B141">
        <v>0</v>
      </c>
      <c r="E141">
        <v>0</v>
      </c>
    </row>
    <row r="142" spans="1:5" x14ac:dyDescent="0.3">
      <c r="A142" s="5">
        <v>44405</v>
      </c>
      <c r="B142">
        <v>0</v>
      </c>
      <c r="E142">
        <v>0</v>
      </c>
    </row>
    <row r="143" spans="1:5" x14ac:dyDescent="0.3">
      <c r="A143" s="5">
        <v>44406</v>
      </c>
      <c r="B143">
        <v>0</v>
      </c>
      <c r="E143">
        <v>0</v>
      </c>
    </row>
    <row r="144" spans="1:5" x14ac:dyDescent="0.3">
      <c r="A144" s="5">
        <v>44407</v>
      </c>
      <c r="B144">
        <v>0</v>
      </c>
      <c r="E144">
        <v>0</v>
      </c>
    </row>
    <row r="145" spans="1:5" x14ac:dyDescent="0.3">
      <c r="A145" s="5">
        <v>44408</v>
      </c>
      <c r="B145">
        <v>0</v>
      </c>
      <c r="E14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95282-6746-41D0-A38D-990109B24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Kris's Streak</vt:lpstr>
      <vt:lpstr>Average Pace Per Run</vt:lpstr>
      <vt:lpstr>Paces at Run Clubs</vt:lpstr>
      <vt:lpstr>Runs by Month</vt:lpstr>
      <vt:lpstr>Personal Records</vt:lpstr>
      <vt:lpstr>Port City</vt:lpstr>
      <vt:lpstr>Dudley's</vt:lpstr>
      <vt:lpstr>Murphy's</vt:lpstr>
      <vt:lpstr>New District</vt:lpstr>
      <vt:lpstr>Georgetown Running Company</vt:lpstr>
      <vt:lpstr>Run Route 1</vt:lpstr>
      <vt:lpstr>Astro Lab</vt:lpstr>
      <vt:lpstr>Shin Splints 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Sooklal, Kristian</dc:creator>
  <cp:lastModifiedBy>Sooklal, Kristian</cp:lastModifiedBy>
  <dcterms:created xsi:type="dcterms:W3CDTF">2020-08-21T15:19:40Z</dcterms:created>
  <dcterms:modified xsi:type="dcterms:W3CDTF">2022-01-02T05:33:43Z</dcterms:modified>
</cp:coreProperties>
</file>