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3" i="1"/>
  <c r="P22"/>
  <c r="U10"/>
  <c r="Q22"/>
  <c r="Q21"/>
  <c r="Q20"/>
  <c r="Q19"/>
  <c r="Q18"/>
  <c r="Q17"/>
  <c r="Q15"/>
  <c r="Q16"/>
  <c r="Q14"/>
  <c r="Q13"/>
  <c r="Q12"/>
  <c r="Q11"/>
  <c r="Q10"/>
  <c r="U13"/>
  <c r="Q9"/>
  <c r="R8" s="1"/>
  <c r="Q7"/>
  <c r="U15"/>
  <c r="P5"/>
  <c r="P21"/>
  <c r="P20"/>
  <c r="P19"/>
  <c r="P18"/>
  <c r="P17"/>
  <c r="P16"/>
  <c r="P15"/>
  <c r="P14"/>
  <c r="P13"/>
  <c r="P12"/>
  <c r="P8"/>
  <c r="P6"/>
  <c r="P4"/>
  <c r="P3"/>
  <c r="P11"/>
  <c r="P10"/>
  <c r="P9"/>
  <c r="P7"/>
  <c r="R21"/>
  <c r="U20"/>
  <c r="U19"/>
  <c r="Q8"/>
  <c r="U16"/>
  <c r="R4"/>
  <c r="Q6"/>
  <c r="Q5"/>
  <c r="Q4"/>
  <c r="U6"/>
  <c r="V6"/>
  <c r="U7"/>
  <c r="V7"/>
  <c r="U8"/>
  <c r="U9"/>
  <c r="U12"/>
  <c r="U14"/>
  <c r="B11"/>
  <c r="B18"/>
  <c r="B21" s="1"/>
  <c r="B15"/>
  <c r="C15" s="1"/>
  <c r="B14"/>
  <c r="K22"/>
  <c r="J22"/>
  <c r="I20"/>
  <c r="H20"/>
  <c r="G20"/>
  <c r="F20"/>
  <c r="E20"/>
  <c r="D20"/>
  <c r="I16"/>
  <c r="H16"/>
  <c r="G16"/>
  <c r="F16"/>
  <c r="E16"/>
  <c r="D16"/>
  <c r="J13"/>
  <c r="G12"/>
  <c r="G13" s="1"/>
  <c r="M13"/>
  <c r="I12"/>
  <c r="I13" s="1"/>
  <c r="E12"/>
  <c r="E13" s="1"/>
  <c r="H11"/>
  <c r="J10"/>
  <c r="M25"/>
  <c r="B25"/>
  <c r="B26" s="1"/>
  <c r="C26" s="1"/>
  <c r="C11"/>
  <c r="R19" l="1"/>
  <c r="R15"/>
  <c r="R11"/>
  <c r="C25"/>
  <c r="B29"/>
  <c r="C29" s="1"/>
  <c r="B28"/>
  <c r="C28" s="1"/>
  <c r="B27"/>
  <c r="C27" l="1"/>
  <c r="B8"/>
  <c r="C14"/>
  <c r="C8" l="1"/>
  <c r="B9"/>
  <c r="G10"/>
  <c r="I9" l="1"/>
  <c r="I10" s="1"/>
  <c r="C9"/>
  <c r="B10"/>
  <c r="B7"/>
  <c r="F10"/>
  <c r="B6" l="1"/>
  <c r="H9"/>
  <c r="H10" s="1"/>
  <c r="H12"/>
  <c r="C7"/>
  <c r="C10"/>
  <c r="B12"/>
  <c r="C18"/>
  <c r="F7" l="1"/>
  <c r="B3"/>
  <c r="B4"/>
  <c r="G7"/>
  <c r="C6"/>
  <c r="B5"/>
  <c r="C5" s="1"/>
  <c r="B13"/>
  <c r="C12"/>
  <c r="H13"/>
  <c r="F12"/>
  <c r="F13" s="1"/>
  <c r="C3" l="1"/>
  <c r="D6"/>
  <c r="B16"/>
  <c r="C13"/>
  <c r="C4"/>
  <c r="E6"/>
  <c r="J16" l="1"/>
  <c r="J17" s="1"/>
  <c r="K16"/>
  <c r="K17" s="1"/>
  <c r="C16"/>
  <c r="B17"/>
  <c r="C21"/>
  <c r="C17" l="1"/>
  <c r="B19"/>
  <c r="C19" l="1"/>
  <c r="J19"/>
  <c r="J20" s="1"/>
  <c r="B20"/>
  <c r="K19"/>
  <c r="K20" s="1"/>
  <c r="C20" l="1"/>
  <c r="B22"/>
  <c r="C22" s="1"/>
</calcChain>
</file>

<file path=xl/sharedStrings.xml><?xml version="1.0" encoding="utf-8"?>
<sst xmlns="http://schemas.openxmlformats.org/spreadsheetml/2006/main" count="129" uniqueCount="99">
  <si>
    <t>Stream 1</t>
  </si>
  <si>
    <t>Stream 2</t>
  </si>
  <si>
    <t>Stream 3</t>
  </si>
  <si>
    <t>Stream 4</t>
  </si>
  <si>
    <t>Stream 5</t>
  </si>
  <si>
    <t>Stream 6</t>
  </si>
  <si>
    <t>Stream 7</t>
  </si>
  <si>
    <t>Stream 8</t>
  </si>
  <si>
    <t>Stream 9</t>
  </si>
  <si>
    <t>Stream 10</t>
  </si>
  <si>
    <t>Streams</t>
  </si>
  <si>
    <t>Known variables</t>
  </si>
  <si>
    <t>values</t>
  </si>
  <si>
    <t>Stream 11</t>
  </si>
  <si>
    <t>Stream 12</t>
  </si>
  <si>
    <t>Stream 13</t>
  </si>
  <si>
    <t>Stream 14</t>
  </si>
  <si>
    <t>Stream 15</t>
  </si>
  <si>
    <t>Stream 16</t>
  </si>
  <si>
    <t>Stream 17</t>
  </si>
  <si>
    <t>Stream 18</t>
  </si>
  <si>
    <t>production rate in Kg/hr</t>
  </si>
  <si>
    <t>% of water removed by centrifugal dyer</t>
  </si>
  <si>
    <t>%polyol</t>
  </si>
  <si>
    <t>% MDI</t>
  </si>
  <si>
    <t>%BDO</t>
  </si>
  <si>
    <t>% Additives</t>
  </si>
  <si>
    <t>mol.wt of adipic acid(stream1)</t>
  </si>
  <si>
    <t>mol.wt of 1,4 butanediol(stream2)</t>
  </si>
  <si>
    <t>moles of adipic acid( by stoichiometry)</t>
  </si>
  <si>
    <t>moles of 1,4butanediol( by stoichiometry)</t>
  </si>
  <si>
    <t>moles of polyol formed(by stoichiometry)</t>
  </si>
  <si>
    <t>moles of water formed(by stoichiometry)</t>
  </si>
  <si>
    <t>% conversion</t>
  </si>
  <si>
    <t>%Loss</t>
  </si>
  <si>
    <t>%Polyol charging and metering loss</t>
  </si>
  <si>
    <t>%MDI charging and metering loss</t>
  </si>
  <si>
    <t>%Extruder startup loss</t>
  </si>
  <si>
    <t>%Pelletiser upset loss</t>
  </si>
  <si>
    <t xml:space="preserve">Total Loss </t>
  </si>
  <si>
    <t>Polyol loss</t>
  </si>
  <si>
    <t>MDI loss</t>
  </si>
  <si>
    <t>(Kg/hr)</t>
  </si>
  <si>
    <t>w/w</t>
  </si>
  <si>
    <t>amount of additives(kg/hr)</t>
  </si>
  <si>
    <t>AA %</t>
  </si>
  <si>
    <t>BDO %</t>
  </si>
  <si>
    <t>additives %</t>
  </si>
  <si>
    <t>polyol %</t>
  </si>
  <si>
    <t>polyolblend %</t>
  </si>
  <si>
    <t xml:space="preserve">MDI % </t>
  </si>
  <si>
    <t>water %</t>
  </si>
  <si>
    <t>TPU %</t>
  </si>
  <si>
    <t>%age of moisture in stream19</t>
  </si>
  <si>
    <t>mol.wt of water(stream 3)</t>
  </si>
  <si>
    <t>mol.wt of polyol(stream4)</t>
  </si>
  <si>
    <t>Extruder loss</t>
  </si>
  <si>
    <t>pelletiser loss</t>
  </si>
  <si>
    <t>Mass Fl.rate</t>
  </si>
  <si>
    <t>(tons/day)</t>
  </si>
  <si>
    <t>Stream 19</t>
  </si>
  <si>
    <t>Stream20</t>
  </si>
  <si>
    <t>amount of chilled water used (kg/hr)</t>
  </si>
  <si>
    <t>% of water absorption in during wash</t>
  </si>
  <si>
    <t>stream</t>
  </si>
  <si>
    <t>specific heat, Cp</t>
  </si>
  <si>
    <t xml:space="preserve">Temp </t>
  </si>
  <si>
    <t>(K)</t>
  </si>
  <si>
    <t>(KJ/kg)</t>
  </si>
  <si>
    <t>(KJ/mol)</t>
  </si>
  <si>
    <t>adipic acid</t>
  </si>
  <si>
    <t>BDO</t>
  </si>
  <si>
    <t>polyol</t>
  </si>
  <si>
    <t>MDI</t>
  </si>
  <si>
    <t>TPU</t>
  </si>
  <si>
    <t>stream no.</t>
  </si>
  <si>
    <t>Temperature</t>
  </si>
  <si>
    <r>
      <t>∆H</t>
    </r>
    <r>
      <rPr>
        <b/>
        <i/>
        <vertAlign val="subscript"/>
        <sz val="11"/>
        <color theme="1"/>
        <rFont val="Calibri"/>
        <family val="2"/>
      </rPr>
      <t>f</t>
    </r>
  </si>
  <si>
    <t>enthalpy of stream</t>
  </si>
  <si>
    <t>KJ/hr</t>
  </si>
  <si>
    <t>water</t>
  </si>
  <si>
    <t>in reactor</t>
  </si>
  <si>
    <t>in mixer</t>
  </si>
  <si>
    <t>in extruder</t>
  </si>
  <si>
    <t xml:space="preserve">in water </t>
  </si>
  <si>
    <t>wash</t>
  </si>
  <si>
    <t>in centrifugal</t>
  </si>
  <si>
    <t>dryer</t>
  </si>
  <si>
    <t>hot air dryer</t>
  </si>
  <si>
    <t>enthalpy of mixer outlet stream</t>
  </si>
  <si>
    <t>Temp. of reactor (K)</t>
  </si>
  <si>
    <t>Temp. of Extruder (K)</t>
  </si>
  <si>
    <t>Temp. in hot air dyer(K)</t>
  </si>
  <si>
    <t>Temp of water effluent(K)</t>
  </si>
  <si>
    <t xml:space="preserve">   Temp of mixer(K)</t>
  </si>
  <si>
    <t>specific heat of mixer outlet(KJ/kg)</t>
  </si>
  <si>
    <t>Temp of chilled water wash (K)</t>
  </si>
  <si>
    <t>temp in centrifugal dryer(K)</t>
  </si>
  <si>
    <t>Heat loss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</si>
</sst>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b/>
      <i/>
      <vertAlign val="subscript"/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0"/>
      <color theme="1"/>
      <name val="Calibri"/>
      <family val="2"/>
      <scheme val="minor"/>
    </font>
    <font>
      <b/>
      <i/>
      <sz val="11"/>
      <name val="Calibri"/>
      <family val="2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8" fillId="0" borderId="3" xfId="1" applyFont="1" applyBorder="1" applyAlignment="1" applyProtection="1">
      <alignment horizontal="center"/>
    </xf>
    <xf numFmtId="0" fontId="3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0" borderId="7" xfId="0" applyFon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3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2" xfId="0" applyFont="1" applyBorder="1" applyAlignment="1"/>
    <xf numFmtId="0" fontId="2" fillId="0" borderId="17" xfId="0" applyFont="1" applyBorder="1" applyAlignment="1"/>
    <xf numFmtId="0" fontId="2" fillId="2" borderId="22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thalpy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9"/>
  <sheetViews>
    <sheetView tabSelected="1" workbookViewId="0">
      <selection activeCell="T12" sqref="T12:U20"/>
    </sheetView>
  </sheetViews>
  <sheetFormatPr defaultRowHeight="12.75"/>
  <cols>
    <col min="1" max="1" width="11.42578125" style="1" customWidth="1"/>
    <col min="2" max="3" width="10" style="1" customWidth="1"/>
    <col min="4" max="4" width="5.7109375" style="1" customWidth="1"/>
    <col min="5" max="5" width="6.28515625" style="1" customWidth="1"/>
    <col min="6" max="6" width="9.85546875" style="1" customWidth="1"/>
    <col min="7" max="7" width="7.5703125" style="1" customWidth="1"/>
    <col min="8" max="8" width="11.42578125" style="1" customWidth="1"/>
    <col min="9" max="9" width="6.140625" style="1" customWidth="1"/>
    <col min="10" max="10" width="8" style="1" customWidth="1"/>
    <col min="11" max="11" width="6.140625" style="1" customWidth="1"/>
    <col min="12" max="12" width="33.7109375" style="3" customWidth="1"/>
    <col min="13" max="13" width="8.28515625" style="3" customWidth="1"/>
    <col min="14" max="14" width="9.140625" style="2"/>
    <col min="15" max="15" width="12.42578125" style="2" customWidth="1"/>
    <col min="16" max="16" width="12.140625" style="1" customWidth="1"/>
    <col min="17" max="17" width="18.42578125" style="1" customWidth="1"/>
    <col min="18" max="18" width="11" style="1" customWidth="1"/>
    <col min="19" max="19" width="7" style="2" customWidth="1"/>
    <col min="20" max="20" width="27.85546875" style="2" customWidth="1"/>
    <col min="21" max="21" width="9.140625" style="2"/>
    <col min="22" max="22" width="15.5703125" style="2" customWidth="1"/>
    <col min="23" max="23" width="9.140625" style="1"/>
    <col min="24" max="16384" width="9.140625" style="2"/>
  </cols>
  <sheetData>
    <row r="1" spans="1:23" ht="22.5" customHeight="1">
      <c r="A1" s="43" t="s">
        <v>10</v>
      </c>
      <c r="B1" s="65" t="s">
        <v>58</v>
      </c>
      <c r="C1" s="65" t="s">
        <v>58</v>
      </c>
      <c r="D1" s="65" t="s">
        <v>45</v>
      </c>
      <c r="E1" s="65" t="s">
        <v>46</v>
      </c>
      <c r="F1" s="65" t="s">
        <v>47</v>
      </c>
      <c r="G1" s="65" t="s">
        <v>48</v>
      </c>
      <c r="H1" s="65" t="s">
        <v>49</v>
      </c>
      <c r="I1" s="65" t="s">
        <v>50</v>
      </c>
      <c r="J1" s="65" t="s">
        <v>51</v>
      </c>
      <c r="K1" s="66" t="s">
        <v>52</v>
      </c>
      <c r="L1" s="43" t="s">
        <v>11</v>
      </c>
      <c r="M1" s="44" t="s">
        <v>12</v>
      </c>
      <c r="O1" s="12" t="s">
        <v>75</v>
      </c>
      <c r="P1" s="13" t="s">
        <v>76</v>
      </c>
      <c r="Q1" s="27" t="s">
        <v>78</v>
      </c>
      <c r="R1" s="28" t="s">
        <v>98</v>
      </c>
    </row>
    <row r="2" spans="1:23" ht="13.5" customHeight="1">
      <c r="A2" s="67"/>
      <c r="B2" s="41" t="s">
        <v>42</v>
      </c>
      <c r="C2" s="41" t="s">
        <v>59</v>
      </c>
      <c r="D2" s="41" t="s">
        <v>43</v>
      </c>
      <c r="E2" s="41" t="s">
        <v>43</v>
      </c>
      <c r="F2" s="41" t="s">
        <v>43</v>
      </c>
      <c r="G2" s="41" t="s">
        <v>43</v>
      </c>
      <c r="H2" s="41" t="s">
        <v>43</v>
      </c>
      <c r="I2" s="41" t="s">
        <v>43</v>
      </c>
      <c r="J2" s="41" t="s">
        <v>43</v>
      </c>
      <c r="K2" s="68" t="s">
        <v>43</v>
      </c>
      <c r="L2" s="45"/>
      <c r="M2" s="46"/>
      <c r="O2" s="38"/>
      <c r="P2" s="39" t="s">
        <v>67</v>
      </c>
      <c r="Q2" s="39" t="s">
        <v>79</v>
      </c>
      <c r="R2" s="40" t="s">
        <v>79</v>
      </c>
    </row>
    <row r="3" spans="1:23" ht="20.25" customHeight="1">
      <c r="A3" s="69" t="s">
        <v>0</v>
      </c>
      <c r="B3" s="42">
        <f>B6/M16*M18*M14*M18</f>
        <v>84.642713052090826</v>
      </c>
      <c r="C3" s="42">
        <f t="shared" ref="C3:C22" si="0">B3*24/1000</f>
        <v>2.0314251132501799</v>
      </c>
      <c r="D3" s="42">
        <v>100</v>
      </c>
      <c r="E3" s="42">
        <v>0</v>
      </c>
      <c r="F3" s="42">
        <v>0</v>
      </c>
      <c r="G3" s="42">
        <v>0</v>
      </c>
      <c r="H3" s="42">
        <v>0</v>
      </c>
      <c r="I3" s="42">
        <v>0</v>
      </c>
      <c r="J3" s="42">
        <v>0</v>
      </c>
      <c r="K3" s="70"/>
      <c r="L3" s="47" t="s">
        <v>53</v>
      </c>
      <c r="M3" s="48">
        <v>0.05</v>
      </c>
      <c r="O3" s="21" t="s">
        <v>0</v>
      </c>
      <c r="P3" s="29">
        <f>U6</f>
        <v>298</v>
      </c>
      <c r="Q3" s="29">
        <f>W6+(B3*V6*(U12-298))</f>
        <v>39228.196563306628</v>
      </c>
      <c r="R3" s="30" t="s">
        <v>81</v>
      </c>
      <c r="T3" s="24" t="s">
        <v>64</v>
      </c>
      <c r="U3" s="25" t="s">
        <v>66</v>
      </c>
      <c r="V3" s="25" t="s">
        <v>65</v>
      </c>
      <c r="W3" s="26" t="s">
        <v>77</v>
      </c>
    </row>
    <row r="4" spans="1:23" ht="15">
      <c r="A4" s="69" t="s">
        <v>1</v>
      </c>
      <c r="B4" s="42">
        <f>B6/M16*M19*M15*M19</f>
        <v>208.70805958049792</v>
      </c>
      <c r="C4" s="42">
        <f t="shared" si="0"/>
        <v>5.0089934299319498</v>
      </c>
      <c r="D4" s="42">
        <v>0</v>
      </c>
      <c r="E4" s="42">
        <v>100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70"/>
      <c r="L4" s="47"/>
      <c r="M4" s="48"/>
      <c r="O4" s="21" t="s">
        <v>1</v>
      </c>
      <c r="P4" s="29">
        <f>U7</f>
        <v>298</v>
      </c>
      <c r="Q4" s="29">
        <f>W7+(B4*V7*(U12-298))</f>
        <v>89816.482841094301</v>
      </c>
      <c r="R4" s="30">
        <f>Q5+Q6-Q3-Q4</f>
        <v>-141311.23298024415</v>
      </c>
      <c r="T4" s="14"/>
      <c r="U4" s="15" t="s">
        <v>67</v>
      </c>
      <c r="V4" s="15" t="s">
        <v>68</v>
      </c>
      <c r="W4" s="16" t="s">
        <v>69</v>
      </c>
    </row>
    <row r="5" spans="1:23" ht="15">
      <c r="A5" s="69" t="s">
        <v>2</v>
      </c>
      <c r="B5" s="42">
        <f>B6/M16*M21*M17*M21</f>
        <v>41.741611916099586</v>
      </c>
      <c r="C5" s="42">
        <f t="shared" si="0"/>
        <v>1.0017986859863901</v>
      </c>
      <c r="D5" s="42">
        <v>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100</v>
      </c>
      <c r="K5" s="70"/>
      <c r="L5" s="49" t="s">
        <v>21</v>
      </c>
      <c r="M5" s="50">
        <v>350</v>
      </c>
      <c r="O5" s="21" t="s">
        <v>2</v>
      </c>
      <c r="P5" s="29">
        <f>100+273</f>
        <v>373</v>
      </c>
      <c r="Q5" s="29">
        <f>W5+(B5*V5*(U12-318))</f>
        <v>30291.989116626843</v>
      </c>
      <c r="R5" s="30"/>
      <c r="T5" s="5" t="s">
        <v>80</v>
      </c>
      <c r="U5" s="6">
        <v>298</v>
      </c>
      <c r="V5" s="6">
        <v>4.18</v>
      </c>
      <c r="W5" s="7">
        <v>-242</v>
      </c>
    </row>
    <row r="6" spans="1:23" ht="15">
      <c r="A6" s="69" t="s">
        <v>3</v>
      </c>
      <c r="B6" s="42">
        <f>B7-(M12/100*M5*0.999500249)</f>
        <v>168.12593688428998</v>
      </c>
      <c r="C6" s="42">
        <f t="shared" si="0"/>
        <v>4.0350224852229593</v>
      </c>
      <c r="D6" s="42">
        <f>(B3*100*B3)/(B6*(B3+B4))</f>
        <v>14.526373177047839</v>
      </c>
      <c r="E6" s="42">
        <f>(B4*100*B4)/(B6*(B3+B4))</f>
        <v>88.319476625323702</v>
      </c>
      <c r="F6" s="42">
        <v>0</v>
      </c>
      <c r="G6" s="42">
        <v>100</v>
      </c>
      <c r="H6" s="42">
        <v>0</v>
      </c>
      <c r="I6" s="42">
        <v>0</v>
      </c>
      <c r="J6" s="42">
        <v>0</v>
      </c>
      <c r="K6" s="70"/>
      <c r="L6" s="47" t="s">
        <v>22</v>
      </c>
      <c r="M6" s="48">
        <v>60</v>
      </c>
      <c r="O6" s="21" t="s">
        <v>3</v>
      </c>
      <c r="P6" s="29">
        <f>U8</f>
        <v>363</v>
      </c>
      <c r="Q6" s="29">
        <f>W8+(B6*V8*(U8-U12))</f>
        <v>-42558.542692470051</v>
      </c>
      <c r="R6" s="30"/>
      <c r="T6" s="5" t="s">
        <v>70</v>
      </c>
      <c r="U6" s="6">
        <f>25+273</f>
        <v>298</v>
      </c>
      <c r="V6" s="6">
        <f>0.583*4.18</f>
        <v>2.4369399999999999</v>
      </c>
      <c r="W6" s="7">
        <v>-994.3</v>
      </c>
    </row>
    <row r="7" spans="1:23" ht="15">
      <c r="A7" s="69" t="s">
        <v>4</v>
      </c>
      <c r="B7" s="42">
        <f>B9-B8</f>
        <v>170.78460754662999</v>
      </c>
      <c r="C7" s="42">
        <f t="shared" si="0"/>
        <v>4.0988305811191195</v>
      </c>
      <c r="D7" s="42">
        <v>0</v>
      </c>
      <c r="E7" s="42">
        <v>0</v>
      </c>
      <c r="F7" s="42">
        <f>100/(B6+M13)*M13</f>
        <v>1.5575052890930885</v>
      </c>
      <c r="G7" s="42">
        <f>100/(B6+M13)*B6</f>
        <v>98.442494710906914</v>
      </c>
      <c r="H7" s="42">
        <v>0</v>
      </c>
      <c r="I7" s="42">
        <v>0</v>
      </c>
      <c r="J7" s="42">
        <v>0</v>
      </c>
      <c r="K7" s="70"/>
      <c r="L7" s="47" t="s">
        <v>62</v>
      </c>
      <c r="M7" s="48">
        <v>21000</v>
      </c>
      <c r="O7" s="21" t="s">
        <v>4</v>
      </c>
      <c r="P7" s="29">
        <f>80+273</f>
        <v>353</v>
      </c>
      <c r="Q7" s="29">
        <f>W8+(B7*V8*(U16-P7))</f>
        <v>5205.6581652626128</v>
      </c>
      <c r="R7" s="31" t="s">
        <v>82</v>
      </c>
      <c r="T7" s="5" t="s">
        <v>71</v>
      </c>
      <c r="U7" s="6">
        <f>273+25</f>
        <v>298</v>
      </c>
      <c r="V7" s="6">
        <f>(200*1000)/(1000*90.12)</f>
        <v>2.2192632046160674</v>
      </c>
      <c r="W7" s="7">
        <v>-503.25</v>
      </c>
    </row>
    <row r="8" spans="1:23" ht="15">
      <c r="A8" s="69" t="s">
        <v>5</v>
      </c>
      <c r="B8" s="42">
        <f>(M5*0.999500249*(M10/100))-B27</f>
        <v>143.25321576636</v>
      </c>
      <c r="C8" s="42">
        <f t="shared" si="0"/>
        <v>3.43807717839264</v>
      </c>
      <c r="D8" s="42">
        <v>0</v>
      </c>
      <c r="E8" s="42">
        <v>0</v>
      </c>
      <c r="F8" s="42">
        <v>0</v>
      </c>
      <c r="G8" s="42">
        <v>0</v>
      </c>
      <c r="H8" s="42">
        <v>0</v>
      </c>
      <c r="I8" s="42">
        <v>100</v>
      </c>
      <c r="J8" s="42">
        <v>0</v>
      </c>
      <c r="K8" s="70"/>
      <c r="L8" s="47" t="s">
        <v>63</v>
      </c>
      <c r="M8" s="48">
        <v>20</v>
      </c>
      <c r="O8" s="21" t="s">
        <v>5</v>
      </c>
      <c r="P8" s="29">
        <f>U9</f>
        <v>338</v>
      </c>
      <c r="Q8" s="29">
        <f>W9+(B8*V9*(U16-U9))</f>
        <v>8664.952593280681</v>
      </c>
      <c r="R8" s="31">
        <f>Q9-Q8-Q7</f>
        <v>-16471.585409537536</v>
      </c>
      <c r="T8" s="5" t="s">
        <v>72</v>
      </c>
      <c r="U8" s="6">
        <f>273+90</f>
        <v>363</v>
      </c>
      <c r="V8" s="6">
        <v>1.89</v>
      </c>
      <c r="W8" s="7">
        <v>-1250</v>
      </c>
    </row>
    <row r="9" spans="1:23" ht="15">
      <c r="A9" s="69" t="s">
        <v>6</v>
      </c>
      <c r="B9" s="42">
        <f>B8+(M5*0.999500249*(M9+M12)/100)</f>
        <v>314.03782331298999</v>
      </c>
      <c r="C9" s="42">
        <f t="shared" si="0"/>
        <v>7.5369077595117595</v>
      </c>
      <c r="D9" s="42">
        <v>0</v>
      </c>
      <c r="E9" s="42">
        <v>0</v>
      </c>
      <c r="F9" s="42">
        <v>0</v>
      </c>
      <c r="G9" s="42">
        <v>0</v>
      </c>
      <c r="H9" s="42">
        <f>(B7*100*B7)/(B9*B9)</f>
        <v>29.575598044493017</v>
      </c>
      <c r="I9" s="42">
        <f>(B8*100*B8)/(B9*B9)</f>
        <v>20.808694908487499</v>
      </c>
      <c r="J9" s="42">
        <v>0</v>
      </c>
      <c r="K9" s="70"/>
      <c r="L9" s="47" t="s">
        <v>23</v>
      </c>
      <c r="M9" s="48">
        <v>48.06</v>
      </c>
      <c r="O9" s="21" t="s">
        <v>6</v>
      </c>
      <c r="P9" s="29">
        <f>98+273</f>
        <v>371</v>
      </c>
      <c r="Q9" s="29">
        <f>U18+(B9*U17*(P9-U16))</f>
        <v>-2600.9746509942443</v>
      </c>
      <c r="R9" s="31"/>
      <c r="T9" s="5" t="s">
        <v>73</v>
      </c>
      <c r="U9" s="6">
        <f>273+65</f>
        <v>338</v>
      </c>
      <c r="V9" s="6">
        <v>1.8</v>
      </c>
      <c r="W9" s="7">
        <v>-360</v>
      </c>
    </row>
    <row r="10" spans="1:23" ht="15">
      <c r="A10" s="69" t="s">
        <v>7</v>
      </c>
      <c r="B10" s="42">
        <f>B9</f>
        <v>314.03782331298999</v>
      </c>
      <c r="C10" s="42">
        <f t="shared" si="0"/>
        <v>7.5369077595117595</v>
      </c>
      <c r="D10" s="42">
        <v>0</v>
      </c>
      <c r="E10" s="42">
        <v>0</v>
      </c>
      <c r="F10" s="42">
        <f>F9</f>
        <v>0</v>
      </c>
      <c r="G10" s="42">
        <f>G9</f>
        <v>0</v>
      </c>
      <c r="H10" s="42">
        <f>H9</f>
        <v>29.575598044493017</v>
      </c>
      <c r="I10" s="42">
        <f>I9</f>
        <v>20.808694908487499</v>
      </c>
      <c r="J10" s="42">
        <f>J9</f>
        <v>0</v>
      </c>
      <c r="K10" s="70"/>
      <c r="L10" s="47" t="s">
        <v>24</v>
      </c>
      <c r="M10" s="48">
        <v>41.04</v>
      </c>
      <c r="O10" s="21" t="s">
        <v>7</v>
      </c>
      <c r="P10" s="29">
        <f>P9</f>
        <v>371</v>
      </c>
      <c r="Q10" s="29">
        <f>U18+(B10*U17*(U13-P10))</f>
        <v>83483.07347556256</v>
      </c>
      <c r="R10" s="32" t="s">
        <v>83</v>
      </c>
      <c r="T10" s="8" t="s">
        <v>74</v>
      </c>
      <c r="U10" s="9">
        <f>60+273</f>
        <v>333</v>
      </c>
      <c r="V10" s="9">
        <v>1.6594599999999999</v>
      </c>
      <c r="W10" s="23">
        <v>-1393</v>
      </c>
    </row>
    <row r="11" spans="1:23" ht="15">
      <c r="A11" s="69" t="s">
        <v>8</v>
      </c>
      <c r="B11" s="42">
        <f>M5*0.999500249*(M11/100)</f>
        <v>35.472263837010004</v>
      </c>
      <c r="C11" s="42">
        <f t="shared" si="0"/>
        <v>0.85133433208824005</v>
      </c>
      <c r="D11" s="42">
        <v>0</v>
      </c>
      <c r="E11" s="42">
        <v>100</v>
      </c>
      <c r="F11" s="42">
        <v>0</v>
      </c>
      <c r="G11" s="42">
        <v>0</v>
      </c>
      <c r="H11" s="42">
        <f>100-E11</f>
        <v>0</v>
      </c>
      <c r="I11" s="42">
        <v>0</v>
      </c>
      <c r="J11" s="42">
        <v>0</v>
      </c>
      <c r="K11" s="70"/>
      <c r="L11" s="47" t="s">
        <v>25</v>
      </c>
      <c r="M11" s="48">
        <v>10.14</v>
      </c>
      <c r="O11" s="21" t="s">
        <v>8</v>
      </c>
      <c r="P11" s="29">
        <f>U7</f>
        <v>298</v>
      </c>
      <c r="Q11" s="29">
        <f>W7+(V7*B11*(U13-U7))</f>
        <v>17209.265231529629</v>
      </c>
      <c r="R11" s="32">
        <f>Q12-Q11-Q10</f>
        <v>-125285.25907596975</v>
      </c>
      <c r="T11"/>
      <c r="U11" s="4"/>
      <c r="V11" s="4"/>
      <c r="W11" s="4"/>
    </row>
    <row r="12" spans="1:23" ht="15">
      <c r="A12" s="69" t="s">
        <v>9</v>
      </c>
      <c r="B12" s="42">
        <f>B10+B11</f>
        <v>349.51008715</v>
      </c>
      <c r="C12" s="42">
        <f t="shared" si="0"/>
        <v>8.3882420916000004</v>
      </c>
      <c r="D12" s="42">
        <v>0</v>
      </c>
      <c r="E12" s="42">
        <f>M11</f>
        <v>10.14</v>
      </c>
      <c r="F12" s="42">
        <f>H12-G12</f>
        <v>0.80896957900727529</v>
      </c>
      <c r="G12" s="42">
        <f>M9</f>
        <v>48.06</v>
      </c>
      <c r="H12" s="42">
        <f>(100-E12)*B7/B9</f>
        <v>48.868969579007278</v>
      </c>
      <c r="I12" s="42">
        <f>M10</f>
        <v>41.04</v>
      </c>
      <c r="J12" s="42">
        <v>0</v>
      </c>
      <c r="K12" s="70">
        <v>100</v>
      </c>
      <c r="L12" s="47" t="s">
        <v>26</v>
      </c>
      <c r="M12" s="48">
        <v>0.76</v>
      </c>
      <c r="O12" s="21" t="s">
        <v>9</v>
      </c>
      <c r="P12" s="29">
        <f>210+273</f>
        <v>483</v>
      </c>
      <c r="Q12" s="29">
        <f>W10+(B12*V10*(P12-U13))</f>
        <v>-24592.92036887756</v>
      </c>
      <c r="R12" s="32"/>
      <c r="T12" s="17" t="s">
        <v>90</v>
      </c>
      <c r="U12" s="18">
        <f>273+220</f>
        <v>493</v>
      </c>
      <c r="V12" s="4"/>
      <c r="W12" s="4"/>
    </row>
    <row r="13" spans="1:23" ht="15">
      <c r="A13" s="69" t="s">
        <v>13</v>
      </c>
      <c r="B13" s="42">
        <f>B12-B28-B29</f>
        <v>336.15408715000001</v>
      </c>
      <c r="C13" s="42">
        <f t="shared" si="0"/>
        <v>8.0676980916000005</v>
      </c>
      <c r="D13" s="42">
        <v>0</v>
      </c>
      <c r="E13" s="42">
        <f t="shared" ref="E13:J13" si="1">E12</f>
        <v>10.14</v>
      </c>
      <c r="F13" s="42">
        <f t="shared" si="1"/>
        <v>0.80896957900727529</v>
      </c>
      <c r="G13" s="42">
        <f t="shared" si="1"/>
        <v>48.06</v>
      </c>
      <c r="H13" s="42">
        <f t="shared" si="1"/>
        <v>48.868969579007278</v>
      </c>
      <c r="I13" s="42">
        <f t="shared" si="1"/>
        <v>41.04</v>
      </c>
      <c r="J13" s="42">
        <f t="shared" si="1"/>
        <v>0</v>
      </c>
      <c r="K13" s="70">
        <v>100</v>
      </c>
      <c r="L13" s="47" t="s">
        <v>44</v>
      </c>
      <c r="M13" s="48">
        <f>M12/100*M5</f>
        <v>2.66</v>
      </c>
      <c r="O13" s="21" t="s">
        <v>13</v>
      </c>
      <c r="P13" s="29">
        <f>P12</f>
        <v>483</v>
      </c>
      <c r="Q13" s="29">
        <f>B13*V10*(U19-P13)</f>
        <v>-54388.840492539057</v>
      </c>
      <c r="R13" s="33" t="s">
        <v>84</v>
      </c>
      <c r="T13" s="19" t="s">
        <v>91</v>
      </c>
      <c r="U13" s="20">
        <f>250+273</f>
        <v>523</v>
      </c>
      <c r="V13" s="4"/>
      <c r="W13" s="4"/>
    </row>
    <row r="14" spans="1:23" ht="15">
      <c r="A14" s="69" t="s">
        <v>14</v>
      </c>
      <c r="B14" s="42">
        <f>M7</f>
        <v>21000</v>
      </c>
      <c r="C14" s="42">
        <f t="shared" si="0"/>
        <v>504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100</v>
      </c>
      <c r="K14" s="70">
        <v>0</v>
      </c>
      <c r="L14" s="47" t="s">
        <v>27</v>
      </c>
      <c r="M14" s="48">
        <v>146</v>
      </c>
      <c r="O14" s="21" t="s">
        <v>14</v>
      </c>
      <c r="P14" s="29">
        <f>15+273</f>
        <v>288</v>
      </c>
      <c r="Q14" s="29">
        <f>B14*V5*(U19-P14)</f>
        <v>8558550</v>
      </c>
      <c r="R14" s="33" t="s">
        <v>85</v>
      </c>
      <c r="T14" s="19" t="s">
        <v>92</v>
      </c>
      <c r="U14" s="20">
        <f>95+273</f>
        <v>368</v>
      </c>
      <c r="V14" s="4"/>
      <c r="W14" s="4"/>
    </row>
    <row r="15" spans="1:23">
      <c r="A15" s="69" t="s">
        <v>15</v>
      </c>
      <c r="B15" s="42">
        <f>(100-M8)/100*M7</f>
        <v>16800</v>
      </c>
      <c r="C15" s="42">
        <f t="shared" si="0"/>
        <v>403.2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100</v>
      </c>
      <c r="K15" s="70">
        <v>0</v>
      </c>
      <c r="L15" s="47" t="s">
        <v>28</v>
      </c>
      <c r="M15" s="48">
        <v>90</v>
      </c>
      <c r="O15" s="21" t="s">
        <v>15</v>
      </c>
      <c r="P15" s="29">
        <f>31.62+273</f>
        <v>304.62</v>
      </c>
      <c r="Q15" s="29">
        <f>B15*V5*(P15-U19)</f>
        <v>-5679717.1200000001</v>
      </c>
      <c r="R15" s="33">
        <f>Q15+Q16-Q13-Q14</f>
        <v>-14767264.664770762</v>
      </c>
      <c r="T15" s="21" t="s">
        <v>93</v>
      </c>
      <c r="U15" s="20">
        <f>45+273</f>
        <v>318</v>
      </c>
    </row>
    <row r="16" spans="1:23">
      <c r="A16" s="69" t="s">
        <v>16</v>
      </c>
      <c r="B16" s="42">
        <f>B13+(M8/100*M7)</f>
        <v>4536.1540871500001</v>
      </c>
      <c r="C16" s="42">
        <f t="shared" si="0"/>
        <v>108.8676980916</v>
      </c>
      <c r="D16" s="42">
        <f t="shared" ref="D16:I16" si="2">D17</f>
        <v>0</v>
      </c>
      <c r="E16" s="42">
        <f t="shared" si="2"/>
        <v>0</v>
      </c>
      <c r="F16" s="42">
        <f t="shared" si="2"/>
        <v>0</v>
      </c>
      <c r="G16" s="42">
        <f t="shared" si="2"/>
        <v>0</v>
      </c>
      <c r="H16" s="42">
        <f t="shared" si="2"/>
        <v>0</v>
      </c>
      <c r="I16" s="42">
        <f t="shared" si="2"/>
        <v>0</v>
      </c>
      <c r="J16" s="42">
        <f>(B14-B15)/B16*100</f>
        <v>92.589447344783636</v>
      </c>
      <c r="K16" s="70">
        <f>B13/B16*100</f>
        <v>7.4105526552163656</v>
      </c>
      <c r="L16" s="47" t="s">
        <v>55</v>
      </c>
      <c r="M16" s="48">
        <v>290</v>
      </c>
      <c r="O16" s="21" t="s">
        <v>16</v>
      </c>
      <c r="P16" s="29">
        <f>35+273</f>
        <v>308</v>
      </c>
      <c r="Q16" s="29">
        <f>B16*V10*(P16-U19)</f>
        <v>-583386.38526330027</v>
      </c>
      <c r="R16" s="33"/>
      <c r="T16" s="21" t="s">
        <v>94</v>
      </c>
      <c r="U16" s="20">
        <f>100+273</f>
        <v>373</v>
      </c>
    </row>
    <row r="17" spans="1:21">
      <c r="A17" s="69" t="s">
        <v>17</v>
      </c>
      <c r="B17" s="42">
        <f>B16</f>
        <v>4536.1540871500001</v>
      </c>
      <c r="C17" s="42">
        <f t="shared" si="0"/>
        <v>108.8676980916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f>J16</f>
        <v>92.589447344783636</v>
      </c>
      <c r="K17" s="70">
        <f>K16</f>
        <v>7.4105526552163656</v>
      </c>
      <c r="L17" s="47" t="s">
        <v>54</v>
      </c>
      <c r="M17" s="48">
        <v>18</v>
      </c>
      <c r="O17" s="21" t="s">
        <v>17</v>
      </c>
      <c r="P17" s="29">
        <f>P16</f>
        <v>308</v>
      </c>
      <c r="Q17" s="29">
        <f>B17*V10*(U20-P17)</f>
        <v>-75275.662614619388</v>
      </c>
      <c r="R17" s="34" t="s">
        <v>86</v>
      </c>
      <c r="T17" s="21" t="s">
        <v>95</v>
      </c>
      <c r="U17" s="20">
        <v>1.78</v>
      </c>
    </row>
    <row r="18" spans="1:21">
      <c r="A18" s="69" t="s">
        <v>18</v>
      </c>
      <c r="B18" s="42">
        <f>(M6/100)*(M7-B15)</f>
        <v>2520</v>
      </c>
      <c r="C18" s="42">
        <f t="shared" si="0"/>
        <v>60.48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100</v>
      </c>
      <c r="K18" s="70">
        <v>0</v>
      </c>
      <c r="L18" s="47" t="s">
        <v>29</v>
      </c>
      <c r="M18" s="48">
        <v>1</v>
      </c>
      <c r="O18" s="21" t="s">
        <v>18</v>
      </c>
      <c r="P18" s="29">
        <f>32+273</f>
        <v>305</v>
      </c>
      <c r="Q18" s="29">
        <f>B18*V5*(P18-U20)</f>
        <v>73735.199999999983</v>
      </c>
      <c r="R18" s="34" t="s">
        <v>87</v>
      </c>
      <c r="T18" s="21" t="s">
        <v>89</v>
      </c>
      <c r="U18" s="20">
        <v>-1483</v>
      </c>
    </row>
    <row r="19" spans="1:21">
      <c r="A19" s="69" t="s">
        <v>19</v>
      </c>
      <c r="B19" s="42">
        <f>B17-B18</f>
        <v>2016.1540871500001</v>
      </c>
      <c r="C19" s="42">
        <f t="shared" si="0"/>
        <v>48.387698091600001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f>((M8/100*M7)-B18)/B19*100</f>
        <v>83.326964476947225</v>
      </c>
      <c r="K19" s="70">
        <f>B13/B19*100</f>
        <v>16.673035523052778</v>
      </c>
      <c r="L19" s="47" t="s">
        <v>30</v>
      </c>
      <c r="M19" s="48">
        <v>2</v>
      </c>
      <c r="O19" s="21" t="s">
        <v>19</v>
      </c>
      <c r="P19" s="29">
        <f>30+273</f>
        <v>303</v>
      </c>
      <c r="Q19" s="29">
        <f>B19*V10*(P19-U20)</f>
        <v>16728.635307309698</v>
      </c>
      <c r="R19" s="34">
        <f>Q19+Q18-Q17</f>
        <v>165739.49792192905</v>
      </c>
      <c r="T19" s="21" t="s">
        <v>96</v>
      </c>
      <c r="U19" s="20">
        <f>112.5+273</f>
        <v>385.5</v>
      </c>
    </row>
    <row r="20" spans="1:21">
      <c r="A20" s="69" t="s">
        <v>20</v>
      </c>
      <c r="B20" s="42">
        <f>B19</f>
        <v>2016.1540871500001</v>
      </c>
      <c r="C20" s="42">
        <f>B20*24/1000</f>
        <v>48.387698091600001</v>
      </c>
      <c r="D20" s="42">
        <f t="shared" ref="D20:K20" si="3">D19</f>
        <v>0</v>
      </c>
      <c r="E20" s="42">
        <f t="shared" si="3"/>
        <v>0</v>
      </c>
      <c r="F20" s="42">
        <f t="shared" si="3"/>
        <v>0</v>
      </c>
      <c r="G20" s="42">
        <f t="shared" si="3"/>
        <v>0</v>
      </c>
      <c r="H20" s="42">
        <f t="shared" si="3"/>
        <v>0</v>
      </c>
      <c r="I20" s="42">
        <f t="shared" si="3"/>
        <v>0</v>
      </c>
      <c r="J20" s="42">
        <f t="shared" si="3"/>
        <v>83.326964476947225</v>
      </c>
      <c r="K20" s="70">
        <f t="shared" si="3"/>
        <v>16.673035523052778</v>
      </c>
      <c r="L20" s="47" t="s">
        <v>31</v>
      </c>
      <c r="M20" s="48">
        <v>1</v>
      </c>
      <c r="O20" s="21" t="s">
        <v>20</v>
      </c>
      <c r="P20" s="29">
        <f>P19</f>
        <v>303</v>
      </c>
      <c r="Q20" s="29">
        <f>B20*V10*(U14-P20)</f>
        <v>217472.25899502606</v>
      </c>
      <c r="R20" s="35" t="s">
        <v>88</v>
      </c>
      <c r="T20" s="22" t="s">
        <v>97</v>
      </c>
      <c r="U20" s="23">
        <f>25+273</f>
        <v>298</v>
      </c>
    </row>
    <row r="21" spans="1:21">
      <c r="A21" s="69" t="s">
        <v>60</v>
      </c>
      <c r="B21" s="42">
        <f>((M8/100*M7)-B18)-(M3/100*350.175)</f>
        <v>1679.8249125</v>
      </c>
      <c r="C21" s="42">
        <f t="shared" si="0"/>
        <v>40.3157979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100</v>
      </c>
      <c r="K21" s="70">
        <v>0</v>
      </c>
      <c r="L21" s="47" t="s">
        <v>32</v>
      </c>
      <c r="M21" s="48">
        <v>2</v>
      </c>
      <c r="O21" s="21" t="s">
        <v>60</v>
      </c>
      <c r="P21" s="29">
        <f>80+273</f>
        <v>353</v>
      </c>
      <c r="Q21" s="29">
        <f>B21*V5*(P21-U14)</f>
        <v>-105325.02201375</v>
      </c>
      <c r="R21" s="35">
        <f>Q21+Q22-Q20</f>
        <v>-342331.64943454019</v>
      </c>
    </row>
    <row r="22" spans="1:21" ht="13.5" thickBot="1">
      <c r="A22" s="71" t="s">
        <v>61</v>
      </c>
      <c r="B22" s="72">
        <f>B20-B21</f>
        <v>336.32917465000014</v>
      </c>
      <c r="C22" s="73">
        <f t="shared" si="0"/>
        <v>8.0719001916000028</v>
      </c>
      <c r="D22" s="73">
        <v>0</v>
      </c>
      <c r="E22" s="73">
        <v>0</v>
      </c>
      <c r="F22" s="73">
        <v>0</v>
      </c>
      <c r="G22" s="73">
        <v>0</v>
      </c>
      <c r="H22" s="73">
        <v>0</v>
      </c>
      <c r="I22" s="73">
        <v>0</v>
      </c>
      <c r="J22" s="73">
        <f>M3</f>
        <v>0.05</v>
      </c>
      <c r="K22" s="74">
        <f>100-M3</f>
        <v>99.95</v>
      </c>
      <c r="L22" s="59"/>
      <c r="M22" s="60"/>
      <c r="O22" s="22" t="s">
        <v>61</v>
      </c>
      <c r="P22" s="36">
        <f>U10</f>
        <v>333</v>
      </c>
      <c r="Q22" s="36">
        <f>B22*V10*(P22-U14)</f>
        <v>-19534.368425764122</v>
      </c>
      <c r="R22" s="37"/>
    </row>
    <row r="23" spans="1:21">
      <c r="L23" s="61"/>
      <c r="M23" s="62"/>
    </row>
    <row r="24" spans="1:21" ht="13.5" thickBot="1">
      <c r="L24" s="63" t="s">
        <v>33</v>
      </c>
      <c r="M24" s="50">
        <v>96</v>
      </c>
    </row>
    <row r="25" spans="1:21" ht="13.5" thickBot="1">
      <c r="A25" s="51" t="s">
        <v>39</v>
      </c>
      <c r="B25" s="52">
        <f>M5*(100-M24)/100</f>
        <v>14</v>
      </c>
      <c r="C25" s="53">
        <f t="shared" ref="C25:C29" si="4">B25*24/1000</f>
        <v>0.33600000000000002</v>
      </c>
      <c r="L25" s="64" t="s">
        <v>34</v>
      </c>
      <c r="M25" s="48">
        <f>100-M24</f>
        <v>4</v>
      </c>
    </row>
    <row r="26" spans="1:21" ht="13.5" thickBot="1">
      <c r="A26" s="54" t="s">
        <v>40</v>
      </c>
      <c r="B26" s="29">
        <f>B25*M26/100</f>
        <v>0.315</v>
      </c>
      <c r="C26" s="48">
        <f t="shared" si="4"/>
        <v>7.5600000000000007E-3</v>
      </c>
      <c r="L26" s="54" t="s">
        <v>35</v>
      </c>
      <c r="M26" s="48">
        <v>2.25</v>
      </c>
      <c r="O26" s="58"/>
    </row>
    <row r="27" spans="1:21">
      <c r="A27" s="54" t="s">
        <v>41</v>
      </c>
      <c r="B27" s="29">
        <f>B25*M27/100</f>
        <v>0.315</v>
      </c>
      <c r="C27" s="48">
        <f t="shared" si="4"/>
        <v>7.5600000000000007E-3</v>
      </c>
      <c r="L27" s="54" t="s">
        <v>36</v>
      </c>
      <c r="M27" s="48">
        <v>2.25</v>
      </c>
    </row>
    <row r="28" spans="1:21">
      <c r="A28" s="54" t="s">
        <v>56</v>
      </c>
      <c r="B28" s="29">
        <f>B25*M28/100</f>
        <v>11.34</v>
      </c>
      <c r="C28" s="48">
        <f t="shared" si="4"/>
        <v>0.27215999999999996</v>
      </c>
      <c r="L28" s="54" t="s">
        <v>37</v>
      </c>
      <c r="M28" s="48">
        <v>81</v>
      </c>
    </row>
    <row r="29" spans="1:21" ht="13.5" thickBot="1">
      <c r="A29" s="55" t="s">
        <v>57</v>
      </c>
      <c r="B29" s="56">
        <f>B25*M29/100</f>
        <v>2.016</v>
      </c>
      <c r="C29" s="57">
        <f t="shared" si="4"/>
        <v>4.8384000000000003E-2</v>
      </c>
      <c r="L29" s="55" t="s">
        <v>38</v>
      </c>
      <c r="M29" s="57">
        <v>14.4</v>
      </c>
    </row>
  </sheetData>
  <hyperlinks>
    <hyperlink ref="Q1" r:id="rId1" display="enthalpy@"/>
  </hyperlinks>
  <printOptions gridLines="1"/>
  <pageMargins left="0.14000000000000001" right="0.28999999999999998" top="0.35" bottom="0.52" header="0.2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sqref="A1:C1"/>
    </sheetView>
  </sheetViews>
  <sheetFormatPr defaultRowHeight="15"/>
  <cols>
    <col min="1" max="1" width="12.42578125" style="4" customWidth="1"/>
    <col min="2" max="2" width="12.7109375" customWidth="1"/>
    <col min="3" max="3" width="16.140625" customWidth="1"/>
    <col min="9" max="9" width="6.85546875" customWidth="1"/>
    <col min="10" max="10" width="6.7109375" customWidth="1"/>
    <col min="11" max="11" width="22.28515625" customWidth="1"/>
    <col min="12" max="12" width="9.140625" style="4"/>
    <col min="13" max="13" width="14.42578125" style="4" customWidth="1"/>
  </cols>
  <sheetData>
    <row r="1" spans="1:1" s="11" customFormat="1"/>
    <row r="2" spans="1:1" s="11" customFormat="1">
      <c r="A2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2016-03-28T20:27:56Z</cp:lastPrinted>
  <dcterms:created xsi:type="dcterms:W3CDTF">2016-03-24T14:08:12Z</dcterms:created>
  <dcterms:modified xsi:type="dcterms:W3CDTF">2016-03-28T20:27:58Z</dcterms:modified>
</cp:coreProperties>
</file>