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evs\ws\z-components\devices\m90e26\docs\"/>
    </mc:Choice>
  </mc:AlternateContent>
  <xr:revisionPtr revIDLastSave="0" documentId="13_ncr:1_{F942DE20-CF2C-4814-AD7B-4CDE7BBA294D}" xr6:coauthVersionLast="45" xr6:coauthVersionMax="45" xr10:uidLastSave="{00000000-0000-0000-0000-000000000000}"/>
  <bookViews>
    <workbookView xWindow="-98" yWindow="-98" windowWidth="20715" windowHeight="13875" xr2:uid="{FE178CC8-A0CF-4137-A708-A44CFB898DD1}"/>
  </bookViews>
  <sheets>
    <sheet name="Formulae" sheetId="1" r:id="rId1"/>
    <sheet name="Sheet1" sheetId="3" r:id="rId2"/>
    <sheet name="CT's" sheetId="2" r:id="rId3"/>
  </sheets>
  <definedNames>
    <definedName name="_e">Formulae!$C$26</definedName>
    <definedName name="_el">Formulae!$C$35</definedName>
    <definedName name="Angle">Formulae!$C$36</definedName>
    <definedName name="Const3243">Formulae!$C$3</definedName>
    <definedName name="Const3244">Formulae!$C$4</definedName>
    <definedName name="Constant">Formulae!$C$2</definedName>
    <definedName name="Cur_defL">Formulae!$C$64</definedName>
    <definedName name="Cur_defN">Formulae!$C$69</definedName>
    <definedName name="Cur_meaL">Formulae!$C$25</definedName>
    <definedName name="Cur_meaN">Formulae!$C$71</definedName>
    <definedName name="Gl">Formulae!$C$13</definedName>
    <definedName name="Ib">Formulae!$C$7</definedName>
    <definedName name="Iratio">#REF!</definedName>
    <definedName name="Irms">Formulae!#REF!</definedName>
    <definedName name="Kn">Formulae!$C$45</definedName>
    <definedName name="KnQ">Formulae!$C$53</definedName>
    <definedName name="Ks">Formulae!$C$41</definedName>
    <definedName name="KsQ">Formulae!$C$49</definedName>
    <definedName name="Lgain">Formulae!$C$28</definedName>
    <definedName name="Lphi">Formulae!$C$37</definedName>
    <definedName name="Lratio">Formulae!$C$27</definedName>
    <definedName name="MC">Formulae!$C$5</definedName>
    <definedName name="Nx">Formulae!$C$8</definedName>
    <definedName name="Rb">Formulae!$C$10</definedName>
    <definedName name="RegX08">Formulae!#REF!</definedName>
    <definedName name="RegX31">Formulae!#REF!</definedName>
    <definedName name="RegX48">Formulae!$C$24</definedName>
    <definedName name="Ugain">Formulae!$C$60</definedName>
    <definedName name="Un">Formulae!$C$6</definedName>
    <definedName name="Vl">Formulae!$C$14</definedName>
    <definedName name="VlReg">Formulae!$C$58</definedName>
    <definedName name="Vn">Formulae!#REF!</definedName>
    <definedName name="Vol_mea">Formulae!$C$59</definedName>
    <definedName name="Vratio">#REF!</definedName>
    <definedName name="Vu">Formulae!$C$9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C29" i="1"/>
  <c r="C58" i="1"/>
  <c r="C9" i="1" l="1"/>
  <c r="C69" i="1" l="1"/>
  <c r="C14" i="1"/>
  <c r="C42" i="1" s="1"/>
  <c r="C15" i="1" l="1"/>
  <c r="E59" i="1" l="1"/>
  <c r="C70" i="1"/>
  <c r="C24" i="1" l="1"/>
  <c r="C25" i="1" s="1"/>
  <c r="C59" i="1"/>
  <c r="G53" i="1" l="1"/>
  <c r="C60" i="1"/>
  <c r="C61" i="1" s="1"/>
  <c r="G45" i="1"/>
  <c r="E70" i="1"/>
  <c r="E33" i="1"/>
  <c r="C64" i="1"/>
  <c r="C65" i="1" s="1"/>
  <c r="C34" i="1"/>
  <c r="C35" i="1" s="1"/>
  <c r="C36" i="1" s="1"/>
  <c r="C71" i="1"/>
  <c r="C26" i="1" l="1"/>
  <c r="C27" i="1" s="1"/>
  <c r="C28" i="1" s="1"/>
  <c r="C66" i="1"/>
  <c r="C54" i="1"/>
  <c r="C55" i="1" s="1"/>
  <c r="C50" i="1"/>
  <c r="C51" i="1" s="1"/>
  <c r="C46" i="1"/>
  <c r="C47" i="1" s="1"/>
  <c r="C43" i="1"/>
  <c r="C72" i="1"/>
  <c r="C73" i="1" s="1"/>
  <c r="C37" i="1"/>
  <c r="C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AMM</author>
  </authors>
  <commentList>
    <comment ref="F10" authorId="0" shapeId="0" xr:uid="{2D845586-2175-4FD7-932C-F0ACE8F5760F}">
      <text>
        <r>
          <rPr>
            <b/>
            <sz val="9"/>
            <color indexed="81"/>
            <rFont val="Tahoma"/>
            <charset val="1"/>
          </rPr>
          <t>As per example
200u Ohm</t>
        </r>
      </text>
    </comment>
  </commentList>
</comments>
</file>

<file path=xl/sharedStrings.xml><?xml version="1.0" encoding="utf-8"?>
<sst xmlns="http://schemas.openxmlformats.org/spreadsheetml/2006/main" count="195" uniqueCount="173">
  <si>
    <t>Un</t>
  </si>
  <si>
    <t>Ib</t>
  </si>
  <si>
    <t>Gl</t>
  </si>
  <si>
    <t>Vl</t>
  </si>
  <si>
    <t>Symbol</t>
  </si>
  <si>
    <t>Value</t>
  </si>
  <si>
    <t>Volts</t>
  </si>
  <si>
    <t>Ampere</t>
  </si>
  <si>
    <t>mV</t>
  </si>
  <si>
    <t>Voltage circuit sampling voltage at Un</t>
  </si>
  <si>
    <t>Vu</t>
  </si>
  <si>
    <t>Pulse constant on energy meter</t>
  </si>
  <si>
    <t>MC</t>
  </si>
  <si>
    <t>imp/kWhr</t>
  </si>
  <si>
    <t>Lratio</t>
  </si>
  <si>
    <t>Lgain</t>
  </si>
  <si>
    <t>Calibration Bench Error Ratio</t>
  </si>
  <si>
    <t>_e</t>
  </si>
  <si>
    <t>_el</t>
  </si>
  <si>
    <t>Angle</t>
  </si>
  <si>
    <t>Lphi</t>
  </si>
  <si>
    <t>VlReg</t>
  </si>
  <si>
    <t>Cur_meaL</t>
  </si>
  <si>
    <t>Cur_defL</t>
  </si>
  <si>
    <t>Ks</t>
  </si>
  <si>
    <t>Kn</t>
  </si>
  <si>
    <t>PStartTh</t>
  </si>
  <si>
    <t>Cur_defN</t>
  </si>
  <si>
    <t>Cur_meaN</t>
  </si>
  <si>
    <t>Comments</t>
  </si>
  <si>
    <t>Calculated based on resistor network</t>
  </si>
  <si>
    <t>Current Transformer Ratio</t>
  </si>
  <si>
    <t>Nx</t>
  </si>
  <si>
    <t>Ratio</t>
  </si>
  <si>
    <t>Done using software</t>
  </si>
  <si>
    <t>Any suggestions on how to practically measure this????</t>
  </si>
  <si>
    <t>Manufacturer</t>
  </si>
  <si>
    <t>Model</t>
  </si>
  <si>
    <t>Sub-Model</t>
  </si>
  <si>
    <t>Input</t>
  </si>
  <si>
    <t>Output</t>
  </si>
  <si>
    <t>Type</t>
  </si>
  <si>
    <t>Quantity</t>
  </si>
  <si>
    <t>YHDC</t>
  </si>
  <si>
    <t>SCT013</t>
  </si>
  <si>
    <t>5A/1V</t>
  </si>
  <si>
    <t>0-5A</t>
  </si>
  <si>
    <t>0-1V</t>
  </si>
  <si>
    <t>Voltage</t>
  </si>
  <si>
    <t>10A/1V</t>
  </si>
  <si>
    <t>0-10A</t>
  </si>
  <si>
    <t>30A/1V</t>
  </si>
  <si>
    <t>0-30A</t>
  </si>
  <si>
    <t>ZHT103</t>
  </si>
  <si>
    <t>0.3-5A</t>
  </si>
  <si>
    <t>1:1000</t>
  </si>
  <si>
    <t>Current</t>
  </si>
  <si>
    <t>0-50A</t>
  </si>
  <si>
    <t>0-10mA</t>
  </si>
  <si>
    <t>5000:1</t>
  </si>
  <si>
    <t>PZCT</t>
  </si>
  <si>
    <t>Burden resistor</t>
  </si>
  <si>
    <t>Rb</t>
  </si>
  <si>
    <t>Ohm</t>
  </si>
  <si>
    <t>Based on lGain[2:0] translated to value 1/4/8/16/24</t>
  </si>
  <si>
    <t>PL Constant H+L (-&gt; x21 &amp; x22)</t>
  </si>
  <si>
    <t>Converted to range -180 to +180</t>
  </si>
  <si>
    <t>Degrees</t>
  </si>
  <si>
    <t>Const3243</t>
  </si>
  <si>
    <t>Calibration Bench Error Output</t>
  </si>
  <si>
    <t>Common Constants &amp; Variables</t>
  </si>
  <si>
    <t>Ugain</t>
  </si>
  <si>
    <t>RegX48</t>
  </si>
  <si>
    <t>RegX23</t>
  </si>
  <si>
    <t>RegX2122</t>
  </si>
  <si>
    <t>RegX24</t>
  </si>
  <si>
    <t>RegX31</t>
  </si>
  <si>
    <t>RegX4E</t>
  </si>
  <si>
    <t>000A</t>
  </si>
  <si>
    <t>??????</t>
  </si>
  <si>
    <t>L Line Current RMS Register</t>
  </si>
  <si>
    <t>Ugain Default Value (hardcoded)</t>
  </si>
  <si>
    <t>RegX32</t>
  </si>
  <si>
    <t>Check if RegX48 above is correct !!!!</t>
  </si>
  <si>
    <t>PLconstLH</t>
  </si>
  <si>
    <t>Voltage RMS Gain calibration</t>
  </si>
  <si>
    <t>IgainN</t>
  </si>
  <si>
    <t>N Line Current RMS Register</t>
  </si>
  <si>
    <t>N Line Current RMS Measured</t>
  </si>
  <si>
    <t>N Line Current RMS Gain Default</t>
  </si>
  <si>
    <t>N Line Current RMS Gain Calculated</t>
  </si>
  <si>
    <t>RegX25</t>
  </si>
  <si>
    <t>L Line Current RMS Measured</t>
  </si>
  <si>
    <t>RegX68</t>
  </si>
  <si>
    <t>Check if RegX68 above is correct !!!</t>
  </si>
  <si>
    <t>HEX &lt;======</t>
  </si>
  <si>
    <t>L Line Current RMS Gain Default</t>
  </si>
  <si>
    <t>L Line Current RMS Gain Calculated</t>
  </si>
  <si>
    <t>Check if RegX31 above is correct !!!</t>
  </si>
  <si>
    <t>Check if Ib &amp; RegX48 above is correct !!!!</t>
  </si>
  <si>
    <t>Difference/error Ib (multimeter) vs Irms (measured)</t>
  </si>
  <si>
    <t>Examples</t>
  </si>
  <si>
    <t>Check all variables above</t>
  </si>
  <si>
    <t>L line current circuit gain RegX2B</t>
  </si>
  <si>
    <t>L line Current sampling voltage at Ib</t>
  </si>
  <si>
    <t>L-Line Phase Angle METERED</t>
  </si>
  <si>
    <t>L-Line Phase Angle Register</t>
  </si>
  <si>
    <t>L-Line Phase Angle Measured</t>
  </si>
  <si>
    <t>Check if Angle METERED &amp; RegX4E is correct !!!</t>
  </si>
  <si>
    <t>L line Gain Calibration Value</t>
  </si>
  <si>
    <t>L Line Angle Calibration Value</t>
  </si>
  <si>
    <t>Const3244</t>
  </si>
  <si>
    <t>RegX27</t>
  </si>
  <si>
    <t>Constant as per section 3.2.4.4</t>
  </si>
  <si>
    <t>Constant as per section 3.2.4.3</t>
  </si>
  <si>
    <t>PNolTh</t>
  </si>
  <si>
    <t>DEG &lt;======</t>
  </si>
  <si>
    <t>&lt;==========</t>
  </si>
  <si>
    <t>Where to we get/estimate this from ?????</t>
  </si>
  <si>
    <t>Reference Voltage METERED</t>
  </si>
  <si>
    <t>Basic Current METERED</t>
  </si>
  <si>
    <t>Igain</t>
  </si>
  <si>
    <t>Use x10d7 for Lgain &amp; x1A58 for Igain</t>
  </si>
  <si>
    <t>RegX28</t>
  </si>
  <si>
    <t>Active Startup Power Threshold</t>
  </si>
  <si>
    <t>ReActive Startup Power Threshold</t>
  </si>
  <si>
    <t>Active NoLoad Power Threshold</t>
  </si>
  <si>
    <t>ReActive NoLoad Power Threshold</t>
  </si>
  <si>
    <t>RegX29</t>
  </si>
  <si>
    <t>QStartTh</t>
  </si>
  <si>
    <t>QNolTh</t>
  </si>
  <si>
    <t>RegX2A</t>
  </si>
  <si>
    <t>KsQ</t>
  </si>
  <si>
    <t>KnQ</t>
  </si>
  <si>
    <t>Constant as per section 3.2.2</t>
  </si>
  <si>
    <t>Const322</t>
  </si>
  <si>
    <t>7530</t>
  </si>
  <si>
    <t>Units</t>
  </si>
  <si>
    <t>Check value for Ks supplied above is correct</t>
  </si>
  <si>
    <t>Check value for KsQ supplied above is correct</t>
  </si>
  <si>
    <t>Check value for Kn supplied above is correct</t>
  </si>
  <si>
    <t>Check value for KnQ supplied above is correct</t>
  </si>
  <si>
    <t>Primary:Secondary windings (set to 0.001 for 200uOhm shunt example)</t>
  </si>
  <si>
    <t>Sequence of calibration:</t>
  </si>
  <si>
    <t>PLconstHL</t>
  </si>
  <si>
    <t>Check power, should be right</t>
  </si>
  <si>
    <t>LEAVE, default</t>
  </si>
  <si>
    <t>Vol_mea(X49)</t>
  </si>
  <si>
    <t>L Line Voltage RMS Gain Measured</t>
  </si>
  <si>
    <t>Dual 5.8Ohm burden resistors, what is correct value</t>
  </si>
  <si>
    <t>Done using software M90P {x}</t>
  </si>
  <si>
    <t>#1 - Plconstant (see 3.2.2)</t>
  </si>
  <si>
    <t>#2 - Mmode Register (see 3.2.3)</t>
  </si>
  <si>
    <t>#3 - Power Offset Compensation (see 3.2.4.1)</t>
  </si>
  <si>
    <t>#4 - L Line Gain (PF=1.0, current=Ib) (see 3.2.4.2)</t>
  </si>
  <si>
    <t>#5 L Line Angle (PF=0.5L, F=50Hz, current=Ib) (see 3.2.4.3)</t>
  </si>
  <si>
    <t>#6 - Startup/NoLoad, Power/Current Threshold (see 3.2.4.4)</t>
  </si>
  <si>
    <t>#7.1 - L Line Voltage RMS Gain (see 3.2.4.5)</t>
  </si>
  <si>
    <t>#7.2 - L Line Current RMS Gain</t>
  </si>
  <si>
    <t>#8 - N Line Current RMS Gain (see 3.2.5.x)</t>
  </si>
  <si>
    <t>Item</t>
  </si>
  <si>
    <t>Kettle</t>
  </si>
  <si>
    <t>Oil heater</t>
  </si>
  <si>
    <t>incandescent lamp</t>
  </si>
  <si>
    <t>resistive</t>
  </si>
  <si>
    <t>Load (watt)</t>
  </si>
  <si>
    <t>Extraction fan</t>
  </si>
  <si>
    <t>Resistive</t>
  </si>
  <si>
    <t>As measured using multimeter (with reference load active)</t>
  </si>
  <si>
    <t>1b9e</t>
  </si>
  <si>
    <t>1ba7</t>
  </si>
  <si>
    <t>5c86</t>
  </si>
  <si>
    <t>#9 - Current Offset compensation (see 3.2.4.1)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</si>
</sst>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_-;\-* #,##0.00000_-;_-* &quot;-&quot;??_-;_-@_-"/>
    <numFmt numFmtId="167" formatCode="_-* #,##0.000000000_-;\-* #,##0.0000000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Fill="1"/>
    <xf numFmtId="0" fontId="1" fillId="0" borderId="0" xfId="0" applyFont="1" applyFill="1"/>
    <xf numFmtId="10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43" fontId="0" fillId="2" borderId="0" xfId="1" applyFont="1" applyFill="1"/>
    <xf numFmtId="164" fontId="0" fillId="2" borderId="0" xfId="1" applyNumberFormat="1" applyFont="1" applyFill="1"/>
    <xf numFmtId="43" fontId="1" fillId="2" borderId="0" xfId="1" applyFont="1" applyFill="1"/>
    <xf numFmtId="0" fontId="0" fillId="0" borderId="1" xfId="0" quotePrefix="1" applyBorder="1" applyAlignment="1">
      <alignment horizontal="center"/>
    </xf>
    <xf numFmtId="165" fontId="0" fillId="2" borderId="0" xfId="1" applyNumberFormat="1" applyFont="1" applyFill="1"/>
    <xf numFmtId="10" fontId="0" fillId="2" borderId="0" xfId="0" applyNumberFormat="1" applyFill="1"/>
    <xf numFmtId="0" fontId="0" fillId="0" borderId="0" xfId="0" quotePrefix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3" fontId="4" fillId="0" borderId="1" xfId="1" applyFont="1" applyBorder="1"/>
    <xf numFmtId="0" fontId="0" fillId="0" borderId="0" xfId="0" quotePrefix="1" applyFill="1" applyBorder="1" applyAlignment="1">
      <alignment horizontal="center"/>
    </xf>
    <xf numFmtId="43" fontId="0" fillId="2" borderId="0" xfId="1" applyFont="1" applyFill="1" applyBorder="1"/>
    <xf numFmtId="165" fontId="0" fillId="2" borderId="0" xfId="1" applyNumberFormat="1" applyFont="1" applyFill="1" applyBorder="1"/>
    <xf numFmtId="165" fontId="0" fillId="0" borderId="1" xfId="1" applyNumberFormat="1" applyFont="1" applyBorder="1"/>
    <xf numFmtId="0" fontId="0" fillId="0" borderId="0" xfId="0" quotePrefix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/>
    <xf numFmtId="0" fontId="1" fillId="0" borderId="1" xfId="0" quotePrefix="1" applyFont="1" applyBorder="1" applyAlignment="1">
      <alignment horizontal="center"/>
    </xf>
    <xf numFmtId="0" fontId="1" fillId="0" borderId="0" xfId="0" applyFont="1"/>
    <xf numFmtId="165" fontId="1" fillId="0" borderId="1" xfId="1" applyNumberFormat="1" applyFont="1" applyBorder="1"/>
    <xf numFmtId="166" fontId="0" fillId="2" borderId="0" xfId="1" applyNumberFormat="1" applyFont="1" applyFill="1"/>
    <xf numFmtId="164" fontId="0" fillId="0" borderId="1" xfId="1" applyNumberFormat="1" applyFont="1" applyBorder="1"/>
    <xf numFmtId="167" fontId="0" fillId="2" borderId="0" xfId="1" applyNumberFormat="1" applyFont="1" applyFill="1"/>
    <xf numFmtId="165" fontId="0" fillId="0" borderId="0" xfId="1" applyNumberFormat="1" applyFont="1" applyAlignment="1">
      <alignment horizontal="center"/>
    </xf>
    <xf numFmtId="165" fontId="2" fillId="2" borderId="0" xfId="1" applyNumberFormat="1" applyFont="1" applyFill="1"/>
    <xf numFmtId="0" fontId="5" fillId="0" borderId="0" xfId="0" applyFont="1"/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/>
    <xf numFmtId="0" fontId="6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quotePrefix="1" applyFont="1" applyFill="1"/>
    <xf numFmtId="43" fontId="0" fillId="0" borderId="0" xfId="1" applyFont="1" applyFill="1" applyBorder="1"/>
    <xf numFmtId="0" fontId="4" fillId="0" borderId="0" xfId="0" applyFont="1" applyFill="1"/>
    <xf numFmtId="0" fontId="3" fillId="0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0" fillId="2" borderId="0" xfId="1" quotePrefix="1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6" fillId="2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2767-E119-42EF-B23D-1E7D6222F4D5}">
  <dimension ref="A1:G81"/>
  <sheetViews>
    <sheetView tabSelected="1" topLeftCell="A5" workbookViewId="0">
      <selection activeCell="F61" sqref="F61"/>
    </sheetView>
  </sheetViews>
  <sheetFormatPr defaultColWidth="8.86328125" defaultRowHeight="14.25" x14ac:dyDescent="0.45"/>
  <cols>
    <col min="1" max="1" width="43" customWidth="1"/>
    <col min="2" max="2" width="14.3984375" style="7" customWidth="1"/>
    <col min="3" max="3" width="20.73046875" customWidth="1"/>
    <col min="4" max="4" width="3.265625" style="2" customWidth="1"/>
    <col min="5" max="5" width="11.3984375" customWidth="1"/>
    <col min="6" max="6" width="12.1328125" style="7" customWidth="1"/>
    <col min="7" max="7" width="65.1328125" bestFit="1" customWidth="1"/>
  </cols>
  <sheetData>
    <row r="1" spans="1:7" x14ac:dyDescent="0.45">
      <c r="A1" s="9" t="s">
        <v>70</v>
      </c>
      <c r="B1" s="9" t="s">
        <v>4</v>
      </c>
      <c r="C1" s="9" t="s">
        <v>5</v>
      </c>
      <c r="E1" s="9" t="s">
        <v>137</v>
      </c>
      <c r="F1" s="9" t="s">
        <v>101</v>
      </c>
      <c r="G1" s="9" t="s">
        <v>29</v>
      </c>
    </row>
    <row r="2" spans="1:7" x14ac:dyDescent="0.45">
      <c r="A2" s="7" t="s">
        <v>134</v>
      </c>
      <c r="B2" s="7" t="s">
        <v>135</v>
      </c>
      <c r="C2" s="11">
        <v>838860800</v>
      </c>
      <c r="E2" s="38"/>
    </row>
    <row r="3" spans="1:7" x14ac:dyDescent="0.45">
      <c r="A3" s="7" t="s">
        <v>114</v>
      </c>
      <c r="B3" s="7" t="s">
        <v>68</v>
      </c>
      <c r="C3" s="10">
        <v>3763.74</v>
      </c>
    </row>
    <row r="4" spans="1:7" ht="14.65" thickBot="1" x14ac:dyDescent="0.5">
      <c r="A4" s="7" t="s">
        <v>113</v>
      </c>
      <c r="B4" s="7" t="s">
        <v>111</v>
      </c>
      <c r="C4" s="32">
        <v>93.206755599999994</v>
      </c>
    </row>
    <row r="5" spans="1:7" ht="14.65" thickBot="1" x14ac:dyDescent="0.5">
      <c r="A5" s="7" t="s">
        <v>11</v>
      </c>
      <c r="B5" s="7" t="s">
        <v>12</v>
      </c>
      <c r="C5" s="21">
        <v>3200</v>
      </c>
      <c r="E5" s="7" t="s">
        <v>13</v>
      </c>
    </row>
    <row r="6" spans="1:7" ht="14.65" thickBot="1" x14ac:dyDescent="0.5">
      <c r="A6" s="7" t="s">
        <v>119</v>
      </c>
      <c r="B6" s="7" t="s">
        <v>0</v>
      </c>
      <c r="C6" s="25">
        <v>238.7</v>
      </c>
      <c r="E6" s="7" t="s">
        <v>6</v>
      </c>
      <c r="F6" s="7">
        <v>220.024</v>
      </c>
      <c r="G6" t="s">
        <v>168</v>
      </c>
    </row>
    <row r="7" spans="1:7" ht="14.65" thickBot="1" x14ac:dyDescent="0.5">
      <c r="A7" s="7" t="s">
        <v>120</v>
      </c>
      <c r="B7" s="7" t="s">
        <v>1</v>
      </c>
      <c r="C7" s="25">
        <v>7.14</v>
      </c>
      <c r="E7" s="7" t="s">
        <v>7</v>
      </c>
      <c r="F7" s="7">
        <v>5.008</v>
      </c>
      <c r="G7" t="s">
        <v>168</v>
      </c>
    </row>
    <row r="8" spans="1:7" ht="14.65" thickBot="1" x14ac:dyDescent="0.5">
      <c r="A8" s="7" t="s">
        <v>31</v>
      </c>
      <c r="B8" s="7" t="s">
        <v>32</v>
      </c>
      <c r="C8" s="33">
        <v>2000</v>
      </c>
      <c r="E8" s="7" t="s">
        <v>33</v>
      </c>
      <c r="F8" s="7">
        <v>1E-3</v>
      </c>
      <c r="G8" t="s">
        <v>142</v>
      </c>
    </row>
    <row r="9" spans="1:7" x14ac:dyDescent="0.45">
      <c r="A9" s="7" t="s">
        <v>9</v>
      </c>
      <c r="B9" s="7" t="s">
        <v>10</v>
      </c>
      <c r="C9" s="10">
        <f>Un*(1/881)*1000</f>
        <v>270.94211123723039</v>
      </c>
      <c r="E9" s="7" t="s">
        <v>8</v>
      </c>
      <c r="G9" t="s">
        <v>30</v>
      </c>
    </row>
    <row r="10" spans="1:7" x14ac:dyDescent="0.45">
      <c r="A10" s="7" t="s">
        <v>61</v>
      </c>
      <c r="B10" s="7" t="s">
        <v>62</v>
      </c>
      <c r="C10" s="23">
        <v>11.6</v>
      </c>
      <c r="E10" s="7" t="s">
        <v>63</v>
      </c>
      <c r="F10" s="7">
        <v>2.0000000000000001E-4</v>
      </c>
      <c r="G10" s="41" t="s">
        <v>149</v>
      </c>
    </row>
    <row r="11" spans="1:7" s="2" customFormat="1" x14ac:dyDescent="0.45">
      <c r="A11" s="8"/>
      <c r="B11" s="8"/>
      <c r="C11" s="48"/>
      <c r="E11" s="8"/>
      <c r="F11" s="8"/>
      <c r="G11" s="49"/>
    </row>
    <row r="12" spans="1:7" s="5" customFormat="1" ht="14.65" thickBot="1" x14ac:dyDescent="0.5">
      <c r="A12" s="52" t="s">
        <v>151</v>
      </c>
      <c r="D12" s="6"/>
    </row>
    <row r="13" spans="1:7" ht="14.65" thickBot="1" x14ac:dyDescent="0.5">
      <c r="A13" s="7" t="s">
        <v>103</v>
      </c>
      <c r="B13" s="7" t="s">
        <v>2</v>
      </c>
      <c r="C13" s="33">
        <v>1</v>
      </c>
      <c r="F13" s="7">
        <v>24</v>
      </c>
      <c r="G13" t="s">
        <v>64</v>
      </c>
    </row>
    <row r="14" spans="1:7" x14ac:dyDescent="0.45">
      <c r="A14" s="7" t="s">
        <v>104</v>
      </c>
      <c r="B14" s="7" t="s">
        <v>3</v>
      </c>
      <c r="C14" s="24">
        <f>(Ib/Nx*Rb)*1000</f>
        <v>41.411999999999999</v>
      </c>
      <c r="E14" s="7" t="s">
        <v>8</v>
      </c>
      <c r="F14" s="7">
        <v>1</v>
      </c>
    </row>
    <row r="15" spans="1:7" x14ac:dyDescent="0.45">
      <c r="A15" s="7" t="s">
        <v>65</v>
      </c>
      <c r="C15" s="36">
        <f>Constant*(Gl*Vl*Vu)/(MC*Un*Ib)</f>
        <v>1725806.1293984109</v>
      </c>
      <c r="D15" s="3"/>
    </row>
    <row r="16" spans="1:7" s="2" customFormat="1" x14ac:dyDescent="0.45">
      <c r="A16" s="6" t="s">
        <v>74</v>
      </c>
      <c r="B16" s="27" t="s">
        <v>84</v>
      </c>
      <c r="C16" s="42" t="str">
        <f>"x" &amp; DEC2HEX(ROUND(C15,0),8)</f>
        <v>x001A556E</v>
      </c>
      <c r="D16" s="3"/>
      <c r="E16" s="28"/>
      <c r="F16" s="8"/>
      <c r="G16" s="3" t="s">
        <v>102</v>
      </c>
    </row>
    <row r="17" spans="1:7" s="2" customFormat="1" x14ac:dyDescent="0.45">
      <c r="A17" s="6"/>
      <c r="B17" s="27"/>
      <c r="C17" s="46"/>
      <c r="D17" s="3"/>
      <c r="E17" s="47"/>
      <c r="F17" s="8"/>
      <c r="G17" s="3"/>
    </row>
    <row r="18" spans="1:7" s="2" customFormat="1" hidden="1" x14ac:dyDescent="0.45">
      <c r="A18" s="51" t="s">
        <v>152</v>
      </c>
      <c r="B18" s="27"/>
      <c r="C18" s="46"/>
      <c r="D18" s="3"/>
      <c r="E18" s="47"/>
      <c r="F18" s="8"/>
      <c r="G18" s="3"/>
    </row>
    <row r="19" spans="1:7" s="2" customFormat="1" hidden="1" x14ac:dyDescent="0.45">
      <c r="A19" s="6"/>
      <c r="B19" s="27"/>
      <c r="C19" s="46"/>
      <c r="D19" s="3"/>
      <c r="E19" s="47"/>
      <c r="F19" s="8"/>
      <c r="G19" s="3"/>
    </row>
    <row r="20" spans="1:7" hidden="1" x14ac:dyDescent="0.45">
      <c r="A20" s="50" t="s">
        <v>153</v>
      </c>
    </row>
    <row r="21" spans="1:7" hidden="1" x14ac:dyDescent="0.45">
      <c r="A21" s="8" t="s">
        <v>150</v>
      </c>
    </row>
    <row r="22" spans="1:7" s="2" customFormat="1" hidden="1" x14ac:dyDescent="0.45">
      <c r="B22" s="8"/>
      <c r="C22" s="3"/>
      <c r="D22" s="3"/>
      <c r="F22" s="8"/>
    </row>
    <row r="23" spans="1:7" s="5" customFormat="1" ht="14.65" thickBot="1" x14ac:dyDescent="0.5">
      <c r="A23" s="52" t="s">
        <v>154</v>
      </c>
      <c r="D23" s="6"/>
      <c r="F23" s="17" t="s">
        <v>169</v>
      </c>
    </row>
    <row r="24" spans="1:7" s="5" customFormat="1" ht="14.65" thickBot="1" x14ac:dyDescent="0.5">
      <c r="A24" s="17" t="s">
        <v>80</v>
      </c>
      <c r="B24" s="5" t="s">
        <v>72</v>
      </c>
      <c r="C24" s="29">
        <f>HEX2DEC(F24)</f>
        <v>7079</v>
      </c>
      <c r="D24" s="6"/>
      <c r="E24" s="5" t="s">
        <v>95</v>
      </c>
      <c r="F24" s="17" t="s">
        <v>170</v>
      </c>
      <c r="G24" s="20" t="s">
        <v>122</v>
      </c>
    </row>
    <row r="25" spans="1:7" x14ac:dyDescent="0.45">
      <c r="A25" s="7" t="s">
        <v>92</v>
      </c>
      <c r="B25" s="7" t="s">
        <v>22</v>
      </c>
      <c r="C25" s="14">
        <f>HEX2DEC(RegX48)/1000</f>
        <v>28.792999999999999</v>
      </c>
      <c r="E25" t="s">
        <v>7</v>
      </c>
    </row>
    <row r="26" spans="1:7" x14ac:dyDescent="0.45">
      <c r="A26" s="7" t="s">
        <v>16</v>
      </c>
      <c r="B26" s="1" t="s">
        <v>17</v>
      </c>
      <c r="C26" s="15">
        <f>(Cur_meaL-Ib)/Ib</f>
        <v>3.0326330532212884</v>
      </c>
      <c r="D26" s="4"/>
      <c r="F26" s="39"/>
      <c r="G26" s="37" t="s">
        <v>100</v>
      </c>
    </row>
    <row r="27" spans="1:7" x14ac:dyDescent="0.45">
      <c r="A27" s="7" t="s">
        <v>14</v>
      </c>
      <c r="B27" s="7" t="s">
        <v>14</v>
      </c>
      <c r="C27" s="34">
        <f>-_e/(1+_e)</f>
        <v>-0.75202306116069872</v>
      </c>
    </row>
    <row r="28" spans="1:7" x14ac:dyDescent="0.45">
      <c r="A28" s="7" t="s">
        <v>109</v>
      </c>
      <c r="C28" s="14">
        <f>IF(Lratio&gt;=0, Lratio*2^15, 2^16 + (Lratio * 2^15))</f>
        <v>40893.708331886228</v>
      </c>
      <c r="D28" s="3"/>
    </row>
    <row r="29" spans="1:7" s="2" customFormat="1" x14ac:dyDescent="0.45">
      <c r="A29" s="6" t="s">
        <v>73</v>
      </c>
      <c r="B29" s="5" t="s">
        <v>15</v>
      </c>
      <c r="C29" s="42" t="str">
        <f>"x" &amp; DEC2HEX(ROUND(C28,0),4)</f>
        <v>x9FBE</v>
      </c>
      <c r="D29" s="3"/>
      <c r="E29" s="28"/>
      <c r="F29" s="8"/>
      <c r="G29" s="3" t="s">
        <v>99</v>
      </c>
    </row>
    <row r="30" spans="1:7" s="2" customFormat="1" x14ac:dyDescent="0.45">
      <c r="A30" s="6"/>
      <c r="B30" s="6"/>
      <c r="C30" s="46"/>
      <c r="D30" s="3"/>
      <c r="E30" s="47"/>
      <c r="F30" s="8"/>
      <c r="G30" s="3"/>
    </row>
    <row r="31" spans="1:7" s="5" customFormat="1" ht="14.65" hidden="1" thickBot="1" x14ac:dyDescent="0.5">
      <c r="A31" s="52" t="s">
        <v>155</v>
      </c>
      <c r="D31" s="6"/>
      <c r="E31" s="18"/>
      <c r="F31" s="18"/>
    </row>
    <row r="32" spans="1:7" ht="14.65" hidden="1" thickBot="1" x14ac:dyDescent="0.5">
      <c r="A32" s="8" t="s">
        <v>105</v>
      </c>
      <c r="B32" s="5" t="s">
        <v>79</v>
      </c>
      <c r="C32" s="31">
        <v>1.0095000000000001</v>
      </c>
      <c r="E32" s="5" t="s">
        <v>116</v>
      </c>
      <c r="F32" s="35">
        <v>1.01</v>
      </c>
      <c r="G32" s="37" t="s">
        <v>35</v>
      </c>
    </row>
    <row r="33" spans="1:7" s="5" customFormat="1" ht="14.65" hidden="1" thickBot="1" x14ac:dyDescent="0.5">
      <c r="A33" s="17" t="s">
        <v>106</v>
      </c>
      <c r="B33" s="5" t="s">
        <v>77</v>
      </c>
      <c r="C33" s="13" t="s">
        <v>78</v>
      </c>
      <c r="D33" s="6"/>
      <c r="E33" s="5" t="str">
        <f>E24</f>
        <v>HEX &lt;======</v>
      </c>
      <c r="F33" s="17" t="s">
        <v>78</v>
      </c>
      <c r="G33" s="19"/>
    </row>
    <row r="34" spans="1:7" s="5" customFormat="1" hidden="1" x14ac:dyDescent="0.45">
      <c r="A34" s="17" t="s">
        <v>107</v>
      </c>
      <c r="C34" s="24">
        <f>IF(HEX2DEC(C33)&gt;=32768,-(HEX2DEC(C33)-32768)/10,HEX2DEC(C33)/10)</f>
        <v>1</v>
      </c>
      <c r="D34" s="6"/>
      <c r="E34" s="18" t="s">
        <v>67</v>
      </c>
      <c r="G34" s="19" t="s">
        <v>66</v>
      </c>
    </row>
    <row r="35" spans="1:7" hidden="1" x14ac:dyDescent="0.45">
      <c r="A35" s="7" t="s">
        <v>69</v>
      </c>
      <c r="B35" s="7" t="s">
        <v>18</v>
      </c>
      <c r="C35" s="15">
        <f>(C32-C34)/C34</f>
        <v>9.5000000000000639E-3</v>
      </c>
      <c r="D35" s="4"/>
    </row>
    <row r="36" spans="1:7" hidden="1" x14ac:dyDescent="0.45">
      <c r="A36" s="7" t="s">
        <v>19</v>
      </c>
      <c r="B36" s="7" t="s">
        <v>19</v>
      </c>
      <c r="C36" s="34">
        <f>-_el*180/SQRT(3)/PI()</f>
        <v>-0.31425747039042362</v>
      </c>
    </row>
    <row r="37" spans="1:7" hidden="1" x14ac:dyDescent="0.45">
      <c r="A37" s="7" t="s">
        <v>110</v>
      </c>
      <c r="C37" s="14">
        <f>_el*Const3243</f>
        <v>35.755530000000242</v>
      </c>
      <c r="D37" s="3"/>
    </row>
    <row r="38" spans="1:7" hidden="1" x14ac:dyDescent="0.45">
      <c r="A38" s="5" t="s">
        <v>75</v>
      </c>
      <c r="B38" s="5" t="s">
        <v>20</v>
      </c>
      <c r="C38" s="42" t="str">
        <f>DEC2HEX(ROUND(C37,0),4)</f>
        <v>0024</v>
      </c>
      <c r="E38" s="28"/>
      <c r="G38" s="30" t="s">
        <v>108</v>
      </c>
    </row>
    <row r="39" spans="1:7" s="2" customFormat="1" hidden="1" x14ac:dyDescent="0.45">
      <c r="A39" s="6"/>
      <c r="B39" s="6"/>
      <c r="C39" s="46"/>
      <c r="E39" s="47"/>
      <c r="F39" s="8"/>
      <c r="G39" s="3"/>
    </row>
    <row r="40" spans="1:7" s="5" customFormat="1" ht="14.65" hidden="1" thickBot="1" x14ac:dyDescent="0.5">
      <c r="A40" s="52" t="s">
        <v>156</v>
      </c>
      <c r="D40" s="6"/>
    </row>
    <row r="41" spans="1:7" ht="14.65" hidden="1" thickBot="1" x14ac:dyDescent="0.5">
      <c r="B41" s="7" t="s">
        <v>24</v>
      </c>
      <c r="C41" s="24">
        <v>4.0000000000000001E-3</v>
      </c>
      <c r="E41" t="s">
        <v>117</v>
      </c>
      <c r="F41" s="43">
        <v>4.0000000000000001E-3</v>
      </c>
      <c r="G41" s="37" t="s">
        <v>118</v>
      </c>
    </row>
    <row r="42" spans="1:7" hidden="1" x14ac:dyDescent="0.45">
      <c r="A42" s="7" t="s">
        <v>124</v>
      </c>
      <c r="C42" s="14">
        <f>Const3244*Gl*Vl*Vu*Ks</f>
        <v>4183.2141543062362</v>
      </c>
    </row>
    <row r="43" spans="1:7" hidden="1" x14ac:dyDescent="0.45">
      <c r="A43" s="5" t="s">
        <v>112</v>
      </c>
      <c r="B43" s="5" t="s">
        <v>26</v>
      </c>
      <c r="C43" s="42" t="str">
        <f>DEC2HEX(ROUND(C42,0),4)</f>
        <v>1057</v>
      </c>
      <c r="E43" s="30"/>
      <c r="G43" s="30" t="s">
        <v>138</v>
      </c>
    </row>
    <row r="44" spans="1:7" ht="14.65" hidden="1" thickBot="1" x14ac:dyDescent="0.5"/>
    <row r="45" spans="1:7" ht="14.65" hidden="1" thickBot="1" x14ac:dyDescent="0.5">
      <c r="B45" s="7" t="s">
        <v>25</v>
      </c>
      <c r="C45" s="24">
        <v>4.0000000000000001E-3</v>
      </c>
      <c r="E45" t="s">
        <v>117</v>
      </c>
      <c r="F45" s="43">
        <v>4.0000000000000001E-3</v>
      </c>
      <c r="G45" s="37" t="str">
        <f>G41</f>
        <v>Where to we get/estimate this from ?????</v>
      </c>
    </row>
    <row r="46" spans="1:7" hidden="1" x14ac:dyDescent="0.45">
      <c r="A46" s="7" t="s">
        <v>126</v>
      </c>
      <c r="C46" s="14">
        <f>Const3244*Gl*Vl*Vu*Kn</f>
        <v>4183.2141543062362</v>
      </c>
    </row>
    <row r="47" spans="1:7" hidden="1" x14ac:dyDescent="0.45">
      <c r="A47" s="5" t="s">
        <v>123</v>
      </c>
      <c r="B47" s="5" t="s">
        <v>115</v>
      </c>
      <c r="C47" s="42" t="str">
        <f>DEC2HEX(ROUND(C46,0),4)</f>
        <v>1057</v>
      </c>
      <c r="E47" s="30"/>
      <c r="G47" s="30" t="s">
        <v>140</v>
      </c>
    </row>
    <row r="48" spans="1:7" ht="14.65" hidden="1" thickBot="1" x14ac:dyDescent="0.5"/>
    <row r="49" spans="1:7" ht="14.65" hidden="1" thickBot="1" x14ac:dyDescent="0.5">
      <c r="B49" s="7" t="s">
        <v>132</v>
      </c>
      <c r="C49" s="24">
        <v>4.0000000000000001E-3</v>
      </c>
      <c r="E49" t="s">
        <v>117</v>
      </c>
      <c r="F49" s="43">
        <v>4.0000000000000001E-3</v>
      </c>
      <c r="G49" s="37" t="s">
        <v>118</v>
      </c>
    </row>
    <row r="50" spans="1:7" hidden="1" x14ac:dyDescent="0.45">
      <c r="A50" s="7" t="s">
        <v>125</v>
      </c>
      <c r="C50" s="14">
        <f>Const3244*Gl*Vl*Vu*KsQ</f>
        <v>4183.2141543062362</v>
      </c>
    </row>
    <row r="51" spans="1:7" hidden="1" x14ac:dyDescent="0.45">
      <c r="A51" s="5" t="s">
        <v>128</v>
      </c>
      <c r="B51" s="5" t="s">
        <v>129</v>
      </c>
      <c r="C51" s="42" t="str">
        <f>DEC2HEX(ROUND(C50,0),4)</f>
        <v>1057</v>
      </c>
      <c r="E51" s="30"/>
      <c r="G51" s="30" t="s">
        <v>139</v>
      </c>
    </row>
    <row r="52" spans="1:7" ht="14.65" hidden="1" thickBot="1" x14ac:dyDescent="0.5"/>
    <row r="53" spans="1:7" ht="14.65" hidden="1" thickBot="1" x14ac:dyDescent="0.5">
      <c r="B53" s="7" t="s">
        <v>133</v>
      </c>
      <c r="C53" s="24">
        <v>4.0000000000000001E-3</v>
      </c>
      <c r="E53" t="s">
        <v>117</v>
      </c>
      <c r="F53" s="43">
        <v>4.0000000000000001E-3</v>
      </c>
      <c r="G53" s="37" t="str">
        <f>G49</f>
        <v>Where to we get/estimate this from ?????</v>
      </c>
    </row>
    <row r="54" spans="1:7" hidden="1" x14ac:dyDescent="0.45">
      <c r="A54" s="7" t="s">
        <v>127</v>
      </c>
      <c r="C54" s="14">
        <f>Const3244*Gl*Vl*Vu*KnQ</f>
        <v>4183.2141543062362</v>
      </c>
    </row>
    <row r="55" spans="1:7" hidden="1" x14ac:dyDescent="0.45">
      <c r="A55" s="5" t="s">
        <v>131</v>
      </c>
      <c r="B55" s="5" t="s">
        <v>130</v>
      </c>
      <c r="C55" s="42" t="str">
        <f>DEC2HEX(ROUND(C54,0),4)</f>
        <v>1057</v>
      </c>
      <c r="E55" s="30"/>
      <c r="G55" s="30" t="s">
        <v>141</v>
      </c>
    </row>
    <row r="56" spans="1:7" s="2" customFormat="1" x14ac:dyDescent="0.45">
      <c r="A56" s="6"/>
      <c r="B56" s="6"/>
      <c r="C56" s="46"/>
      <c r="E56" s="3"/>
      <c r="F56" s="8"/>
      <c r="G56" s="3"/>
    </row>
    <row r="57" spans="1:7" s="7" customFormat="1" x14ac:dyDescent="0.45">
      <c r="A57" s="52" t="s">
        <v>157</v>
      </c>
      <c r="D57" s="8"/>
    </row>
    <row r="58" spans="1:7" ht="14.65" thickBot="1" x14ac:dyDescent="0.5">
      <c r="A58" s="7" t="s">
        <v>81</v>
      </c>
      <c r="B58" s="7" t="s">
        <v>21</v>
      </c>
      <c r="C58" s="44">
        <f>HEX2DEC("6720")</f>
        <v>26400</v>
      </c>
      <c r="E58" s="5"/>
      <c r="F58" s="22"/>
      <c r="G58" t="s">
        <v>146</v>
      </c>
    </row>
    <row r="59" spans="1:7" ht="14.65" thickBot="1" x14ac:dyDescent="0.5">
      <c r="A59" s="7" t="s">
        <v>148</v>
      </c>
      <c r="B59" s="7" t="s">
        <v>147</v>
      </c>
      <c r="C59" s="10">
        <f>HEX2DEC(F59)/100</f>
        <v>236.86</v>
      </c>
      <c r="E59" s="30" t="str">
        <f>E24</f>
        <v>HEX &lt;======</v>
      </c>
      <c r="F59" s="13" t="s">
        <v>171</v>
      </c>
    </row>
    <row r="60" spans="1:7" x14ac:dyDescent="0.45">
      <c r="A60" s="7" t="s">
        <v>85</v>
      </c>
      <c r="C60" s="14">
        <f>(VlReg*Un)/Vol_mea</f>
        <v>26605.083171493709</v>
      </c>
      <c r="D60" s="3"/>
    </row>
    <row r="61" spans="1:7" x14ac:dyDescent="0.45">
      <c r="A61" s="5" t="s">
        <v>76</v>
      </c>
      <c r="B61" s="5" t="s">
        <v>71</v>
      </c>
      <c r="C61" s="55" t="str">
        <f>"x" &amp; DEC2HEX(ROUND(C60,0),4)</f>
        <v>x67ED</v>
      </c>
      <c r="E61" s="28"/>
      <c r="G61" s="30" t="s">
        <v>98</v>
      </c>
    </row>
    <row r="63" spans="1:7" x14ac:dyDescent="0.45">
      <c r="A63" s="52" t="s">
        <v>158</v>
      </c>
    </row>
    <row r="64" spans="1:7" x14ac:dyDescent="0.45">
      <c r="A64" s="7" t="s">
        <v>96</v>
      </c>
      <c r="B64" s="7" t="s">
        <v>23</v>
      </c>
      <c r="C64" s="11">
        <f>HEX2DEC("7a13")</f>
        <v>31251</v>
      </c>
      <c r="E64" s="26"/>
    </row>
    <row r="65" spans="1:7" x14ac:dyDescent="0.45">
      <c r="A65" s="7" t="s">
        <v>97</v>
      </c>
      <c r="C65" s="36">
        <f>(Cur_defL*Ib)/Cur_meaL</f>
        <v>7749.5273156670019</v>
      </c>
      <c r="D65" s="3"/>
    </row>
    <row r="66" spans="1:7" s="2" customFormat="1" x14ac:dyDescent="0.45">
      <c r="A66" s="6" t="s">
        <v>82</v>
      </c>
      <c r="B66" s="6" t="s">
        <v>121</v>
      </c>
      <c r="C66" s="42" t="str">
        <f>DEC2HEX(ROUND(C65,0),4)</f>
        <v>1E46</v>
      </c>
      <c r="D66" s="3"/>
      <c r="E66" s="28"/>
      <c r="F66" s="8"/>
      <c r="G66" s="3" t="s">
        <v>83</v>
      </c>
    </row>
    <row r="68" spans="1:7" x14ac:dyDescent="0.45">
      <c r="A68" s="52" t="s">
        <v>159</v>
      </c>
    </row>
    <row r="69" spans="1:7" ht="14.65" thickBot="1" x14ac:dyDescent="0.5">
      <c r="A69" s="7" t="s">
        <v>89</v>
      </c>
      <c r="B69" s="7" t="s">
        <v>27</v>
      </c>
      <c r="C69" s="44">
        <f>HEX2DEC("7530")</f>
        <v>30000</v>
      </c>
      <c r="E69" s="26"/>
      <c r="F69" s="45"/>
      <c r="G69" t="s">
        <v>146</v>
      </c>
    </row>
    <row r="70" spans="1:7" ht="14.65" thickBot="1" x14ac:dyDescent="0.5">
      <c r="A70" s="7" t="s">
        <v>87</v>
      </c>
      <c r="B70" s="5" t="s">
        <v>93</v>
      </c>
      <c r="C70" s="53">
        <f>HEX2DEC(F70)</f>
        <v>30000</v>
      </c>
      <c r="E70" s="5" t="str">
        <f>E24</f>
        <v>HEX &lt;======</v>
      </c>
      <c r="F70" s="29" t="s">
        <v>136</v>
      </c>
    </row>
    <row r="71" spans="1:7" x14ac:dyDescent="0.45">
      <c r="A71" s="7" t="s">
        <v>88</v>
      </c>
      <c r="B71" s="7" t="s">
        <v>28</v>
      </c>
      <c r="C71" s="14">
        <f>HEX2DEC(C70)/1000</f>
        <v>196.608</v>
      </c>
    </row>
    <row r="72" spans="1:7" x14ac:dyDescent="0.45">
      <c r="A72" s="7" t="s">
        <v>90</v>
      </c>
      <c r="C72" s="12">
        <f>(Cur_defN*Ib)/Cur_meaN</f>
        <v>1089.4775390625</v>
      </c>
      <c r="D72" s="3"/>
    </row>
    <row r="73" spans="1:7" x14ac:dyDescent="0.45">
      <c r="A73" s="5" t="s">
        <v>91</v>
      </c>
      <c r="B73" s="5" t="s">
        <v>86</v>
      </c>
      <c r="C73" s="42" t="str">
        <f>DEC2HEX(ROUND(C72,0),4)</f>
        <v>0441</v>
      </c>
      <c r="D73" s="3"/>
      <c r="E73" s="28"/>
      <c r="G73" s="30" t="s">
        <v>94</v>
      </c>
    </row>
    <row r="75" spans="1:7" x14ac:dyDescent="0.45">
      <c r="A75" s="54" t="s">
        <v>172</v>
      </c>
    </row>
    <row r="76" spans="1:7" x14ac:dyDescent="0.45">
      <c r="A76" s="7" t="s">
        <v>34</v>
      </c>
    </row>
    <row r="78" spans="1:7" x14ac:dyDescent="0.45">
      <c r="A78" t="s">
        <v>143</v>
      </c>
    </row>
    <row r="79" spans="1:7" x14ac:dyDescent="0.45">
      <c r="A79" t="s">
        <v>48</v>
      </c>
    </row>
    <row r="80" spans="1:7" x14ac:dyDescent="0.45">
      <c r="A80" t="s">
        <v>56</v>
      </c>
      <c r="B80" s="40" t="s">
        <v>145</v>
      </c>
    </row>
    <row r="81" spans="1:1" x14ac:dyDescent="0.45">
      <c r="A81" t="s">
        <v>144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9529-3BF0-4FC4-AA9F-8A1876B797EC}">
  <dimension ref="A1:C5"/>
  <sheetViews>
    <sheetView workbookViewId="0">
      <selection activeCell="F5" sqref="F5"/>
    </sheetView>
  </sheetViews>
  <sheetFormatPr defaultRowHeight="14.25" x14ac:dyDescent="0.45"/>
  <cols>
    <col min="1" max="1" width="34.1328125" customWidth="1"/>
    <col min="2" max="2" width="11.73046875" customWidth="1"/>
  </cols>
  <sheetData>
    <row r="1" spans="1:3" s="9" customFormat="1" x14ac:dyDescent="0.45">
      <c r="A1" s="9" t="s">
        <v>160</v>
      </c>
      <c r="B1" s="9" t="s">
        <v>165</v>
      </c>
      <c r="C1" s="9" t="s">
        <v>41</v>
      </c>
    </row>
    <row r="2" spans="1:3" x14ac:dyDescent="0.45">
      <c r="A2" t="s">
        <v>161</v>
      </c>
      <c r="C2" t="s">
        <v>167</v>
      </c>
    </row>
    <row r="3" spans="1:3" x14ac:dyDescent="0.45">
      <c r="A3" t="s">
        <v>162</v>
      </c>
      <c r="B3">
        <v>3000</v>
      </c>
      <c r="C3" t="s">
        <v>167</v>
      </c>
    </row>
    <row r="4" spans="1:3" x14ac:dyDescent="0.45">
      <c r="A4" t="s">
        <v>163</v>
      </c>
      <c r="B4">
        <v>150</v>
      </c>
      <c r="C4" t="s">
        <v>164</v>
      </c>
    </row>
    <row r="5" spans="1:3" x14ac:dyDescent="0.45">
      <c r="A5" t="s">
        <v>166</v>
      </c>
      <c r="B5">
        <v>45</v>
      </c>
      <c r="C5" t="s">
        <v>167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AC36-C81D-9149-A2D5-F619065ABC3E}">
  <dimension ref="A1:H8"/>
  <sheetViews>
    <sheetView workbookViewId="0">
      <selection activeCell="B8" sqref="B8"/>
    </sheetView>
  </sheetViews>
  <sheetFormatPr defaultColWidth="11.3984375" defaultRowHeight="14.25" x14ac:dyDescent="0.45"/>
  <sheetData>
    <row r="1" spans="1:8" x14ac:dyDescent="0.4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33</v>
      </c>
      <c r="G1" s="9" t="s">
        <v>41</v>
      </c>
      <c r="H1" s="9" t="s">
        <v>42</v>
      </c>
    </row>
    <row r="2" spans="1:8" x14ac:dyDescent="0.45">
      <c r="A2" t="s">
        <v>43</v>
      </c>
      <c r="B2" t="s">
        <v>44</v>
      </c>
      <c r="C2" t="s">
        <v>45</v>
      </c>
      <c r="D2" t="s">
        <v>46</v>
      </c>
      <c r="E2" t="s">
        <v>47</v>
      </c>
      <c r="G2" t="s">
        <v>48</v>
      </c>
      <c r="H2">
        <v>2</v>
      </c>
    </row>
    <row r="3" spans="1:8" x14ac:dyDescent="0.45">
      <c r="C3" t="s">
        <v>49</v>
      </c>
      <c r="D3" t="s">
        <v>50</v>
      </c>
      <c r="E3" t="s">
        <v>47</v>
      </c>
      <c r="G3" t="s">
        <v>48</v>
      </c>
      <c r="H3">
        <v>2</v>
      </c>
    </row>
    <row r="4" spans="1:8" x14ac:dyDescent="0.45">
      <c r="C4" t="s">
        <v>51</v>
      </c>
      <c r="D4" t="s">
        <v>52</v>
      </c>
      <c r="E4" t="s">
        <v>47</v>
      </c>
      <c r="G4" t="s">
        <v>48</v>
      </c>
      <c r="H4">
        <v>3</v>
      </c>
    </row>
    <row r="6" spans="1:8" x14ac:dyDescent="0.45">
      <c r="B6" t="s">
        <v>53</v>
      </c>
      <c r="D6" t="s">
        <v>54</v>
      </c>
      <c r="F6" s="16" t="s">
        <v>55</v>
      </c>
      <c r="G6" t="s">
        <v>48</v>
      </c>
      <c r="H6">
        <v>5</v>
      </c>
    </row>
    <row r="8" spans="1:8" x14ac:dyDescent="0.45">
      <c r="A8" t="s">
        <v>60</v>
      </c>
      <c r="D8" t="s">
        <v>57</v>
      </c>
      <c r="E8" t="s">
        <v>58</v>
      </c>
      <c r="F8" s="16" t="s">
        <v>59</v>
      </c>
      <c r="G8" t="s">
        <v>56</v>
      </c>
      <c r="H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Formulae</vt:lpstr>
      <vt:lpstr>Sheet1</vt:lpstr>
      <vt:lpstr>CT's</vt:lpstr>
      <vt:lpstr>_e</vt:lpstr>
      <vt:lpstr>_el</vt:lpstr>
      <vt:lpstr>Angle</vt:lpstr>
      <vt:lpstr>Const3243</vt:lpstr>
      <vt:lpstr>Const3244</vt:lpstr>
      <vt:lpstr>Constant</vt:lpstr>
      <vt:lpstr>Cur_defL</vt:lpstr>
      <vt:lpstr>Cur_defN</vt:lpstr>
      <vt:lpstr>Cur_meaL</vt:lpstr>
      <vt:lpstr>Cur_meaN</vt:lpstr>
      <vt:lpstr>Gl</vt:lpstr>
      <vt:lpstr>Ib</vt:lpstr>
      <vt:lpstr>Kn</vt:lpstr>
      <vt:lpstr>KnQ</vt:lpstr>
      <vt:lpstr>Ks</vt:lpstr>
      <vt:lpstr>KsQ</vt:lpstr>
      <vt:lpstr>Lgain</vt:lpstr>
      <vt:lpstr>Lphi</vt:lpstr>
      <vt:lpstr>Lratio</vt:lpstr>
      <vt:lpstr>MC</vt:lpstr>
      <vt:lpstr>Nx</vt:lpstr>
      <vt:lpstr>Rb</vt:lpstr>
      <vt:lpstr>RegX48</vt:lpstr>
      <vt:lpstr>Ugain</vt:lpstr>
      <vt:lpstr>Un</vt:lpstr>
      <vt:lpstr>Vl</vt:lpstr>
      <vt:lpstr>VlReg</vt:lpstr>
      <vt:lpstr>Vol_mea</vt:lpstr>
      <vt:lpstr>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</dc:creator>
  <cp:lastModifiedBy>Andre Maree</cp:lastModifiedBy>
  <dcterms:created xsi:type="dcterms:W3CDTF">2018-07-09T22:46:55Z</dcterms:created>
  <dcterms:modified xsi:type="dcterms:W3CDTF">2019-10-23T21:05:32Z</dcterms:modified>
</cp:coreProperties>
</file>