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C:\Swati\SFSU\Github_Swati\Optimization of Digi mktg strategy\"/>
    </mc:Choice>
  </mc:AlternateContent>
  <xr:revisionPtr revIDLastSave="0" documentId="13_ncr:1_{0D12F179-D497-43C0-B200-AFEDE758AE3F}" xr6:coauthVersionLast="45" xr6:coauthVersionMax="45" xr10:uidLastSave="{00000000-0000-0000-0000-000000000000}"/>
  <bookViews>
    <workbookView xWindow="-96" yWindow="-96" windowWidth="23232" windowHeight="12552" tabRatio="847" activeTab="2" xr2:uid="{00000000-000D-0000-FFFF-FFFF00000000}"/>
  </bookViews>
  <sheets>
    <sheet name="Oscar Mayer Data" sheetId="8" r:id="rId1"/>
    <sheet name="Influence Chart" sheetId="48" r:id="rId2"/>
    <sheet name="Final Model" sheetId="11" r:id="rId3"/>
    <sheet name="Sensitivity Report" sheetId="38" r:id="rId4"/>
    <sheet name="Comparison" sheetId="32" r:id="rId5"/>
    <sheet name="Final Model_STS" sheetId="26" state="veryHidden" r:id="rId6"/>
    <sheet name="trial sensitivity_STS" sheetId="16" state="veryHidden" r:id="rId7"/>
    <sheet name="1 way FB CPM" sheetId="33" r:id="rId8"/>
    <sheet name="1 way Pandora CPM" sheetId="36" r:id="rId9"/>
    <sheet name="1 way Twitter CPM" sheetId="37" r:id="rId10"/>
    <sheet name="Sensitivity 2way FB Pandora" sheetId="43" r:id="rId11"/>
    <sheet name="1 way CR FB" sheetId="45" r:id="rId12"/>
  </sheets>
  <externalReferences>
    <externalReference r:id="rId13"/>
  </externalReferences>
  <definedNames>
    <definedName name="Allocated_Amount">'Final Model'!$B$17:$D$17</definedName>
    <definedName name="Annual_Budget" localSheetId="1">'[1]Final Model'!$B$4</definedName>
    <definedName name="Annual_Budget">'Final Model'!$B$4</definedName>
    <definedName name="ChartData" localSheetId="11">'1 way CR FB'!$K$5:$K$14</definedName>
    <definedName name="ChartData" localSheetId="7">'1 way FB CPM'!$K$5:$K$15</definedName>
    <definedName name="ChartData" localSheetId="8">'1 way Pandora CPM'!$K$5:$K$25</definedName>
    <definedName name="ChartData" localSheetId="9">'1 way Twitter CPM'!$K$5:$K$13</definedName>
    <definedName name="ChartData1" localSheetId="10">'Sensitivity 2way FB Pandora'!$M$5:$M$14</definedName>
    <definedName name="ChartData2" localSheetId="10">'Sensitivity 2way FB Pandora'!$Q$5:$Q$14</definedName>
    <definedName name="Conversion_Rate">'Final Model'!$B$9:$D$9</definedName>
    <definedName name="CPC">'Final Model'!$B$8:$D$8</definedName>
    <definedName name="CPMThresh" localSheetId="1">'[1]Final Model'!$B$25:$D$25</definedName>
    <definedName name="CPMThresh">'Final Model'!$B$25:$D$25</definedName>
    <definedName name="Impressions">'Final Model'!$B$10:$D$10</definedName>
    <definedName name="InputValues" localSheetId="11">'1 way CR FB'!$A$5:$A$14</definedName>
    <definedName name="InputValues" localSheetId="7">'1 way FB CPM'!$A$5:$A$15</definedName>
    <definedName name="InputValues" localSheetId="8">'1 way Pandora CPM'!$A$5:$A$25</definedName>
    <definedName name="InputValues" localSheetId="9">'1 way Twitter CPM'!$A$5:$A$13</definedName>
    <definedName name="InputValues1" localSheetId="10">'Sensitivity 2way FB Pandora'!$A$5:$A$14</definedName>
    <definedName name="InputValues2" localSheetId="10">'Sensitivity 2way FB Pandora'!$B$4:$K$4</definedName>
    <definedName name="MaxAllowableBudget" localSheetId="1">'[1]Final Model'!$B$21:$D$21</definedName>
    <definedName name="MaxAllowableBudget">'Final Model'!$B$21:$D$21</definedName>
    <definedName name="MinAllowableBudget" localSheetId="1">'[1]Final Model'!$B$23:$D$23</definedName>
    <definedName name="MinAllowableBudget">'Final Model'!$B$23:$D$23</definedName>
    <definedName name="OutputAddresses" localSheetId="11">'1 way CR FB'!$B$4:$E$4</definedName>
    <definedName name="OutputAddresses" localSheetId="7">'1 way FB CPM'!$B$4:$E$4</definedName>
    <definedName name="OutputAddresses" localSheetId="8">'1 way Pandora CPM'!$B$4:$E$4</definedName>
    <definedName name="OutputAddresses" localSheetId="9">'1 way Twitter CPM'!$B$4:$E$4</definedName>
    <definedName name="OutputAddresses" localSheetId="10">'Sensitivity 2way FB Pandora'!$AZ$2:$AZ$5</definedName>
    <definedName name="OutputValues" localSheetId="11">'1 way CR FB'!$B$5:$E$14</definedName>
    <definedName name="OutputValues" localSheetId="7">'1 way FB CPM'!$B$5:$E$15</definedName>
    <definedName name="OutputValues" localSheetId="8">'1 way Pandora CPM'!$B$5:$E$25</definedName>
    <definedName name="OutputValues" localSheetId="9">'1 way Twitter CPM'!$B$5:$E$13</definedName>
    <definedName name="OutputValues_1" localSheetId="10">'Sensitivity 2way FB Pandora'!$B$5:$K$14</definedName>
    <definedName name="OutputValues_2" localSheetId="10">'Sensitivity 2way FB Pandora'!$B$17:$K$26</definedName>
    <definedName name="OutputValues_3" localSheetId="10">'Sensitivity 2way FB Pandora'!$B$29:$K$38</definedName>
    <definedName name="OutputValues_4" localSheetId="10">'Sensitivity 2way FB Pandora'!$B$41:$K$50</definedName>
    <definedName name="solver_adj" localSheetId="2" hidden="1">'Final Model'!$B$17:$D$17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'Final Model'!$B$13:$D$13</definedName>
    <definedName name="solver_lhs10" localSheetId="2" hidden="1">'Final Model'!$E$17</definedName>
    <definedName name="solver_lhs2" localSheetId="2" hidden="1">'Final Model'!$B$17:$D$17</definedName>
    <definedName name="solver_lhs3" localSheetId="2" hidden="1">'Final Model'!$B$17:$D$17</definedName>
    <definedName name="solver_lhs4" localSheetId="2" hidden="1">'Final Model'!$E$17</definedName>
    <definedName name="solver_lhs5" localSheetId="2" hidden="1">'Final Model'!$E$17</definedName>
    <definedName name="solver_lhs6" localSheetId="2" hidden="1">'Final Model'!$E$17</definedName>
    <definedName name="solver_lhs7" localSheetId="2" hidden="1">'Final Model'!$E$17</definedName>
    <definedName name="solver_lhs8" localSheetId="2" hidden="1">'Final Model'!$E$17</definedName>
    <definedName name="solver_lhs9" localSheetId="2" hidden="1">'Final Model'!$E$17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'Final Model'!$E$28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1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2" hidden="1">CPMThresh</definedName>
    <definedName name="solver_rhs10" localSheetId="2" hidden="1">Annual_Budget</definedName>
    <definedName name="solver_rhs2" localSheetId="2" hidden="1">MaxAllowableBudget</definedName>
    <definedName name="solver_rhs3" localSheetId="2" hidden="1">MinAllowableBudget</definedName>
    <definedName name="solver_rhs4" localSheetId="2" hidden="1">Annual_Budget</definedName>
    <definedName name="solver_rhs5" localSheetId="2" hidden="1">Annual_Budget</definedName>
    <definedName name="solver_rhs6" localSheetId="2" hidden="1">Annual_Budget</definedName>
    <definedName name="solver_rhs7" localSheetId="2" hidden="1">Annual_Budget</definedName>
    <definedName name="solver_rhs8" localSheetId="2" hidden="1">Annual_Budget</definedName>
    <definedName name="solver_rhs9" localSheetId="2" hidden="1">Annual_Budget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</definedName>
    <definedName name="solver_typ" localSheetId="2" hidden="1">1</definedName>
    <definedName name="solver_val" localSheetId="2" hidden="1">0</definedName>
    <definedName name="solver_ver" localSheetId="2" hidden="1">3</definedName>
    <definedName name="TotalConversions">'Final Model'!$E$28</definedName>
    <definedName name="TotAmount">'Final Model'!$E$17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45" l="1"/>
  <c r="J4" i="45"/>
  <c r="K13" i="45" s="1"/>
  <c r="K8" i="45" l="1"/>
  <c r="K12" i="45"/>
  <c r="K6" i="45"/>
  <c r="K14" i="45"/>
  <c r="K7" i="45"/>
  <c r="K9" i="45"/>
  <c r="K10" i="45"/>
  <c r="K11" i="45"/>
  <c r="K5" i="45"/>
  <c r="L4" i="43"/>
  <c r="L5" i="43" s="1"/>
  <c r="Q1" i="43"/>
  <c r="M1" i="43"/>
  <c r="S4" i="43"/>
  <c r="P4" i="43"/>
  <c r="P5" i="43" s="1"/>
  <c r="O4" i="43"/>
  <c r="M12" i="43"/>
  <c r="Q8" i="43"/>
  <c r="Q11" i="43"/>
  <c r="M8" i="43"/>
  <c r="M10" i="43"/>
  <c r="M9" i="43"/>
  <c r="Q14" i="43"/>
  <c r="M13" i="43"/>
  <c r="Q7" i="43"/>
  <c r="M7" i="43"/>
  <c r="Q10" i="43"/>
  <c r="Q12" i="43"/>
  <c r="Q5" i="43"/>
  <c r="M5" i="43"/>
  <c r="Q6" i="43"/>
  <c r="M14" i="43"/>
  <c r="M6" i="43"/>
  <c r="M11" i="43"/>
  <c r="Q9" i="43"/>
  <c r="Q13" i="43"/>
  <c r="K1" i="37" l="1"/>
  <c r="J4" i="37"/>
  <c r="K12" i="37" s="1"/>
  <c r="K1" i="36"/>
  <c r="J4" i="36"/>
  <c r="K25" i="36" s="1"/>
  <c r="K1" i="33"/>
  <c r="K14" i="33"/>
  <c r="K7" i="33"/>
  <c r="K6" i="33"/>
  <c r="J4" i="33"/>
  <c r="K13" i="33" s="1"/>
  <c r="F7" i="32"/>
  <c r="F8" i="32"/>
  <c r="F6" i="32"/>
  <c r="E7" i="32"/>
  <c r="E8" i="32"/>
  <c r="E6" i="32"/>
  <c r="D9" i="32"/>
  <c r="C9" i="32"/>
  <c r="H7" i="8"/>
  <c r="H8" i="8"/>
  <c r="H10" i="8"/>
  <c r="H11" i="8"/>
  <c r="H12" i="8"/>
  <c r="H14" i="8"/>
  <c r="H15" i="8"/>
  <c r="H16" i="8"/>
  <c r="H6" i="8"/>
  <c r="K8" i="33" l="1"/>
  <c r="K15" i="33"/>
  <c r="E9" i="32"/>
  <c r="D10" i="32"/>
  <c r="K7" i="37"/>
  <c r="K8" i="37"/>
  <c r="K5" i="37"/>
  <c r="K13" i="37"/>
  <c r="K6" i="37"/>
  <c r="K9" i="37"/>
  <c r="K10" i="37"/>
  <c r="K11" i="37"/>
  <c r="K12" i="36"/>
  <c r="K20" i="36"/>
  <c r="K10" i="36"/>
  <c r="K11" i="36"/>
  <c r="K13" i="36"/>
  <c r="K14" i="36"/>
  <c r="K22" i="36"/>
  <c r="K18" i="36"/>
  <c r="K19" i="36"/>
  <c r="K5" i="36"/>
  <c r="K21" i="36"/>
  <c r="K6" i="36"/>
  <c r="K7" i="36"/>
  <c r="K15" i="36"/>
  <c r="K23" i="36"/>
  <c r="K8" i="36"/>
  <c r="K16" i="36"/>
  <c r="K24" i="36"/>
  <c r="K9" i="36"/>
  <c r="K17" i="36"/>
  <c r="K10" i="33"/>
  <c r="K12" i="33"/>
  <c r="K9" i="33"/>
  <c r="K11" i="33"/>
  <c r="K5" i="33"/>
  <c r="F9" i="32"/>
  <c r="F10" i="32" s="1"/>
  <c r="C14" i="11" l="1"/>
  <c r="D14" i="11"/>
  <c r="B14" i="11"/>
  <c r="E17" i="11" l="1"/>
  <c r="E10" i="11"/>
  <c r="I22" i="8" l="1"/>
  <c r="I23" i="8"/>
  <c r="I21" i="8"/>
  <c r="E38" i="8"/>
  <c r="E39" i="8"/>
  <c r="G7" i="8" l="1"/>
  <c r="G8" i="8"/>
  <c r="G10" i="8"/>
  <c r="G11" i="8"/>
  <c r="G12" i="8"/>
  <c r="G14" i="8"/>
  <c r="G15" i="8"/>
  <c r="G16" i="8"/>
  <c r="G6" i="8"/>
  <c r="F7" i="8"/>
  <c r="F8" i="8"/>
  <c r="F10" i="8"/>
  <c r="F11" i="8"/>
  <c r="F12" i="8"/>
  <c r="F14" i="8"/>
  <c r="F15" i="8"/>
  <c r="F16" i="8"/>
  <c r="F6" i="8"/>
  <c r="C22" i="8"/>
  <c r="C23" i="8"/>
  <c r="C21" i="8"/>
  <c r="D22" i="8"/>
  <c r="D23" i="8"/>
  <c r="D21" i="8"/>
  <c r="E22" i="8"/>
  <c r="E23" i="8"/>
  <c r="E21" i="8"/>
  <c r="J22" i="8" l="1"/>
  <c r="K22" i="8"/>
  <c r="J21" i="8"/>
  <c r="K21" i="8"/>
  <c r="J23" i="8"/>
  <c r="K23" i="8"/>
  <c r="G23" i="8"/>
  <c r="C24" i="8"/>
  <c r="E24" i="8"/>
  <c r="D24" i="8"/>
  <c r="G21" i="8"/>
  <c r="G22" i="8"/>
  <c r="F21" i="8"/>
  <c r="F22" i="8"/>
  <c r="F23" i="8"/>
  <c r="B13" i="11" l="1"/>
  <c r="D13" i="11"/>
  <c r="C13" i="11"/>
  <c r="D28" i="11" l="1"/>
  <c r="B28" i="11"/>
  <c r="C28" i="11"/>
  <c r="E28" i="11" l="1"/>
  <c r="E1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Lakshay Sharma</author>
  </authors>
  <commentList>
    <comment ref="B5" authorId="0" shapeId="0" xr:uid="{B016468B-C6C2-426C-8954-898613F137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8030483A-68DF-4F1E-B001-12FFB06562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F54EF0A-F8D3-4512-9DA2-E0E1B5B728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40BD8A88-D5E5-439F-8F48-EAEA8DEE05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757DBDC1-2F18-4873-A65D-5084963E44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67DA3DF-E07C-4CA5-B41C-811B0EE3E7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5BFBAAC6-533B-4EE1-A255-6CFCD71FCD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C8D2860-B59B-4464-85AB-E80AC8BDD5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CB58E459-EF70-4AB2-A92F-11F91E6F06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CE71B2C2-29A6-4A08-91A0-57CA6310B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2084546-3726-4521-AD18-DDF9E2273D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Lakshay Sharma</author>
  </authors>
  <commentList>
    <comment ref="B5" authorId="0" shapeId="0" xr:uid="{94A39B7A-4D69-4EFC-8159-12ECAF7644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5CAF3B44-EC25-466A-BDB9-33F833C02B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1AD2AF61-777E-4882-A637-C846A39A84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22AF9AD-F326-40AA-A10E-C10A2B09D4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A6418810-D187-4D1E-B8D2-AF67EDD3D6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E976986-2C31-43AC-B8EC-6FDA3609B6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5E4B1730-5346-4030-8293-CC93CB5282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E602D6B-7ED2-4ED6-9749-7860E4DD00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FFC58011-DCDC-4B34-9959-052331C0EF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9A80896D-881C-4E9B-A5AD-061632D4B1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6863D415-E1B9-4B1E-8231-0F41AC075D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D78101CD-094B-4491-ABDE-7E691043FC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FB8798BB-23B9-482B-AFCA-7DC0F10ED9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1F4ACDC0-99CE-4288-B9D9-75D27A6512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5C5F5AF4-0286-4719-9D74-0982BBA5A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199DE52-89E3-4380-950A-BED79F5432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D5D911A2-CA20-4AFB-AD7E-986B2914DC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7A42A61F-8258-4874-B7F9-96AB84976D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4BFAD71C-1809-473F-8FF9-6A96D1D41C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82BA72A3-6F3E-418F-8762-238000C0B1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4004DA10-617E-4C68-AB0F-267C409F64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Lakshay Sharma</author>
  </authors>
  <commentList>
    <comment ref="B5" authorId="0" shapeId="0" xr:uid="{A975C0EB-354C-43B0-AF5A-D39152177E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C76522C0-6E37-48F4-8B93-05C8862A83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F38C3C97-458A-4A55-9E31-9700C2DCEB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841CB659-CCE7-4656-8F19-38D52151FB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C781026B-B43F-4B8E-8D72-96075E1F43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67CAB3ED-88A1-4A13-8640-01BC4A3E22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3FF103A-44AF-4E5B-BCBC-E28409373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6302BB11-BE5B-4A22-B404-B7DC3C062C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6DD1CC2-FD51-4821-A673-3C9788B529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Lakshay Sharma</author>
  </authors>
  <commentList>
    <comment ref="B5" authorId="0" shapeId="0" xr:uid="{BBA64119-8B07-4771-9278-B81BA9798F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EC81AA48-1701-4464-9247-A23DA3BD6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800CFE11-4BD9-475C-8CBF-921D55BB94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D2E7EA3A-53DD-4A02-BE1A-DC6E363A67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EFE94E37-F766-48CA-BEE0-ACECEB6A62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39295D24-2BF9-41C8-B35D-65207A8D18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 shapeId="0" xr:uid="{C0D2F555-96B0-43E5-AAA5-218D6B6C28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" authorId="0" shapeId="0" xr:uid="{2B608BC6-A522-4F5B-89FD-68D7B07FD4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" authorId="0" shapeId="0" xr:uid="{B5F3CAD8-0292-4E62-AA32-B49B461F2C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" authorId="0" shapeId="0" xr:uid="{EB992987-46FD-4EED-88EF-A2F1649574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12687A8-F19D-4982-BBCD-FF81295344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B37D6AAA-8988-463E-A2C4-3634B9107C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9A38E529-C37E-487B-9A9E-EF49A8EFE8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813751D1-4078-41EB-971D-44B2B78B46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63FC5F90-4D79-4CC4-B8C5-6BCF0C2A87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852AE39F-237A-49C1-8106-8AB5CEB1BD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 shapeId="0" xr:uid="{E4A8AF40-2032-4DFE-9344-D1175FFEB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25AFBE5E-4D4F-4E72-A919-E947BFB2ED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" authorId="0" shapeId="0" xr:uid="{7B35C296-C672-4083-9C0B-24476F50EC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" authorId="0" shapeId="0" xr:uid="{F4E711A8-BFBD-4543-823B-D09304ED05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984D546E-C24C-4F5E-8F25-F72716096F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3AB40DCF-96E3-4038-9F17-1A7052C179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ED501C1E-7509-4CD3-B4FC-79615488F0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CA2B8FC4-8F43-4407-8BD2-EF833E793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17434327-E50F-47B0-9D75-025281E2BC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4432E211-898D-4415-BA08-5166653108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4BB3EA7F-7D48-4E03-8B0E-B2E2A07109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6A35F210-6255-4AB5-8A9A-6923E14AFE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" authorId="0" shapeId="0" xr:uid="{AD7ABFF6-D1D1-4BC2-BCAD-7792A072B7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" authorId="0" shapeId="0" xr:uid="{F58A36C7-935D-41EF-8927-9EA8D568E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DAC4BF4B-2DB0-4166-8D44-0E63BA3256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D669B5FE-38D2-40EE-8B25-8CF35BFCC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EC157665-0679-4FB0-9384-33E4B7F145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C313A49C-00A1-42BF-94F2-F135D6C7FD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147A8B82-5CA0-416F-AEEB-7058AA5E99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EF57264A-4397-4A9C-ACD3-D3E76D3CEC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F6687946-65A3-43EE-8BA2-804ACF1AA1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61F114FD-9ED4-4A8E-B1DF-493F26789E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" authorId="0" shapeId="0" xr:uid="{E7B4E419-5C29-49FF-B6E8-275DFD3613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" authorId="0" shapeId="0" xr:uid="{94DC42F6-EF3C-4E04-A6FF-5AF9A9F532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09439090-6089-4E11-B485-6EB98E02E2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9DF7C4AC-059A-4495-8F35-CD6142137A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913C6549-520D-4726-AE72-CADCB01555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1FBE1858-ECCD-4AD7-91BD-6E4D1C5871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F01AF32B-2EF3-423A-A679-F8EB8C74FD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0921C17B-CA0B-44D7-A965-1EF854028C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9C2F7BDF-62E1-431B-888B-82350E12B8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06976D30-CE39-4FE3-B678-3950F4F70E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 shapeId="0" xr:uid="{4542F038-4EE0-4CF1-97C6-86879B9C69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 shapeId="0" xr:uid="{076BCAEE-154C-4162-9680-7CCB57097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09AA946F-1FC2-4DCC-941C-4FD37BF8BB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2FB942F5-142C-4F70-B97D-2AA2ADBB12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F87D8F51-ED6E-4E4E-8CF1-F7C84EF120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1B0B4238-2504-4EAD-A324-C31DD12AC2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28BAEBE7-4B6E-4701-BB7E-B8C1F6033E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FFD41EBA-A6D5-4B39-8C9E-043649FE34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184BA307-ABBF-4479-8363-A7D50437A4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D37233FB-8F1F-453D-A95D-614708DFC5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 shapeId="0" xr:uid="{E1262FD1-DA4B-4D6B-8F79-B2FB0265CB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 shapeId="0" xr:uid="{B7E7AA91-331C-4AA6-A62B-C835729C74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E302942-2385-4A96-8A33-031B454BF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924906D6-2826-44EA-B625-26ADBB5C8C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5FD592C6-9731-4A04-93AC-4EF7733855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BEB3EE1E-2127-42D8-90B8-2878C2BAB1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09771D28-1E82-44BB-9D0B-A367DF178B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4A71D843-0DBC-4385-8887-44F2BDCA10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63EB75C5-A250-4E0D-975D-071B6B138D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DBF19BB4-9904-47A4-9491-D359995345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 shapeId="0" xr:uid="{E42372ED-1AEC-4338-85FF-2743E36316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 shapeId="0" xr:uid="{10521DC9-24EF-4686-9A18-45D48B62E9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CB67AEB-0B0F-4E79-B5BB-265E76C5A5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48B57EE7-50D0-4FE5-8E57-0CFEFBEE55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E117BAA9-317F-4C50-A806-34271DD89F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AF0A4C8D-2471-49CE-BA62-56F9832218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E0F59EEC-38FD-4CEE-A2F3-620D052C0F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111F4C9F-EF56-49E5-8BC7-67B642CA3F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566AF51C-7FF3-4390-B325-66A70965A3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B53B091D-7765-4AE6-85D3-B30FE28AAC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 shapeId="0" xr:uid="{2057DCA5-9B2E-4207-B624-6DDB3F4F2A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 shapeId="0" xr:uid="{F0A95359-734D-4BD7-A748-717AC936A6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78136EC9-2BE9-4D09-9D37-FF89691974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76CC3430-546B-4AEF-9DC3-46FF6F6030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FF4F9A4F-DDBB-414C-8CB1-3E1704FC38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C38CFA04-2695-4C3B-B3B6-86DB258290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126780ED-1884-4D98-9A15-9A79C3CF21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92B2D742-59B9-40D5-A773-888E4F5AA9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 shapeId="0" xr:uid="{68961DA2-F5A2-4C77-9549-F80888625E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AA81FD80-419D-4D9A-BE01-B5CB44690C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 shapeId="0" xr:uid="{4783680F-57A1-4536-8923-0A153FE5E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 shapeId="0" xr:uid="{A6CB1585-6E41-4764-8826-FF8A19AC16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8EFD213A-A257-4CA6-B183-B54E313A56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A4A53849-F7E4-4A1A-894A-94464B70F0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D76294D2-D453-47E9-8903-1765319FCD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A16A5A5F-B411-47FC-8435-ECE80E5EA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9B80A267-A284-45A9-B852-0D0609FF66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B4EC21DB-C7CA-49F8-BBA3-1BF281E6C3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7D23C829-AB9B-4414-837B-5FD97B191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C280BABE-5095-4151-AE2C-5C361AB5B3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 shapeId="0" xr:uid="{B567DB31-88F6-4346-9E58-0444325341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 shapeId="0" xr:uid="{2A84AC3B-6C49-4824-891D-515416E338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C7721034-CE1B-4CBB-ABEA-FEA2A17DEE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5637809B-86D7-42C3-AAE8-F46DAF8FF1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00A241FC-2C54-4BAC-9CA2-A3CC732FBC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AD096CC4-DBD4-4DBE-A99E-8F1E76C66F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62A8E07D-D5EC-40B0-833A-CA8C9546B5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88A037DF-B756-4AC9-A8C5-58D758C814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 shapeId="0" xr:uid="{D7205AC8-19B9-4D4F-8B90-3C76092D61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" authorId="0" shapeId="0" xr:uid="{0203BDA7-66EF-491F-B5CD-9A291908D5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7" authorId="0" shapeId="0" xr:uid="{4E57913D-99D2-40D0-9EA7-A5EA75F6C4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7" authorId="0" shapeId="0" xr:uid="{5822AA89-DB1D-479B-ABCB-0A20819005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F638F4CE-1537-4E49-ACFF-B74C22F4A4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765D3125-CE11-4277-B627-224143B89E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ED894E8F-005B-4C05-A468-35DF20B52C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97A4C629-7820-4960-940E-038E7A7708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0E45DB6E-A295-47BC-A444-8C69D917C0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7E84338C-9350-46E9-8355-89B7DFF485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 shapeId="0" xr:uid="{D2D517CC-EBD3-47CB-A2D8-1F7AB90B7D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 shapeId="0" xr:uid="{34116BEB-307C-4590-B120-89D3269B62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8" authorId="0" shapeId="0" xr:uid="{DD829822-6827-486A-9765-9914DA2D6C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8" authorId="0" shapeId="0" xr:uid="{409BCAB7-A53C-4259-9F27-490F65AADE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39900C86-7E8D-498A-90F1-926D9DDEA1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921BF384-533F-4296-9040-EF5A5BCC90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E139CEE7-BF82-4F1D-8881-39F711E073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6E997DBA-1225-4903-9FDF-FFEC44C8B4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912BE717-27F5-4F7B-B38F-CD230F6601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A54899DD-B8C1-4EE7-9ABD-1A56CD3F09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 shapeId="0" xr:uid="{A90DA047-177E-4A7E-8CBA-5E90A5784C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 shapeId="0" xr:uid="{0AC1B15B-8B8B-4E45-9FA2-D35C802290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9" authorId="0" shapeId="0" xr:uid="{CF58CE2B-3899-40BB-934F-842621F7DA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9" authorId="0" shapeId="0" xr:uid="{8A9C5791-472A-4ED6-BB2B-6ACCDD0225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5C13DE0-9664-40BE-9AB9-5950692F34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E7B83FA5-4BD0-46CA-A5A5-479364AFF7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F74B749F-96C1-4808-9F2E-5B8EA4771E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58614F1F-3798-4ED5-8DDB-553577DCC6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09760976-877A-445F-B133-74A9424988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3825208C-E1FC-4395-A563-C5E2687553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 shapeId="0" xr:uid="{E2DA3085-DFA5-4908-B3AB-52A4D91755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 shapeId="0" xr:uid="{3DFC780D-B2EB-45E2-8AA2-64CD694C33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" authorId="0" shapeId="0" xr:uid="{38BBB38C-32B9-4645-8204-F260EC20DD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" authorId="0" shapeId="0" xr:uid="{B2E65936-D3E1-4AD9-82AB-8F4AD81F25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7B3117DC-4220-4FC3-A71C-7CBF4EF031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340E065A-B55F-4865-9A72-3FB11317F4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F032107D-D625-4167-BE22-E504FACA0D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7B1C18FA-1369-4D05-8C76-31A63ED1EB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6DDF9C1C-D332-400C-8A48-1DB8A54DBF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 shapeId="0" xr:uid="{4CDADCFE-3680-43EA-891A-56450726CB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1" authorId="0" shapeId="0" xr:uid="{C2143FEF-F38F-4DB0-B385-CDF4C8E0BB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1" authorId="0" shapeId="0" xr:uid="{5807A99B-980E-40B1-A528-35A84E6CC0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1" authorId="0" shapeId="0" xr:uid="{D5184A5A-A6ED-4AB7-86F3-375D1B7CE5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1" authorId="0" shapeId="0" xr:uid="{982626DF-E919-4A5E-B4B6-B8A82ADFDB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61EC26AA-74B2-4E69-9135-7EE1278840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068EDC9D-03CE-4CEB-8575-D1B9D8BEF2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86ED69D7-ED61-4A07-8D18-B700A07FD6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51B17C6F-3CA9-4644-BB28-40E16C4489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 xr:uid="{32A5AA40-41B9-4D95-A165-56AB0DD4A7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 shapeId="0" xr:uid="{E73C1DA6-28B4-4069-9BDB-77B6015A8C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2" authorId="0" shapeId="0" xr:uid="{46C38732-A6E7-4E4D-999D-8B3812B96D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2" authorId="0" shapeId="0" xr:uid="{D243919E-0319-4A38-AB7F-4C7F58404E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2" authorId="0" shapeId="0" xr:uid="{C12EDA3A-B6ED-49EC-AADE-58393B6268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2" authorId="0" shapeId="0" xr:uid="{C2DD970B-D61F-49CC-9527-30D3E1210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A3677A43-B62A-4642-B8AC-40BCCDA1C2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CFB7B7A7-BB9F-4831-9374-E0ABC3A306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8CF5D969-AFCF-41B6-B37D-49E0727BF4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BC8F6377-2C40-42C8-8686-81916CF816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6D0FF2DF-1289-4582-8566-EC0AB1E2F8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1B0E12B3-897D-4DEA-A691-FD586FE109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 shapeId="0" xr:uid="{C7C73E9C-906F-4663-9F03-4FA75FE1EA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" authorId="0" shapeId="0" xr:uid="{6E93DE7A-B0D9-4A68-A959-0556C68F22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3" authorId="0" shapeId="0" xr:uid="{310411C1-BB05-464F-9221-213365AF15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3" authorId="0" shapeId="0" xr:uid="{B33B9153-D119-4BDA-B229-760D099632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74FDDBE3-1329-4145-B4BF-E52FFE0A93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D34A1E69-3E0E-41D9-8291-63CD8A2CC6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42E72D55-D04B-4AE9-9ED8-47C16C906A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07D46B35-2DBB-4600-97EF-8D7210B9D6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B26430BE-127F-45A3-B11E-F55431E0ED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CB6B4E04-5F5E-4186-AADA-A2C80BC93C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 shapeId="0" xr:uid="{6C0B4058-A3A0-4623-A646-A260DBD308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4" authorId="0" shapeId="0" xr:uid="{783BB9D0-9F1B-4E6A-BF6A-6C7FC563F5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4" authorId="0" shapeId="0" xr:uid="{3B2C5367-029A-4568-AD26-C51410A6C9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4" authorId="0" shapeId="0" xr:uid="{48640469-287C-4C35-A99E-7803D32FA4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BD20809E-19C8-40BE-98D2-F0110209D9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9ED1393E-7730-4A7E-B150-044CCDA4A9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423D28B0-487F-4BEC-8560-89D56E774D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B38D5AFF-1382-4EC7-998C-01A5E6D3CA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83E9E9A9-B022-4A00-A3A8-906FE23D73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C57AADA7-3AE9-451B-A9A6-F868AA8808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 shapeId="0" xr:uid="{D4AED509-92C0-487F-8F04-CDD983D1E3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" authorId="0" shapeId="0" xr:uid="{26199A41-638C-45FC-948E-22AF674ECD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5" authorId="0" shapeId="0" xr:uid="{2F49C40D-D0BB-48C7-B49E-45DA048A9C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5" authorId="0" shapeId="0" xr:uid="{0B1B4E58-243E-4DAC-8CA5-D841F6413C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F8B224C0-BEBC-409F-A7DE-7F8618CE44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6" authorId="0" shapeId="0" xr:uid="{5A654F0C-C439-4F25-8123-D9974AB124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6" authorId="0" shapeId="0" xr:uid="{93EA0091-500B-41B3-9779-30E26E8740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6" authorId="0" shapeId="0" xr:uid="{199DEE51-664C-49D4-8017-34365B4579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6" authorId="0" shapeId="0" xr:uid="{98ABDDE3-43EE-428E-B8E2-822E795E7A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6" authorId="0" shapeId="0" xr:uid="{4D4358EA-DB8A-4679-872D-C93231BE72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6" authorId="0" shapeId="0" xr:uid="{69349CA6-7425-4189-9332-10F593B9C7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6" authorId="0" shapeId="0" xr:uid="{865F7BBA-9BFD-42F7-9368-BDCE814420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6" authorId="0" shapeId="0" xr:uid="{99188753-BBB3-4210-A931-222EC2D56B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6" authorId="0" shapeId="0" xr:uid="{5D0BB822-98D4-4DA1-B145-C96DE23A5A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9" authorId="0" shapeId="0" xr:uid="{6D8F9B07-6E24-42B4-BF1A-6F01159CCB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 shapeId="0" xr:uid="{3FD49322-64BB-4D44-A311-9B37C1D11F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 xr:uid="{530142B2-CCE1-498F-9132-3C3FB02812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 shapeId="0" xr:uid="{395432F1-E3C2-4CB6-9CBB-EFD5E4211B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" authorId="0" shapeId="0" xr:uid="{EB68002C-07F5-4F40-A1B2-C11E37EAC0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" authorId="0" shapeId="0" xr:uid="{5FADD567-8B40-4DF3-8B51-F5EC2EA93B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9" authorId="0" shapeId="0" xr:uid="{FEFD44E6-1506-442E-8A2F-FADE5CBAD1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9" authorId="0" shapeId="0" xr:uid="{655D8A03-256F-418A-B7FB-817B4E90FD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9" authorId="0" shapeId="0" xr:uid="{2C257853-2965-4910-8BA4-494D5C3F08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9" authorId="0" shapeId="0" xr:uid="{67252506-9193-45B2-98EE-69A855254A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0" authorId="0" shapeId="0" xr:uid="{1050B663-BC22-49B9-8B2A-BE0FDB3728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" authorId="0" shapeId="0" xr:uid="{73943914-F94E-4F69-97AF-D894052883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 shapeId="0" xr:uid="{265ED32D-DBB3-4E7A-B367-01989B7835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" authorId="0" shapeId="0" xr:uid="{E55C1932-5248-4F4D-B7C9-CFEC79FFA4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" authorId="0" shapeId="0" xr:uid="{5E6369FE-13F5-4457-8F04-DD68F7911F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" authorId="0" shapeId="0" xr:uid="{18AF29C8-5C8A-4AEC-B6E9-154B7279B1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0" authorId="0" shapeId="0" xr:uid="{4D1C4CA0-8CAB-4EE5-8FA7-202337EE65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0" authorId="0" shapeId="0" xr:uid="{1D6344DB-7CEA-47E3-BF21-771F2226F4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0" authorId="0" shapeId="0" xr:uid="{975A66D4-CA4B-49B2-A0A8-2293ADB435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0" authorId="0" shapeId="0" xr:uid="{EE988CB4-AA1B-485D-9EF0-C3F2A9D0FD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3F3C4A6A-0207-462E-B496-3848A59191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 xr:uid="{0B482D88-6F7C-4D07-A3D6-95B91A7806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 xr:uid="{4AE09B30-9BE1-42D1-B706-86F00B853C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 xr:uid="{9B5E5A40-9D51-483D-B209-671DDC41CA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 shapeId="0" xr:uid="{8D788908-D5CB-4760-A1A5-36022936E7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 shapeId="0" xr:uid="{B4FF4DFF-29C1-4A94-A3B8-1E0C2784F2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1" authorId="0" shapeId="0" xr:uid="{6814F9DA-9BDB-4641-8F9C-254D594C7E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1" authorId="0" shapeId="0" xr:uid="{62FAC8AA-8D81-4031-9561-0E3B30EAC7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1" authorId="0" shapeId="0" xr:uid="{8E660A02-FEB8-40AF-943D-89282B1EB2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1" authorId="0" shapeId="0" xr:uid="{1709205C-C2DA-4816-A762-218006D428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2" authorId="0" shapeId="0" xr:uid="{EAAF798D-8D30-4925-8F05-92CC4501A0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E81B9939-4D39-419B-BD2C-A2AA25E858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27851C10-2823-4605-9B58-55DA2231B3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31C3985F-3510-4E45-A816-673B7C4745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75B8BDB7-D010-45B6-9B7D-7B4B31F3F9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8E07F7C3-146F-46BE-82AD-B45C3EBC4D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 shapeId="0" xr:uid="{098B16FE-1FE0-4857-B0B9-ADACF53606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2" authorId="0" shapeId="0" xr:uid="{0522D432-54DC-4586-8864-05A41068DE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2" authorId="0" shapeId="0" xr:uid="{E420C7F1-7511-4F90-BF17-0BFBAF55A7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2" authorId="0" shapeId="0" xr:uid="{D2144905-D1CB-4464-A10A-0348E4E1BF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59519504-DEE4-4173-BA07-02621FD38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2711B61C-2717-4A9B-A847-2E94A1AB1F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129024F6-DBE1-4FB5-BFDC-2B2EC23FCC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D6560036-679B-489A-BD19-85DA10F55B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5AC6ADD1-0F01-4530-921B-DB3B50A585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F17661FB-DB98-450F-8A36-A163BBB091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 shapeId="0" xr:uid="{289A9306-F9B7-47E1-B4A3-1437F17B9C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3" authorId="0" shapeId="0" xr:uid="{466170E9-3056-454A-A0F4-F1B2AEB28D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3" authorId="0" shapeId="0" xr:uid="{A7BF0953-7BF8-4741-8B67-85AF425740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3" authorId="0" shapeId="0" xr:uid="{350DF59D-FF0A-48E1-97C7-7FEA59AA84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401E99AA-A131-4ECD-895C-038B484101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6FD46D7F-20AD-4415-AE4D-D89E798076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90B29156-BC90-404D-ACDA-72234BCDAB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63299F15-3FD3-4127-B5F7-E729A1F7A7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5F15881B-B90A-4A36-A440-1CAA20FC4D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8991E969-BA70-4662-8ACD-3E1E09C972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 shapeId="0" xr:uid="{9A9226A1-6A75-43D2-8DC9-925FF78184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 shapeId="0" xr:uid="{ECCFFCFF-F0CA-47CC-98BE-7EFA080A31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" authorId="0" shapeId="0" xr:uid="{7CCCEFD9-2222-48E2-90E8-8B9FF2F58E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" authorId="0" shapeId="0" xr:uid="{21C8586E-FE82-476D-9BB0-92979BFFB7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860C58D2-C95E-4223-A7B0-9F8891BF7C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 shapeId="0" xr:uid="{FEDABC3A-B22F-498A-922B-5CCC1F11F1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A4E5A93B-9CE0-40DB-B5D6-F3D3C7C55A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 shapeId="0" xr:uid="{6F4C4F3B-146B-46B9-B96F-3A9B6145B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 shapeId="0" xr:uid="{F5C05466-6231-4C01-9177-FF8DE178C3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 shapeId="0" xr:uid="{CF7FA842-7D90-4001-9F02-382B3AB688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5" authorId="0" shapeId="0" xr:uid="{418DDB78-908E-425E-AE5B-E6CD76D0D4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5" authorId="0" shapeId="0" xr:uid="{6A071A5D-B841-4969-B556-607F84C276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5" authorId="0" shapeId="0" xr:uid="{24A1821B-C3FC-452F-B350-6211579565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5" authorId="0" shapeId="0" xr:uid="{EE65123D-AED4-4682-8D08-7F9A256085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6" authorId="0" shapeId="0" xr:uid="{E4965BA7-0620-433E-AE1D-9CAAAB056F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04706721-2733-449F-8B36-F930B294A5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5EB0AD88-4212-4731-8451-0E13E1CC8F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DBA5DB9E-CD4D-4AAC-A213-500159010C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 shapeId="0" xr:uid="{BD5E0861-1DA1-48BB-B733-C7F15081FF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 shapeId="0" xr:uid="{6B245AAB-1065-43EF-95D3-CFAA1EB7B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6" authorId="0" shapeId="0" xr:uid="{379D7D63-1E04-4507-AA80-4985BE2259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6" authorId="0" shapeId="0" xr:uid="{CB3D6654-75B9-4476-859F-CA43A86A4A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6" authorId="0" shapeId="0" xr:uid="{33367CFF-83C3-4884-8531-1CFE97595B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6" authorId="0" shapeId="0" xr:uid="{E9ACCD7C-134A-4707-B7E7-87A7C5BD2D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7" authorId="0" shapeId="0" xr:uid="{FEA308B1-BE93-43D4-AA89-0BE454CE60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E972F907-259D-4C61-8DBD-1E7B575CAD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06B50442-5A73-4709-9DD2-073F9A82B5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024DF405-94B2-4B5C-A076-DC216288A0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 xr:uid="{2E728D32-93EC-4E8E-8D94-79B1CB18C3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 shapeId="0" xr:uid="{7B539132-B797-45D6-8322-9AA93279FE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7" authorId="0" shapeId="0" xr:uid="{D6D8289B-723A-44C7-9417-9380FA5A51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7" authorId="0" shapeId="0" xr:uid="{8C4B9666-6403-4649-8FE5-B5869FACAB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7" authorId="0" shapeId="0" xr:uid="{6F8CB3CA-3DCD-48EF-93C3-107E1CE97F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7" authorId="0" shapeId="0" xr:uid="{4AA9FF9E-F5DA-405E-9F70-D27F831718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8" authorId="0" shapeId="0" xr:uid="{8BA2A9A3-D2C2-4B02-AF2C-5A07AB94CD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D294FE00-A551-45FD-878B-592E37D12E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72541B68-6778-438A-A5FC-CB4A3A323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C76E8BC4-6FDB-4831-82CD-706C43E549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93A00226-0648-4577-9F01-8631869CB3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5FAB3943-1F1A-4E9D-AC5F-EB633D914A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 shapeId="0" xr:uid="{ADFDE00C-338F-4F92-B65D-CB6E10D9C2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 shapeId="0" xr:uid="{BA7CE481-AFD9-4394-BCFA-628377E88A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8" authorId="0" shapeId="0" xr:uid="{FF48519A-0DCB-4BB2-B104-242EC11DCA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8" authorId="0" shapeId="0" xr:uid="{8EF6B10B-6E37-4D04-B650-FEEB20DC9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06FEC912-4ED3-43FA-A0F1-ECAEB77F0B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7B69187C-61CD-4A6B-B2BC-0018457C6B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08BC42E8-22E2-40A9-AC85-4F876D69E3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 xr:uid="{79439FBC-A70B-4234-92B9-991D335B85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 xr:uid="{E053CA43-382B-45A9-93B3-80A93033B1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E92F3210-241C-47DC-A01A-545041BBE8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1" authorId="0" shapeId="0" xr:uid="{56DB248C-CF3A-4F14-A93C-4ACAE852D5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1" authorId="0" shapeId="0" xr:uid="{08424050-A4F4-4D9D-9863-871ED739F0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1" authorId="0" shapeId="0" xr:uid="{C8D8DA63-D029-4FE2-BAA2-800FF9E7F4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1" authorId="0" shapeId="0" xr:uid="{8803F650-30A8-4921-B0B6-9C95BEDFEE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A8857353-364F-44AF-A82D-0AC7B510E3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 shapeId="0" xr:uid="{0E4E8364-EB7E-4198-90E7-2E75744D84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 xr:uid="{A17A6F4C-D9E3-48AE-9D26-BE9D1CD5B5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 shapeId="0" xr:uid="{5DB0108D-D99A-4CBF-87F2-2359522696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" authorId="0" shapeId="0" xr:uid="{EE8B4DDE-909E-4F73-A44E-5DE2CE420C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" authorId="0" shapeId="0" xr:uid="{03631093-330F-43AB-BFB4-497F456900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2" authorId="0" shapeId="0" xr:uid="{789DC0C0-7650-4548-A684-2B0AAE864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2" authorId="0" shapeId="0" xr:uid="{AB56146F-C109-4352-BCF0-69CF03F757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2" authorId="0" shapeId="0" xr:uid="{830EDDC9-9528-4937-9698-3717DE40A7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2" authorId="0" shapeId="0" xr:uid="{3AA2F1AC-3B30-45BD-BED3-75EF52F7F4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308E5507-2067-41B5-8BF8-38E53D81C1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" authorId="0" shapeId="0" xr:uid="{6B9E7EFA-F25A-456D-973C-D54171E663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 shapeId="0" xr:uid="{8AC45E68-1C49-44DE-A1D2-054DD5E9D7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" authorId="0" shapeId="0" xr:uid="{8EC82621-F4F3-4039-BCB1-CAE1A6BA81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" authorId="0" shapeId="0" xr:uid="{98464135-32C1-4D5D-8ADE-FE879293B9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" authorId="0" shapeId="0" xr:uid="{C59A509B-912C-436C-AF3F-E105E3B7D4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3" authorId="0" shapeId="0" xr:uid="{BE100B8A-B2BB-425C-A588-813D386CF8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3" authorId="0" shapeId="0" xr:uid="{9CCF2E74-0096-4610-9D55-7D69077417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3" authorId="0" shapeId="0" xr:uid="{CEDC5320-6251-4A68-A155-A47485D7A2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3" authorId="0" shapeId="0" xr:uid="{12FFDB01-9DEE-4100-9F92-7074CB893E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FFFD6B4E-0D56-4F49-BEED-B37AB69813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 shapeId="0" xr:uid="{7D0DE2F6-C0B3-4034-A8AF-F50277AE3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FCFB533F-C22E-4839-945C-63600D3D57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 shapeId="0" xr:uid="{F5DE60A5-9370-418E-A51F-A722B809C4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" authorId="0" shapeId="0" xr:uid="{4F90FD33-10BB-4CE2-B335-F5867328D5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" authorId="0" shapeId="0" xr:uid="{0450DB2C-3D28-4BE3-A967-A3085CA657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4" authorId="0" shapeId="0" xr:uid="{7799785F-889E-4CE5-BCBB-9F0FA629B3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4" authorId="0" shapeId="0" xr:uid="{70DF414C-7C15-49DC-AB4E-C30CC76610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4" authorId="0" shapeId="0" xr:uid="{C8A21697-FF84-43FC-9D4A-C2F6DFBF04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4" authorId="0" shapeId="0" xr:uid="{A2B2F874-AD0A-4EC7-8104-56150E5C10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5" authorId="0" shapeId="0" xr:uid="{54CD02D9-66DA-4961-AD73-53447EB6D6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4F9A4BA6-7488-4AF0-905C-70545C855C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815F3B49-62A1-421A-8AF6-45F1B7DC8C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 xr:uid="{4E5738CE-6998-4C18-9A31-EC3C7796FC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 shapeId="0" xr:uid="{43284A0E-5052-4C71-ADD6-C2FDE34CFB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 shapeId="0" xr:uid="{3E2FBF8C-AE9A-4700-963E-FE4C9C58C8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5" authorId="0" shapeId="0" xr:uid="{47BBF263-E28D-4720-82CB-AE4BFE0646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5" authorId="0" shapeId="0" xr:uid="{3DACC6A9-1AD5-4B1D-B2BA-A577632BF0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5" authorId="0" shapeId="0" xr:uid="{C5DED719-3983-4248-925C-546B2C671E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5" authorId="0" shapeId="0" xr:uid="{658871D8-347E-4109-8BAB-74D54E725D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6" authorId="0" shapeId="0" xr:uid="{3DB32DAA-819D-45D9-AF88-E84F58AFAA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 xr:uid="{833F1E37-DC65-45D9-A70C-929A46A239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DACDD48D-831F-4E91-84F4-1A5EB7A090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 shapeId="0" xr:uid="{7126363F-AC75-4302-99D4-C3001209BA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 shapeId="0" xr:uid="{92BB106F-E81E-4068-9DF9-23F799FD7F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" authorId="0" shapeId="0" xr:uid="{52FEBA27-3017-44F4-BE85-93389B234A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6" authorId="0" shapeId="0" xr:uid="{862DB489-0D0C-4C04-A67B-CFEE01C60C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6" authorId="0" shapeId="0" xr:uid="{0F2D327F-5BB5-485E-9C01-9883A32156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6" authorId="0" shapeId="0" xr:uid="{811E3AD5-2E99-4977-B296-7C1EDCF2CC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6" authorId="0" shapeId="0" xr:uid="{6A748894-6C6F-43DA-8348-FAB9EAF676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7" authorId="0" shapeId="0" xr:uid="{DBD2FA75-43C1-4731-8A61-50FA5780B8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 shapeId="0" xr:uid="{D6FAD1D7-BD30-495B-9F5E-87FC6C13F9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 xr:uid="{4E88AAC1-6BDD-4C78-8B6D-7A75FE53B9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 shapeId="0" xr:uid="{A5D7C67B-470A-4192-95B1-37D7B071EE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 shapeId="0" xr:uid="{3560371B-315D-4F6A-ABC5-314249AD93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 shapeId="0" xr:uid="{CE8C8B6C-3B2C-4289-A913-C68AFF1A71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7" authorId="0" shapeId="0" xr:uid="{533E3A87-B966-453A-AE64-41BCCB09AE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7" authorId="0" shapeId="0" xr:uid="{0FE39956-BE56-4F61-A7F8-C58615FDE6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7" authorId="0" shapeId="0" xr:uid="{7CE84BCE-3BBA-42E3-8E1B-47841EA1A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7" authorId="0" shapeId="0" xr:uid="{FA347757-5D08-46B4-89A8-D2EBBA2313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8" authorId="0" shapeId="0" xr:uid="{6334981B-C519-4852-AF0F-897F05B9E2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 shapeId="0" xr:uid="{70883911-6A93-4214-95CD-1BBBE13BD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 xr:uid="{92B53519-82EC-43F2-8B2D-211E236562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 shapeId="0" xr:uid="{226D64C7-D60F-4502-969D-5D2E80E0FC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 shapeId="0" xr:uid="{7E199938-DC93-4AE3-A2CD-5AEA6811BA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 shapeId="0" xr:uid="{D6E9FD6B-C605-46FC-8E48-D5F5C1CFDC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8" authorId="0" shapeId="0" xr:uid="{53B5AF4B-7206-45DF-8487-9F70565351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8" authorId="0" shapeId="0" xr:uid="{BB5087BE-7901-4CC0-9D20-DA581AB9FA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8" authorId="0" shapeId="0" xr:uid="{D9883E1F-C3B2-45E2-BC38-8E6EA48088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8" authorId="0" shapeId="0" xr:uid="{9161EA7F-F571-4DAB-9917-D51FB8D1F8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9" authorId="0" shapeId="0" xr:uid="{ADB13D42-A711-4CC4-AD45-EB723BE9AB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9" authorId="0" shapeId="0" xr:uid="{8A22E7A7-49BE-4FA5-9E59-EB1B2A6E6F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9" authorId="0" shapeId="0" xr:uid="{DBE75C70-77DD-4792-B490-1C2398507B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9" authorId="0" shapeId="0" xr:uid="{230297DD-974C-46C2-9505-3B9227C5AB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9" authorId="0" shapeId="0" xr:uid="{CD45610B-E517-4F84-A30F-41E0F78D92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9" authorId="0" shapeId="0" xr:uid="{D76E9D69-718D-4F32-98B8-F836D72AF7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9" authorId="0" shapeId="0" xr:uid="{D0A5C5B2-C455-4215-BDF6-92556DDF7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9" authorId="0" shapeId="0" xr:uid="{0141F799-7CCD-4CF7-AD7A-B2F5A4A2BB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9" authorId="0" shapeId="0" xr:uid="{E731D7A4-576E-40AF-AB8D-15DA52F27E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9" authorId="0" shapeId="0" xr:uid="{5E8F141F-7540-4E2F-BD09-19F72E9F61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0" authorId="0" shapeId="0" xr:uid="{B3DA0671-6BD9-499B-AA36-D30BFA7DC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0" authorId="0" shapeId="0" xr:uid="{618FC589-05BB-4F37-B270-FA33BA342E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0" authorId="0" shapeId="0" xr:uid="{74660151-AB2D-473E-BC62-E95D867C99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0" authorId="0" shapeId="0" xr:uid="{C23D2862-792C-48FB-A40D-E8FDD66BDB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0" authorId="0" shapeId="0" xr:uid="{49D45A9C-7840-4F02-AB93-C0DAD7C398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0" authorId="0" shapeId="0" xr:uid="{A10E3F94-1FC4-46D7-9DA1-FBE6668AD9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0" authorId="0" shapeId="0" xr:uid="{95E76206-C021-419B-98C7-AA92B2F054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0" authorId="0" shapeId="0" xr:uid="{509E0A0E-6EBC-4AC4-9B52-1A9486D788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0" authorId="0" shapeId="0" xr:uid="{DCD8705F-14D3-4ACF-80E0-0514FA1055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0" authorId="0" shapeId="0" xr:uid="{DA44EC36-4B48-4BD7-B8E7-2C2696AC29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Lakshay Sharma</author>
  </authors>
  <commentList>
    <comment ref="B5" authorId="0" shapeId="0" xr:uid="{31E7DD20-4CE9-4047-9C58-A239665ED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C4AE576C-20D8-4A34-8193-7658493D98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55A84039-8B85-4697-A045-AC211FDB00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05369546-2EE3-4E3F-A981-2BC9A3B369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6347134F-BEC8-4F1F-8BAA-041A7CDBDE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75DE2E64-86A7-4541-8358-2377EC0315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61457AD-3201-4B4D-9A45-8562B50B5D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D41E13B4-9E59-487A-B700-117DF04A11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626C3854-C617-4D69-8EBA-2CE379C189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F9813FAB-A454-4615-A19D-605301F108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<sst xmlns="http://schemas.openxmlformats.org/spreadsheetml/2006/main" count="242" uniqueCount="141">
  <si>
    <t>Campaign Name</t>
  </si>
  <si>
    <t>Each network</t>
  </si>
  <si>
    <t>Pandora</t>
  </si>
  <si>
    <t>Facebook</t>
  </si>
  <si>
    <t>Twitter</t>
  </si>
  <si>
    <t>Total</t>
  </si>
  <si>
    <t>Clicks</t>
  </si>
  <si>
    <t>Decision Variables</t>
  </si>
  <si>
    <t>Constraints</t>
  </si>
  <si>
    <t>Conversions</t>
  </si>
  <si>
    <t>Budget Allocation in Digital Marketing</t>
  </si>
  <si>
    <t xml:space="preserve">Allocated Amount </t>
  </si>
  <si>
    <t>MaxAllowableBudget</t>
  </si>
  <si>
    <t>Maximize</t>
  </si>
  <si>
    <t>Avg CPC</t>
  </si>
  <si>
    <t>≤</t>
  </si>
  <si>
    <t>MinAllowableBudget</t>
  </si>
  <si>
    <t>Grand Total</t>
  </si>
  <si>
    <t>2017-2019</t>
  </si>
  <si>
    <t>Row Labels</t>
  </si>
  <si>
    <t>Annual Budget</t>
  </si>
  <si>
    <t>Avg Clicks</t>
  </si>
  <si>
    <t>TotalConversions</t>
  </si>
  <si>
    <t>TotAmount</t>
  </si>
  <si>
    <t>CPM</t>
  </si>
  <si>
    <t>Inputs</t>
  </si>
  <si>
    <t>Calculated Quantities</t>
  </si>
  <si>
    <t>Objective to Maximize</t>
  </si>
  <si>
    <t>≥</t>
  </si>
  <si>
    <t>$B$17:$D$17,$E$28</t>
  </si>
  <si>
    <t>Input</t>
  </si>
  <si>
    <t>Allocated_Amount_1</t>
  </si>
  <si>
    <t>Allocated_Amount_2</t>
  </si>
  <si>
    <t>Allocated_Amount_3</t>
  </si>
  <si>
    <t>Data for chart</t>
  </si>
  <si>
    <t>$C$25</t>
  </si>
  <si>
    <t>Cost to Company</t>
  </si>
  <si>
    <t>Sum of Impressions</t>
  </si>
  <si>
    <t>Sum of Clicks</t>
  </si>
  <si>
    <t>Avg Impressions</t>
  </si>
  <si>
    <t>Avg CTC</t>
  </si>
  <si>
    <t>Avg CPM</t>
  </si>
  <si>
    <t>Conversion Rate</t>
  </si>
  <si>
    <t>JAN_DEC_2017_DISPLAY</t>
  </si>
  <si>
    <t>JAN_DEC_2018_DISPLAY</t>
  </si>
  <si>
    <t>JAN_DEC_2019_DISPLAY</t>
  </si>
  <si>
    <t>Key Formulas</t>
  </si>
  <si>
    <t>CPC</t>
  </si>
  <si>
    <t>CR</t>
  </si>
  <si>
    <t>Expected Clicks</t>
  </si>
  <si>
    <t>Expected Conversions</t>
  </si>
  <si>
    <t>Cost per Mile(thousand impressions)</t>
  </si>
  <si>
    <t>Budget per channel / CPC</t>
  </si>
  <si>
    <t>Average</t>
  </si>
  <si>
    <t>Expected Clicks x Conversion Rate</t>
  </si>
  <si>
    <t xml:space="preserve">Project </t>
  </si>
  <si>
    <t>Average of 3 year data is taken for the inputs</t>
  </si>
  <si>
    <t>Impressions</t>
  </si>
  <si>
    <t>JAN_DEC_2020_DISPLAY</t>
  </si>
  <si>
    <t>https://www.wordstream.com/blog/ws/2017/02/28/facebook-advertising-benchmarks</t>
  </si>
  <si>
    <t>9.21% for FB</t>
  </si>
  <si>
    <t>for other 2 channels</t>
  </si>
  <si>
    <t>Assumptions</t>
  </si>
  <si>
    <t>KRAFT_OSCARMAYER DATA</t>
  </si>
  <si>
    <t>Channel</t>
  </si>
  <si>
    <t>UserBase(millions)</t>
  </si>
  <si>
    <t>CPMThresh</t>
  </si>
  <si>
    <t>Based on web research- number of Users on that platform in ratio with Fb Conversion Rate</t>
  </si>
  <si>
    <t>Oneway analysis for Solver model in Final Model worksheet</t>
  </si>
  <si>
    <t>FBmaxCPM (cell $B$25) values along side, output cell(s) along top</t>
  </si>
  <si>
    <t>CTR</t>
  </si>
  <si>
    <t>Click through Rate</t>
  </si>
  <si>
    <t>CTC/Impressions x 100</t>
  </si>
  <si>
    <t>Conversions/Clicks x 100</t>
  </si>
  <si>
    <t>clicks/impressions x 100</t>
  </si>
  <si>
    <t>Cost per click</t>
  </si>
  <si>
    <t>Budget per channel / Clicks</t>
  </si>
  <si>
    <t>Avg CTR</t>
  </si>
  <si>
    <t>% Change</t>
  </si>
  <si>
    <t xml:space="preserve">Total </t>
  </si>
  <si>
    <t xml:space="preserve">AvgClicks </t>
  </si>
  <si>
    <t>AvgConversions</t>
  </si>
  <si>
    <t>Year</t>
  </si>
  <si>
    <t>Comparison of optimized vs previous results</t>
  </si>
  <si>
    <t>TwittermaxCPM (cell $D$25) values along side, output cell(s) along top</t>
  </si>
  <si>
    <t>PandoramaxCPM (cell $C$25) values along side, output cell(s) along top</t>
  </si>
  <si>
    <t>Max CPM</t>
  </si>
  <si>
    <t>FB</t>
  </si>
  <si>
    <t>Sensitivity Analysis Results</t>
  </si>
  <si>
    <t>Microsoft Excel 16.0 Sensitivity Report</t>
  </si>
  <si>
    <t>Worksheet: [Digital Ad Inventory.xlsx]Final Model</t>
  </si>
  <si>
    <t>Report Created: 15-05-2020 17:24:00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</si>
  <si>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</si>
  <si>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</si>
  <si>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</si>
  <si>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</si>
  <si>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</si>
  <si>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</si>
  <si>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</si>
  <si>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</si>
  <si>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</si>
  <si>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</si>
  <si>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</si>
  <si>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</si>
  <si>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</si>
  <si>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</si>
  <si>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</si>
  <si>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</si>
  <si>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$B$17</t>
  </si>
  <si>
    <t>Allocated Amount  Facebook</t>
  </si>
  <si>
    <t>$C$17</t>
  </si>
  <si>
    <t>Allocated Amount  Pandora</t>
  </si>
  <si>
    <t>$D$17</t>
  </si>
  <si>
    <t>Allocated Amount  Twitter</t>
  </si>
  <si>
    <t>$B$13</t>
  </si>
  <si>
    <t>CPM Facebook</t>
  </si>
  <si>
    <t>$C$13</t>
  </si>
  <si>
    <t>CPM Pandora</t>
  </si>
  <si>
    <t>$D$13</t>
  </si>
  <si>
    <t>CPM Twitter</t>
  </si>
  <si>
    <t>$E$17</t>
  </si>
  <si>
    <t>1.5 Avg CTC</t>
  </si>
  <si>
    <t>0.5 Avg CTC</t>
  </si>
  <si>
    <t>$C$9</t>
  </si>
  <si>
    <t>$B$9</t>
  </si>
  <si>
    <t/>
  </si>
  <si>
    <t>CR FB</t>
  </si>
  <si>
    <t>CR Pandora</t>
  </si>
  <si>
    <t>Twoway analysis for Solver model in Final Model worksheet</t>
  </si>
  <si>
    <t>CR FB (cell $B$9) values along side, CR Pandora (cell $C$9) values along top, output cell in corner</t>
  </si>
  <si>
    <t>Output and CR FB value for chart</t>
  </si>
  <si>
    <t>Output</t>
  </si>
  <si>
    <t>CR FB value</t>
  </si>
  <si>
    <t>Output and CR Pandora value for chart</t>
  </si>
  <si>
    <t>CR Pandora value</t>
  </si>
  <si>
    <t>CR FB (cell $B$9) values along side, output cell(s) along top</t>
  </si>
  <si>
    <t>FB TotConv</t>
  </si>
  <si>
    <t>PandoraTotConv</t>
  </si>
  <si>
    <t>CR Range</t>
  </si>
  <si>
    <t xml:space="preserve">1. 1 way table for conversions vs CPM range of every publishing site </t>
  </si>
  <si>
    <t>2. 2 way table results for conversions vs CR range of FB and Pandora, keeping twitter 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</si>
</sst>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164" formatCode="0.000"/>
    <numFmt numFmtId="165" formatCode="0.0000"/>
    <numFmt numFmtId="166" formatCode="_-&quot;$&quot;* #,##0_-;\-&quot;$&quot;* #,##0_-;_-&quot;$&quot;* &quot;-&quot;??_-;_-@_-"/>
    <numFmt numFmtId="167" formatCode="&quot;$&quot;#,##0.000;[Red]\-&quot;$&quot;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9">
    <xf numFmtId="0" fontId="0" fillId="0" borderId="0"/>
    <xf numFmtId="0" fontId="1" fillId="5" borderId="0" applyNumberFormat="0" applyFont="0" applyBorder="0" applyAlignment="0" applyProtection="0">
      <alignment horizontal="center"/>
    </xf>
    <xf numFmtId="0" fontId="4" fillId="4" borderId="1" applyNumberFormat="0" applyFont="0" applyAlignment="0" applyProtection="0">
      <alignment horizontal="center"/>
    </xf>
    <xf numFmtId="0" fontId="1" fillId="0" borderId="0" applyNumberFormat="0" applyFont="0" applyFill="0" applyBorder="0" applyAlignment="0" applyProtection="0">
      <alignment horizontal="center"/>
    </xf>
    <xf numFmtId="0" fontId="3" fillId="3" borderId="0" applyNumberFormat="0" applyFont="0" applyAlignment="0" applyProtection="0">
      <alignment horizontal="center"/>
    </xf>
    <xf numFmtId="0" fontId="2" fillId="2" borderId="0" applyNumberFormat="0" applyFont="0" applyAlignment="0" applyProtection="0">
      <alignment horizontal="center"/>
    </xf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44" fontId="0" fillId="0" borderId="0" xfId="6" applyFont="1" applyAlignment="1">
      <alignment horizontal="center"/>
    </xf>
    <xf numFmtId="164" fontId="0" fillId="5" borderId="0" xfId="1" applyNumberFormat="1" applyFont="1" applyAlignment="1">
      <alignment horizontal="center"/>
    </xf>
    <xf numFmtId="165" fontId="0" fillId="5" borderId="0" xfId="1" applyNumberFormat="1" applyFont="1" applyAlignment="1">
      <alignment horizontal="center"/>
    </xf>
    <xf numFmtId="166" fontId="0" fillId="0" borderId="0" xfId="6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7" borderId="0" xfId="0" applyFill="1" applyAlignment="1">
      <alignment horizontal="right" textRotation="90"/>
    </xf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Fill="1"/>
    <xf numFmtId="1" fontId="5" fillId="0" borderId="0" xfId="0" applyNumberFormat="1" applyFont="1" applyFill="1"/>
    <xf numFmtId="1" fontId="0" fillId="0" borderId="0" xfId="0" applyNumberFormat="1" applyFill="1"/>
    <xf numFmtId="2" fontId="0" fillId="0" borderId="0" xfId="0" applyNumberFormat="1" applyFill="1"/>
    <xf numFmtId="44" fontId="0" fillId="0" borderId="0" xfId="0" applyNumberFormat="1" applyFill="1"/>
    <xf numFmtId="1" fontId="0" fillId="0" borderId="0" xfId="0" applyNumberFormat="1" applyFont="1" applyFill="1"/>
    <xf numFmtId="164" fontId="0" fillId="0" borderId="0" xfId="0" applyNumberFormat="1" applyFill="1"/>
    <xf numFmtId="6" fontId="0" fillId="0" borderId="0" xfId="0" applyNumberFormat="1" applyAlignment="1">
      <alignment horizontal="center"/>
    </xf>
    <xf numFmtId="6" fontId="5" fillId="0" borderId="0" xfId="0" applyNumberFormat="1" applyFont="1" applyAlignment="1">
      <alignment horizontal="center"/>
    </xf>
    <xf numFmtId="6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3" fontId="5" fillId="6" borderId="0" xfId="0" applyNumberFormat="1" applyFont="1" applyFill="1" applyAlignment="1">
      <alignment horizontal="center"/>
    </xf>
    <xf numFmtId="3" fontId="0" fillId="0" borderId="0" xfId="0" applyNumberFormat="1" applyFill="1"/>
    <xf numFmtId="3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5" fillId="0" borderId="0" xfId="0" applyFont="1" applyFill="1" applyAlignment="1">
      <alignment horizontal="left"/>
    </xf>
    <xf numFmtId="0" fontId="9" fillId="0" borderId="0" xfId="7"/>
    <xf numFmtId="6" fontId="0" fillId="5" borderId="0" xfId="1" applyNumberFormat="1" applyFont="1" applyAlignment="1"/>
    <xf numFmtId="6" fontId="0" fillId="0" borderId="0" xfId="0" applyNumberFormat="1" applyAlignment="1">
      <alignment horizontal="left"/>
    </xf>
    <xf numFmtId="3" fontId="0" fillId="5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6" fontId="0" fillId="5" borderId="0" xfId="1" applyNumberFormat="1" applyFont="1" applyAlignment="1">
      <alignment horizontal="center"/>
    </xf>
    <xf numFmtId="8" fontId="0" fillId="5" borderId="0" xfId="1" applyNumberFormat="1" applyFont="1" applyAlignment="1">
      <alignment horizontal="center"/>
    </xf>
    <xf numFmtId="6" fontId="0" fillId="3" borderId="0" xfId="4" applyNumberFormat="1" applyFont="1" applyAlignment="1">
      <alignment horizontal="center"/>
    </xf>
    <xf numFmtId="167" fontId="0" fillId="5" borderId="0" xfId="1" applyNumberFormat="1" applyFont="1" applyAlignment="1">
      <alignment horizontal="center"/>
    </xf>
    <xf numFmtId="8" fontId="0" fillId="0" borderId="0" xfId="0" applyNumberFormat="1"/>
    <xf numFmtId="3" fontId="0" fillId="4" borderId="1" xfId="2" applyNumberFormat="1" applyFont="1" applyAlignment="1">
      <alignment horizontal="center"/>
    </xf>
    <xf numFmtId="6" fontId="0" fillId="0" borderId="2" xfId="0" applyNumberFormat="1" applyBorder="1"/>
    <xf numFmtId="6" fontId="0" fillId="0" borderId="3" xfId="0" applyNumberFormat="1" applyBorder="1"/>
    <xf numFmtId="3" fontId="0" fillId="0" borderId="4" xfId="0" applyNumberFormat="1" applyBorder="1"/>
    <xf numFmtId="6" fontId="0" fillId="0" borderId="5" xfId="0" applyNumberFormat="1" applyBorder="1"/>
    <xf numFmtId="6" fontId="0" fillId="0" borderId="0" xfId="0" applyNumberFormat="1" applyBorder="1"/>
    <xf numFmtId="3" fontId="0" fillId="0" borderId="6" xfId="0" applyNumberFormat="1" applyBorder="1"/>
    <xf numFmtId="6" fontId="0" fillId="0" borderId="7" xfId="0" applyNumberFormat="1" applyBorder="1"/>
    <xf numFmtId="6" fontId="0" fillId="0" borderId="8" xfId="0" applyNumberFormat="1" applyBorder="1"/>
    <xf numFmtId="3" fontId="0" fillId="0" borderId="9" xfId="0" applyNumberFormat="1" applyBorder="1"/>
    <xf numFmtId="10" fontId="0" fillId="0" borderId="0" xfId="8" applyNumberFormat="1" applyFont="1"/>
    <xf numFmtId="3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8" applyNumberFormat="1" applyFont="1" applyAlignment="1">
      <alignment horizontal="center"/>
    </xf>
    <xf numFmtId="0" fontId="0" fillId="0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10" fontId="5" fillId="6" borderId="0" xfId="8" applyNumberFormat="1" applyFont="1" applyFill="1" applyAlignment="1">
      <alignment horizontal="center"/>
    </xf>
    <xf numFmtId="0" fontId="0" fillId="0" borderId="12" xfId="0" applyFill="1" applyBorder="1" applyAlignment="1"/>
    <xf numFmtId="0" fontId="0" fillId="0" borderId="13" xfId="0" applyFill="1" applyBorder="1" applyAlignment="1"/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7" fontId="0" fillId="0" borderId="12" xfId="0" applyNumberFormat="1" applyFill="1" applyBorder="1" applyAlignment="1"/>
    <xf numFmtId="7" fontId="0" fillId="0" borderId="13" xfId="0" applyNumberFormat="1" applyFill="1" applyBorder="1" applyAlignment="1"/>
    <xf numFmtId="164" fontId="0" fillId="0" borderId="0" xfId="0" applyNumberFormat="1"/>
    <xf numFmtId="165" fontId="0" fillId="0" borderId="0" xfId="0" applyNumberFormat="1"/>
    <xf numFmtId="0" fontId="0" fillId="8" borderId="0" xfId="0" applyFill="1"/>
    <xf numFmtId="3" fontId="0" fillId="0" borderId="2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8" xfId="0" applyNumberFormat="1" applyBorder="1"/>
    <xf numFmtId="6" fontId="0" fillId="0" borderId="4" xfId="0" applyNumberFormat="1" applyBorder="1"/>
    <xf numFmtId="6" fontId="0" fillId="0" borderId="6" xfId="0" applyNumberFormat="1" applyBorder="1"/>
    <xf numFmtId="6" fontId="0" fillId="0" borderId="9" xfId="0" applyNumberFormat="1" applyBorder="1"/>
    <xf numFmtId="1" fontId="0" fillId="0" borderId="0" xfId="0" applyNumberFormat="1"/>
    <xf numFmtId="6" fontId="0" fillId="0" borderId="0" xfId="0" applyNumberFormat="1" applyFill="1" applyBorder="1"/>
    <xf numFmtId="9" fontId="0" fillId="0" borderId="0" xfId="8" applyFont="1"/>
    <xf numFmtId="164" fontId="0" fillId="0" borderId="0" xfId="0" applyNumberFormat="1" applyAlignment="1">
      <alignment horizontal="center"/>
    </xf>
    <xf numFmtId="2" fontId="0" fillId="0" borderId="12" xfId="0" applyNumberFormat="1" applyFill="1" applyBorder="1" applyAlignment="1"/>
    <xf numFmtId="2" fontId="0" fillId="0" borderId="13" xfId="0" applyNumberFormat="1" applyFill="1" applyBorder="1" applyAlignment="1"/>
  </cellXfs>
  <cellStyles count="9">
    <cellStyle name="Calculated-DS852" xfId="3" xr:uid="{00000000-0005-0000-0000-000001000000}"/>
    <cellStyle name="Currency" xfId="6" builtinId="4"/>
    <cellStyle name="Decision-DS852" xfId="4" xr:uid="{00000000-0005-0000-0000-000002000000}"/>
    <cellStyle name="Hyperlink" xfId="7" builtinId="8"/>
    <cellStyle name="Input-DS852" xfId="1" xr:uid="{00000000-0005-0000-0000-000004000000}"/>
    <cellStyle name="Normal" xfId="0" builtinId="0"/>
    <cellStyle name="Output-DS852" xfId="2" xr:uid="{00000000-0005-0000-0000-000007000000}"/>
    <cellStyle name="Percent" xfId="8" builtinId="5"/>
    <cellStyle name="Random-DS852" xfId="5" xr:uid="{00000000-0005-0000-0000-000008000000}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Conversions</a:t>
            </a:r>
            <a:r>
              <a:rPr lang="en-IN" baseline="0"/>
              <a:t> Vs Website Publisher CPM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Comparison!$B$15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Comparison!$A$16:$A$40</c:f>
              <c:numCache>
                <c:formatCode>"$"#,##0.00_);[Red]\("$"#,##0.00\)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</c:numCache>
            </c:numRef>
          </c:cat>
          <c:val>
            <c:numRef>
              <c:f>Comparison!$B$16:$B$40</c:f>
              <c:numCache>
                <c:formatCode>General</c:formatCode>
                <c:ptCount val="25"/>
                <c:pt idx="4" formatCode="#,##0">
                  <c:v>229286.69280392086</c:v>
                </c:pt>
                <c:pt idx="5" formatCode="#,##0">
                  <c:v>243126.08348692048</c:v>
                </c:pt>
                <c:pt idx="6" formatCode="#,##0">
                  <c:v>256965.47416992011</c:v>
                </c:pt>
                <c:pt idx="7" formatCode="#,##0">
                  <c:v>270804.86485291977</c:v>
                </c:pt>
                <c:pt idx="8" formatCode="#,##0">
                  <c:v>284644.25553591939</c:v>
                </c:pt>
                <c:pt idx="9" formatCode="#,##0">
                  <c:v>298483.64621891908</c:v>
                </c:pt>
                <c:pt idx="10" formatCode="#,##0">
                  <c:v>312323.03690191865</c:v>
                </c:pt>
                <c:pt idx="11" formatCode="#,##0">
                  <c:v>326162.42758491827</c:v>
                </c:pt>
                <c:pt idx="12" formatCode="#,##0">
                  <c:v>338380.19286095432</c:v>
                </c:pt>
                <c:pt idx="13" formatCode="#,##0">
                  <c:v>338380.19286095432</c:v>
                </c:pt>
                <c:pt idx="14" formatCode="#,##0">
                  <c:v>338380.19286095432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259-9983-3F1A347F016F}"/>
            </c:ext>
          </c:extLst>
        </c:ser>
        <c:ser>
          <c:idx val="2"/>
          <c:order val="2"/>
          <c:tx>
            <c:strRef>
              <c:f>Comparison!$C$15</c:f>
              <c:strCache>
                <c:ptCount val="1"/>
                <c:pt idx="0">
                  <c:v>Pandora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Comparison!$A$16:$A$40</c:f>
              <c:numCache>
                <c:formatCode>"$"#,##0.00_);[Red]\("$"#,##0.00\)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</c:numCache>
            </c:numRef>
          </c:cat>
          <c:val>
            <c:numRef>
              <c:f>Comparison!$C$16:$C$40</c:f>
              <c:numCache>
                <c:formatCode>General</c:formatCode>
                <c:ptCount val="25"/>
                <c:pt idx="4" formatCode="#,##0">
                  <c:v>259718.63058435431</c:v>
                </c:pt>
                <c:pt idx="5" formatCode="#,##0">
                  <c:v>259880.23298459128</c:v>
                </c:pt>
                <c:pt idx="6" formatCode="#,##0">
                  <c:v>260041.83538482827</c:v>
                </c:pt>
                <c:pt idx="7" formatCode="#,##0">
                  <c:v>260203.43778506524</c:v>
                </c:pt>
                <c:pt idx="8" formatCode="#,##0">
                  <c:v>260365.04018530223</c:v>
                </c:pt>
                <c:pt idx="9" formatCode="#,##0">
                  <c:v>260526.6425855392</c:v>
                </c:pt>
                <c:pt idx="10" formatCode="#,##0">
                  <c:v>260688.24498577617</c:v>
                </c:pt>
                <c:pt idx="11" formatCode="#,##0">
                  <c:v>260849.84738601316</c:v>
                </c:pt>
                <c:pt idx="12" formatCode="#,##0">
                  <c:v>261011.44978625013</c:v>
                </c:pt>
                <c:pt idx="13" formatCode="#,##0">
                  <c:v>261145.55584611258</c:v>
                </c:pt>
                <c:pt idx="14" formatCode="#,##0">
                  <c:v>261234.31267429848</c:v>
                </c:pt>
                <c:pt idx="15" formatCode="#,##0">
                  <c:v>261323.06950248437</c:v>
                </c:pt>
                <c:pt idx="16" formatCode="#,##0">
                  <c:v>261411.82633067033</c:v>
                </c:pt>
                <c:pt idx="17" formatCode="#,##0">
                  <c:v>261500.58315885623</c:v>
                </c:pt>
                <c:pt idx="18" formatCode="#,##0">
                  <c:v>261589.33998704216</c:v>
                </c:pt>
                <c:pt idx="19" formatCode="#,##0">
                  <c:v>261678.09681522805</c:v>
                </c:pt>
                <c:pt idx="20" formatCode="#,##0">
                  <c:v>261766.85364341398</c:v>
                </c:pt>
                <c:pt idx="21" formatCode="#,##0">
                  <c:v>261855.61047159988</c:v>
                </c:pt>
                <c:pt idx="22" formatCode="#,##0">
                  <c:v>261944.36729978578</c:v>
                </c:pt>
                <c:pt idx="23" formatCode="#,##0">
                  <c:v>262033.12412797174</c:v>
                </c:pt>
                <c:pt idx="24" formatCode="#,##0">
                  <c:v>262121.88095615763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259-9983-3F1A347F016F}"/>
            </c:ext>
          </c:extLst>
        </c:ser>
        <c:ser>
          <c:idx val="3"/>
          <c:order val="3"/>
          <c:tx>
            <c:strRef>
              <c:f>Comparison!$D$15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Comparison!$A$16:$A$40</c:f>
              <c:numCache>
                <c:formatCode>"$"#,##0.00_);[Red]\("$"#,##0.00\)</c:formatCode>
                <c:ptCount val="25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  <c:pt idx="9">
                  <c:v>5.25</c:v>
                </c:pt>
                <c:pt idx="10">
                  <c:v>5.5</c:v>
                </c:pt>
                <c:pt idx="11">
                  <c:v>5.75</c:v>
                </c:pt>
                <c:pt idx="12">
                  <c:v>6</c:v>
                </c:pt>
                <c:pt idx="13">
                  <c:v>6.25</c:v>
                </c:pt>
                <c:pt idx="14">
                  <c:v>6.5</c:v>
                </c:pt>
                <c:pt idx="15">
                  <c:v>6.75</c:v>
                </c:pt>
                <c:pt idx="16">
                  <c:v>7</c:v>
                </c:pt>
                <c:pt idx="17">
                  <c:v>7.25</c:v>
                </c:pt>
                <c:pt idx="18">
                  <c:v>7.5</c:v>
                </c:pt>
                <c:pt idx="19">
                  <c:v>7.75</c:v>
                </c:pt>
                <c:pt idx="20">
                  <c:v>8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</c:v>
                </c:pt>
              </c:numCache>
            </c:numRef>
          </c:cat>
          <c:val>
            <c:numRef>
              <c:f>Comparison!$D$16:$D$40</c:f>
              <c:numCache>
                <c:formatCode>#,##0</c:formatCode>
                <c:ptCount val="25"/>
                <c:pt idx="0">
                  <c:v>260912.66327913862</c:v>
                </c:pt>
                <c:pt idx="1">
                  <c:v>261057.5566721599</c:v>
                </c:pt>
                <c:pt idx="2">
                  <c:v>261202.45006518118</c:v>
                </c:pt>
                <c:pt idx="3">
                  <c:v>261347.34345820246</c:v>
                </c:pt>
                <c:pt idx="4">
                  <c:v>261394.07489731704</c:v>
                </c:pt>
                <c:pt idx="5">
                  <c:v>261394.07489731704</c:v>
                </c:pt>
                <c:pt idx="6">
                  <c:v>261394.07489731704</c:v>
                </c:pt>
                <c:pt idx="7">
                  <c:v>261394.07489731704</c:v>
                </c:pt>
                <c:pt idx="8">
                  <c:v>261394.07489731704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259-9983-3F1A347F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33039"/>
        <c:axId val="720551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Comparison!$A$15</c15:sqref>
                        </c15:formulaRef>
                      </c:ext>
                    </c:extLst>
                    <c:strCache>
                      <c:ptCount val="1"/>
                      <c:pt idx="0">
                        <c:v>Max CPM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Comparison!$A$16:$A$40</c15:sqref>
                        </c15:formulaRef>
                      </c:ext>
                    </c:extLst>
                    <c:numCache>
                      <c:formatCode>"$"#,##0.00_);[Red]\("$"#,##0.00\)</c:formatCode>
                      <c:ptCount val="25"/>
                      <c:pt idx="0">
                        <c:v>3</c:v>
                      </c:pt>
                      <c:pt idx="1">
                        <c:v>3.25</c:v>
                      </c:pt>
                      <c:pt idx="2">
                        <c:v>3.5</c:v>
                      </c:pt>
                      <c:pt idx="3">
                        <c:v>3.75</c:v>
                      </c:pt>
                      <c:pt idx="4">
                        <c:v>4</c:v>
                      </c:pt>
                      <c:pt idx="5">
                        <c:v>4.25</c:v>
                      </c:pt>
                      <c:pt idx="6">
                        <c:v>4.5</c:v>
                      </c:pt>
                      <c:pt idx="7">
                        <c:v>4.75</c:v>
                      </c:pt>
                      <c:pt idx="8">
                        <c:v>5</c:v>
                      </c:pt>
                      <c:pt idx="9">
                        <c:v>5.25</c:v>
                      </c:pt>
                      <c:pt idx="10">
                        <c:v>5.5</c:v>
                      </c:pt>
                      <c:pt idx="11">
                        <c:v>5.75</c:v>
                      </c:pt>
                      <c:pt idx="12">
                        <c:v>6</c:v>
                      </c:pt>
                      <c:pt idx="13">
                        <c:v>6.25</c:v>
                      </c:pt>
                      <c:pt idx="14">
                        <c:v>6.5</c:v>
                      </c:pt>
                      <c:pt idx="15">
                        <c:v>6.75</c:v>
                      </c:pt>
                      <c:pt idx="16">
                        <c:v>7</c:v>
                      </c:pt>
                      <c:pt idx="17">
                        <c:v>7.25</c:v>
                      </c:pt>
                      <c:pt idx="18">
                        <c:v>7.5</c:v>
                      </c:pt>
                      <c:pt idx="19">
                        <c:v>7.75</c:v>
                      </c:pt>
                      <c:pt idx="20">
                        <c:v>8</c:v>
                      </c:pt>
                      <c:pt idx="21">
                        <c:v>8.25</c:v>
                      </c:pt>
                      <c:pt idx="22">
                        <c:v>8.5</c:v>
                      </c:pt>
                      <c:pt idx="23">
                        <c:v>8.75</c:v>
                      </c:pt>
                      <c:pt idx="24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Comparison!$A$16:$A$40</c15:sqref>
                        </c15:formulaRef>
                      </c:ext>
                    </c:extLst>
                    <c:numCache>
                      <c:formatCode>"$"#,##0.00_);[Red]\("$"#,##0.00\)</c:formatCode>
                      <c:ptCount val="25"/>
                      <c:pt idx="0">
                        <c:v>3</c:v>
                      </c:pt>
                      <c:pt idx="1">
                        <c:v>3.25</c:v>
                      </c:pt>
                      <c:pt idx="2">
                        <c:v>3.5</c:v>
                      </c:pt>
                      <c:pt idx="3">
                        <c:v>3.75</c:v>
                      </c:pt>
                      <c:pt idx="4">
                        <c:v>4</c:v>
                      </c:pt>
                      <c:pt idx="5">
                        <c:v>4.25</c:v>
                      </c:pt>
                      <c:pt idx="6">
                        <c:v>4.5</c:v>
                      </c:pt>
                      <c:pt idx="7">
                        <c:v>4.75</c:v>
                      </c:pt>
                      <c:pt idx="8">
                        <c:v>5</c:v>
                      </c:pt>
                      <c:pt idx="9">
                        <c:v>5.25</c:v>
                      </c:pt>
                      <c:pt idx="10">
                        <c:v>5.5</c:v>
                      </c:pt>
                      <c:pt idx="11">
                        <c:v>5.75</c:v>
                      </c:pt>
                      <c:pt idx="12">
                        <c:v>6</c:v>
                      </c:pt>
                      <c:pt idx="13">
                        <c:v>6.25</c:v>
                      </c:pt>
                      <c:pt idx="14">
                        <c:v>6.5</c:v>
                      </c:pt>
                      <c:pt idx="15">
                        <c:v>6.75</c:v>
                      </c:pt>
                      <c:pt idx="16">
                        <c:v>7</c:v>
                      </c:pt>
                      <c:pt idx="17">
                        <c:v>7.25</c:v>
                      </c:pt>
                      <c:pt idx="18">
                        <c:v>7.5</c:v>
                      </c:pt>
                      <c:pt idx="19">
                        <c:v>7.75</c:v>
                      </c:pt>
                      <c:pt idx="20">
                        <c:v>8</c:v>
                      </c:pt>
                      <c:pt idx="21">
                        <c:v>8.25</c:v>
                      </c:pt>
                      <c:pt idx="22">
                        <c:v>8.5</c:v>
                      </c:pt>
                      <c:pt idx="23">
                        <c:v>8.75</c:v>
                      </c:pt>
                      <c:pt idx="24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F6-4259-9983-3F1A347F016F}"/>
                  </c:ext>
                </c:extLst>
              </c15:ser>
            </c15:filteredLineSeries>
          </c:ext>
        </c:extLst>
      </c:lineChart>
      <c:catAx>
        <c:axId val="9674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51871"/>
        <c:crosses val="autoZero"/>
        <c:auto val="1"/>
        <c:lblAlgn val="ctr"/>
        <c:lblOffset val="100"/>
        <c:noMultiLvlLbl val="0"/>
      </c:catAx>
      <c:valAx>
        <c:axId val="720551871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Conversions</a:t>
                </a:r>
              </a:p>
            </c:rich>
          </c:tx>
          <c:layout>
            <c:manualLayout>
              <c:xMode val="edge"/>
              <c:yMode val="edge"/>
              <c:x val="4.2839657282741736E-2"/>
              <c:y val="0.36806491592299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33039"/>
        <c:crosses val="autoZero"/>
        <c:crossBetween val="between"/>
        <c:majorUnit val="10000"/>
        <c:dispUnits>
          <c:builtInUnit val="thousands"/>
          <c:dispUnitsLbl>
            <c:layout>
              <c:manualLayout>
                <c:xMode val="edge"/>
                <c:yMode val="edge"/>
                <c:x val="4.3257934251486621E-2"/>
                <c:y val="0.2253438439805203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way FB CPM'!$K$1</c:f>
          <c:strCache>
            <c:ptCount val="1"/>
            <c:pt idx="0">
              <c:v>Sensitivity of TotalConversions to FBmaxCPM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 way FB CPM'!$A$5:$A$15</c:f>
              <c:numCache>
                <c:formatCode>"$"#,##0.00_);[Red]\("$"#,##0.00\)</c:formatCode>
                <c:ptCount val="1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</c:numCache>
            </c:numRef>
          </c:cat>
          <c:val>
            <c:numRef>
              <c:f>'1 way FB CPM'!$K$5:$K$15</c:f>
              <c:numCache>
                <c:formatCode>General</c:formatCode>
                <c:ptCount val="11"/>
                <c:pt idx="0">
                  <c:v>229286.69280392086</c:v>
                </c:pt>
                <c:pt idx="1">
                  <c:v>243126.08348692048</c:v>
                </c:pt>
                <c:pt idx="2">
                  <c:v>256965.47416992011</c:v>
                </c:pt>
                <c:pt idx="3">
                  <c:v>270804.86485291977</c:v>
                </c:pt>
                <c:pt idx="4">
                  <c:v>284644.25553591939</c:v>
                </c:pt>
                <c:pt idx="5">
                  <c:v>298483.64621891908</c:v>
                </c:pt>
                <c:pt idx="6">
                  <c:v>312323.03690191865</c:v>
                </c:pt>
                <c:pt idx="7">
                  <c:v>326162.42758491827</c:v>
                </c:pt>
                <c:pt idx="8">
                  <c:v>338380.19286095432</c:v>
                </c:pt>
                <c:pt idx="9">
                  <c:v>338380.19286095432</c:v>
                </c:pt>
                <c:pt idx="10">
                  <c:v>338380.19286095432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A-4662-9AB1-5FB17818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34351"/>
        <c:axId val="960112079"/>
      </c:lineChart>
      <c:catAx>
        <c:axId val="96953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FBmaxCPM ($B$25)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60112079"/>
        <c:crosses val="autoZero"/>
        <c:auto val="1"/>
        <c:lblAlgn val="ctr"/>
        <c:lblOffset val="100"/>
        <c:noMultiLvlLbl val="0"/>
      </c:catAx>
      <c:valAx>
        <c:axId val="960112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53435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way Pandora CPM'!$K$1</c:f>
          <c:strCache>
            <c:ptCount val="1"/>
            <c:pt idx="0">
              <c:v>Sensitivity of TotalConversions to PandoramaxCPM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 way Pandora CPM'!$A$5:$A$25</c:f>
              <c:numCache>
                <c:formatCode>"$"#,##0.00_);[Red]\("$"#,##0.00\)</c:formatCode>
                <c:ptCount val="21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  <c:pt idx="13">
                  <c:v>7.25</c:v>
                </c:pt>
                <c:pt idx="14">
                  <c:v>7.5</c:v>
                </c:pt>
                <c:pt idx="15">
                  <c:v>7.75</c:v>
                </c:pt>
                <c:pt idx="16">
                  <c:v>8</c:v>
                </c:pt>
                <c:pt idx="17">
                  <c:v>8.25</c:v>
                </c:pt>
                <c:pt idx="18">
                  <c:v>8.5</c:v>
                </c:pt>
                <c:pt idx="19">
                  <c:v>8.75</c:v>
                </c:pt>
                <c:pt idx="20">
                  <c:v>9</c:v>
                </c:pt>
              </c:numCache>
            </c:numRef>
          </c:cat>
          <c:val>
            <c:numRef>
              <c:f>'1 way Pandora CPM'!$K$5:$K$25</c:f>
              <c:numCache>
                <c:formatCode>General</c:formatCode>
                <c:ptCount val="21"/>
                <c:pt idx="0">
                  <c:v>259718.63058435431</c:v>
                </c:pt>
                <c:pt idx="1">
                  <c:v>259880.23298459128</c:v>
                </c:pt>
                <c:pt idx="2">
                  <c:v>260041.83538482827</c:v>
                </c:pt>
                <c:pt idx="3">
                  <c:v>260203.43778506524</c:v>
                </c:pt>
                <c:pt idx="4">
                  <c:v>260365.04018530223</c:v>
                </c:pt>
                <c:pt idx="5">
                  <c:v>260526.6425855392</c:v>
                </c:pt>
                <c:pt idx="6">
                  <c:v>260688.24498577617</c:v>
                </c:pt>
                <c:pt idx="7">
                  <c:v>260849.84738601316</c:v>
                </c:pt>
                <c:pt idx="8">
                  <c:v>261011.44978625013</c:v>
                </c:pt>
                <c:pt idx="9">
                  <c:v>261145.55584611258</c:v>
                </c:pt>
                <c:pt idx="10">
                  <c:v>261234.31267429848</c:v>
                </c:pt>
                <c:pt idx="11">
                  <c:v>261323.06950248437</c:v>
                </c:pt>
                <c:pt idx="12">
                  <c:v>261411.82633067033</c:v>
                </c:pt>
                <c:pt idx="13">
                  <c:v>261500.58315885623</c:v>
                </c:pt>
                <c:pt idx="14">
                  <c:v>261589.33998704216</c:v>
                </c:pt>
                <c:pt idx="15">
                  <c:v>261678.09681522805</c:v>
                </c:pt>
                <c:pt idx="16">
                  <c:v>261766.85364341398</c:v>
                </c:pt>
                <c:pt idx="17">
                  <c:v>261855.61047159988</c:v>
                </c:pt>
                <c:pt idx="18">
                  <c:v>261944.36729978578</c:v>
                </c:pt>
                <c:pt idx="19">
                  <c:v>262033.12412797174</c:v>
                </c:pt>
                <c:pt idx="20">
                  <c:v>262121.88095615763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6-4A44-A695-89F9FCC8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77119"/>
        <c:axId val="960109167"/>
      </c:lineChart>
      <c:catAx>
        <c:axId val="78247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PandoramaxCPM ($C$25)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960109167"/>
        <c:crosses val="autoZero"/>
        <c:auto val="1"/>
        <c:lblAlgn val="ctr"/>
        <c:lblOffset val="100"/>
        <c:noMultiLvlLbl val="0"/>
      </c:catAx>
      <c:valAx>
        <c:axId val="9601091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4771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way Twitter CPM'!$K$1</c:f>
          <c:strCache>
            <c:ptCount val="1"/>
            <c:pt idx="0">
              <c:v>Sensitivity of TotalConversions to TwittermaxCPM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 way Twitter CPM'!$A$5:$A$13</c:f>
              <c:numCache>
                <c:formatCode>"$"#,##0.00_);[Red]\("$"#,##0.00\)</c:formatCode>
                <c:ptCount val="9"/>
                <c:pt idx="0">
                  <c:v>3</c:v>
                </c:pt>
                <c:pt idx="1">
                  <c:v>3.25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5">
                  <c:v>4.25</c:v>
                </c:pt>
                <c:pt idx="6">
                  <c:v>4.5</c:v>
                </c:pt>
                <c:pt idx="7">
                  <c:v>4.75</c:v>
                </c:pt>
                <c:pt idx="8">
                  <c:v>5</c:v>
                </c:pt>
              </c:numCache>
            </c:numRef>
          </c:cat>
          <c:val>
            <c:numRef>
              <c:f>'1 way Twitter CPM'!$K$5:$K$13</c:f>
              <c:numCache>
                <c:formatCode>General</c:formatCode>
                <c:ptCount val="9"/>
                <c:pt idx="0">
                  <c:v>260912.66327913862</c:v>
                </c:pt>
                <c:pt idx="1">
                  <c:v>261057.5566721599</c:v>
                </c:pt>
                <c:pt idx="2">
                  <c:v>261202.45006518118</c:v>
                </c:pt>
                <c:pt idx="3">
                  <c:v>261347.34345820246</c:v>
                </c:pt>
                <c:pt idx="4">
                  <c:v>261394.07489731704</c:v>
                </c:pt>
                <c:pt idx="5">
                  <c:v>261394.07489731704</c:v>
                </c:pt>
                <c:pt idx="6">
                  <c:v>261394.07489731704</c:v>
                </c:pt>
                <c:pt idx="7">
                  <c:v>261394.07489731704</c:v>
                </c:pt>
                <c:pt idx="8">
                  <c:v>261394.07489731704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439C-9D59-6BB06570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7407"/>
        <c:axId val="2074482175"/>
      </c:lineChart>
      <c:catAx>
        <c:axId val="10189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TwittermaxCPM ($D$25)</a:t>
                </a:r>
              </a:p>
            </c:rich>
          </c:tx>
          <c:overlay val="0"/>
        </c:title>
        <c:numFmt formatCode="&quot;$&quot;#,##0.00_);[Red]\(&quot;$&quot;#,##0.00\)" sourceLinked="1"/>
        <c:majorTickMark val="out"/>
        <c:minorTickMark val="none"/>
        <c:tickLblPos val="nextTo"/>
        <c:crossAx val="2074482175"/>
        <c:crosses val="autoZero"/>
        <c:auto val="1"/>
        <c:lblAlgn val="ctr"/>
        <c:lblOffset val="100"/>
        <c:noMultiLvlLbl val="0"/>
      </c:catAx>
      <c:valAx>
        <c:axId val="20744821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974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'Sensitivity 2way FB Pandora'!$M$1</c:f>
          <c:strCache>
            <c:ptCount val="1"/>
            <c:pt idx="0">
              <c:v>Sensitivity of TotalConversions to CR Pandora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'Sensitivity 2way FB Pandora'!$B$4:$K$4</c:f>
              <c:numCache>
                <c:formatCode>0.000</c:formatCode>
                <c:ptCount val="10"/>
                <c:pt idx="0">
                  <c:v>4.999999888241291E-3</c:v>
                </c:pt>
                <c:pt idx="1">
                  <c:v>9.9999997764825821E-3</c:v>
                </c:pt>
                <c:pt idx="2">
                  <c:v>1.4999999664723873E-2</c:v>
                </c:pt>
                <c:pt idx="3">
                  <c:v>1.9999999552965164E-2</c:v>
                </c:pt>
                <c:pt idx="4">
                  <c:v>2.4999998509883881E-2</c:v>
                </c:pt>
                <c:pt idx="5">
                  <c:v>2.9999999329447746E-2</c:v>
                </c:pt>
                <c:pt idx="6">
                  <c:v>3.5000000149011612E-2</c:v>
                </c:pt>
                <c:pt idx="7">
                  <c:v>3.9999999105930328E-2</c:v>
                </c:pt>
                <c:pt idx="8">
                  <c:v>4.4999998062849045E-2</c:v>
                </c:pt>
                <c:pt idx="9">
                  <c:v>4.9999997019767761E-2</c:v>
                </c:pt>
              </c:numCache>
            </c:numRef>
          </c:cat>
          <c:val>
            <c:numRef>
              <c:f>'Sensitivity 2way FB Pandora'!$M$5:$M$14</c:f>
              <c:numCache>
                <c:formatCode>0</c:formatCode>
                <c:ptCount val="10"/>
                <c:pt idx="0">
                  <c:v>16963.992567908012</c:v>
                </c:pt>
                <c:pt idx="1">
                  <c:v>17650.03763039269</c:v>
                </c:pt>
                <c:pt idx="2">
                  <c:v>18370.214566635568</c:v>
                </c:pt>
                <c:pt idx="3">
                  <c:v>19144.791549890557</c:v>
                </c:pt>
                <c:pt idx="4">
                  <c:v>19919.368388869338</c:v>
                </c:pt>
                <c:pt idx="5">
                  <c:v>20693.945516400534</c:v>
                </c:pt>
                <c:pt idx="6">
                  <c:v>21468.52264393173</c:v>
                </c:pt>
                <c:pt idx="7">
                  <c:v>22243.099482910511</c:v>
                </c:pt>
                <c:pt idx="8">
                  <c:v>23017.676321889288</c:v>
                </c:pt>
                <c:pt idx="9">
                  <c:v>23792.253160868069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F-4E05-8819-1BAC39EE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208000"/>
        <c:axId val="1301113792"/>
      </c:lineChart>
      <c:catAx>
        <c:axId val="14112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 Pandora ($C$9)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01113792"/>
        <c:crosses val="autoZero"/>
        <c:auto val="1"/>
        <c:lblAlgn val="ctr"/>
        <c:lblOffset val="100"/>
        <c:noMultiLvlLbl val="0"/>
      </c:catAx>
      <c:valAx>
        <c:axId val="13011137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112080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'Sensitivity 2way FB Pandora'!$Q$1</c:f>
          <c:strCache>
            <c:ptCount val="1"/>
            <c:pt idx="0">
              <c:v>Sensitivity of TotalConversions to CR FB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'Sensitivity 2way FB Pandora'!$A$5:$A$14</c:f>
              <c:numCache>
                <c:formatCode>0.0000</c:formatCode>
                <c:ptCount val="10"/>
                <c:pt idx="0">
                  <c:v>4.999999888241291E-3</c:v>
                </c:pt>
                <c:pt idx="1">
                  <c:v>9.9999997764825821E-3</c:v>
                </c:pt>
                <c:pt idx="2">
                  <c:v>1.4999999664723873E-2</c:v>
                </c:pt>
                <c:pt idx="3">
                  <c:v>1.9999999552965164E-2</c:v>
                </c:pt>
                <c:pt idx="4">
                  <c:v>2.4999998509883881E-2</c:v>
                </c:pt>
                <c:pt idx="5">
                  <c:v>2.9999999329447746E-2</c:v>
                </c:pt>
                <c:pt idx="6">
                  <c:v>3.5000000149011612E-2</c:v>
                </c:pt>
                <c:pt idx="7">
                  <c:v>3.9999999105930328E-2</c:v>
                </c:pt>
                <c:pt idx="8">
                  <c:v>4.4999998062849045E-2</c:v>
                </c:pt>
                <c:pt idx="9">
                  <c:v>4.9999997019767761E-2</c:v>
                </c:pt>
              </c:numCache>
            </c:numRef>
          </c:cat>
          <c:val>
            <c:numRef>
              <c:f>'Sensitivity 2way FB Pandora'!$Q$5:$Q$14</c:f>
              <c:numCache>
                <c:formatCode>0</c:formatCode>
                <c:ptCount val="10"/>
                <c:pt idx="0">
                  <c:v>16963.992567908012</c:v>
                </c:pt>
                <c:pt idx="1">
                  <c:v>30790.343831046735</c:v>
                </c:pt>
                <c:pt idx="2">
                  <c:v>44616.695094185459</c:v>
                </c:pt>
                <c:pt idx="3">
                  <c:v>58443.046357324187</c:v>
                </c:pt>
                <c:pt idx="4">
                  <c:v>72269.395045104233</c:v>
                </c:pt>
                <c:pt idx="5">
                  <c:v>86095.748883601627</c:v>
                </c:pt>
                <c:pt idx="6">
                  <c:v>99922.102722099022</c:v>
                </c:pt>
                <c:pt idx="7">
                  <c:v>113748.45140987908</c:v>
                </c:pt>
                <c:pt idx="8">
                  <c:v>127574.80009765914</c:v>
                </c:pt>
                <c:pt idx="9">
                  <c:v>141401.1487854392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C-4AAB-A293-942F4D29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206400"/>
        <c:axId val="1301099232"/>
      </c:lineChart>
      <c:catAx>
        <c:axId val="14112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 FB ($B$9)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01099232"/>
        <c:crosses val="autoZero"/>
        <c:auto val="1"/>
        <c:lblAlgn val="ctr"/>
        <c:lblOffset val="100"/>
        <c:noMultiLvlLbl val="0"/>
      </c:catAx>
      <c:valAx>
        <c:axId val="1301099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112064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way CR FB'!$K$1</c:f>
          <c:strCache>
            <c:ptCount val="1"/>
            <c:pt idx="0">
              <c:v>Sensitivity of TotalConversions to CR FB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 way CR FB'!$A$5:$A$14</c:f>
              <c:numCache>
                <c:formatCode>0.0000</c:formatCode>
                <c:ptCount val="10"/>
                <c:pt idx="0">
                  <c:v>4.999999888241291E-3</c:v>
                </c:pt>
                <c:pt idx="1">
                  <c:v>9.9999997764825821E-3</c:v>
                </c:pt>
                <c:pt idx="2">
                  <c:v>1.4999999664723873E-2</c:v>
                </c:pt>
                <c:pt idx="3">
                  <c:v>1.9999999552965164E-2</c:v>
                </c:pt>
                <c:pt idx="4">
                  <c:v>2.4999998509883881E-2</c:v>
                </c:pt>
                <c:pt idx="5">
                  <c:v>2.9999999329447746E-2</c:v>
                </c:pt>
                <c:pt idx="6">
                  <c:v>3.5000000149011612E-2</c:v>
                </c:pt>
                <c:pt idx="7">
                  <c:v>3.9999999105930328E-2</c:v>
                </c:pt>
                <c:pt idx="8">
                  <c:v>4.4999998062849045E-2</c:v>
                </c:pt>
                <c:pt idx="9">
                  <c:v>4.9999997019767761E-2</c:v>
                </c:pt>
              </c:numCache>
            </c:numRef>
          </c:cat>
          <c:val>
            <c:numRef>
              <c:f>'1 way CR FB'!$K$5:$K$14</c:f>
              <c:numCache>
                <c:formatCode>General</c:formatCode>
                <c:ptCount val="10"/>
                <c:pt idx="0">
                  <c:v>20539.030090894295</c:v>
                </c:pt>
                <c:pt idx="1">
                  <c:v>34365.381354033016</c:v>
                </c:pt>
                <c:pt idx="2">
                  <c:v>48191.732617171743</c:v>
                </c:pt>
                <c:pt idx="3">
                  <c:v>62018.083880310471</c:v>
                </c:pt>
                <c:pt idx="4">
                  <c:v>75844.432568090531</c:v>
                </c:pt>
                <c:pt idx="5">
                  <c:v>89670.786406587926</c:v>
                </c:pt>
                <c:pt idx="6">
                  <c:v>103497.14024508532</c:v>
                </c:pt>
                <c:pt idx="7">
                  <c:v>117323.48893286538</c:v>
                </c:pt>
                <c:pt idx="8">
                  <c:v>131149.83762064544</c:v>
                </c:pt>
                <c:pt idx="9">
                  <c:v>144976.18630842547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8-4DBA-B798-29D43952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866560"/>
        <c:axId val="1753202640"/>
      </c:lineChart>
      <c:catAx>
        <c:axId val="14168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 FB ($B$9)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753202640"/>
        <c:crosses val="autoZero"/>
        <c:auto val="1"/>
        <c:lblAlgn val="ctr"/>
        <c:lblOffset val="100"/>
        <c:noMultiLvlLbl val="0"/>
      </c:catAx>
      <c:valAx>
        <c:axId val="175320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6866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206376</xdr:colOff>
      <xdr:row>15</xdr:row>
      <xdr:rowOff>67309</xdr:rowOff>
    </xdr:from>
    <xdr:to>
      <xdr:col>2</xdr:col>
      <xdr:colOff>120650</xdr:colOff>
      <xdr:row>17</xdr:row>
      <xdr:rowOff>175260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0711D6F-4495-486B-84A8-4869637CC143}"/>
            </a:ext>
          </a:extLst>
        </xdr:cNvPr>
        <xdr:cNvSpPr txBox="1"/>
      </xdr:nvSpPr>
      <xdr:spPr>
        <a:xfrm>
          <a:off x="206376" y="2810509"/>
          <a:ext cx="1499234" cy="4737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Impressions</a:t>
          </a:r>
        </a:p>
        <a:p>
          <a:pPr algn="ctr"/>
          <a:r>
            <a:rPr lang="en-US" sz="900" b="1" baseline="0"/>
            <a:t>(Number)</a:t>
          </a:r>
          <a:endParaRPr lang="en-US" sz="900" b="1"/>
        </a:p>
      </xdr:txBody>
    </xdr:sp>
    <xdr:clientData/>
  </xdr:twoCellAnchor>
  <xdr:twoCellAnchor>
    <xdr:from>
      <xdr:col>0</xdr:col>
      <xdr:colOff>206376</xdr:colOff>
      <xdr:row>9</xdr:row>
      <xdr:rowOff>40639</xdr:rowOff>
    </xdr:from>
    <xdr:to>
      <xdr:col>2</xdr:col>
      <xdr:colOff>120650</xdr:colOff>
      <xdr:row>11</xdr:row>
      <xdr:rowOff>148590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1657207-3A99-4CFD-83BC-566E981F0109}"/>
            </a:ext>
          </a:extLst>
        </xdr:cNvPr>
        <xdr:cNvSpPr txBox="1"/>
      </xdr:nvSpPr>
      <xdr:spPr>
        <a:xfrm>
          <a:off x="206376" y="1686559"/>
          <a:ext cx="1499234" cy="4737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Indivdual Budget </a:t>
          </a:r>
          <a:r>
            <a:rPr lang="en-US" sz="900" b="1" baseline="0"/>
            <a:t>(Dollars)</a:t>
          </a:r>
        </a:p>
        <a:p>
          <a:pPr algn="ctr"/>
          <a:r>
            <a:rPr lang="en-US" sz="900" b="1" baseline="0"/>
            <a:t>Lower lim 0.5 and upper 1.5 times avg individual budget </a:t>
          </a:r>
          <a:endParaRPr lang="en-US" sz="900" b="1"/>
        </a:p>
      </xdr:txBody>
    </xdr:sp>
    <xdr:clientData/>
  </xdr:twoCellAnchor>
  <xdr:twoCellAnchor>
    <xdr:from>
      <xdr:col>0</xdr:col>
      <xdr:colOff>198756</xdr:colOff>
      <xdr:row>19</xdr:row>
      <xdr:rowOff>63499</xdr:rowOff>
    </xdr:from>
    <xdr:to>
      <xdr:col>2</xdr:col>
      <xdr:colOff>113030</xdr:colOff>
      <xdr:row>21</xdr:row>
      <xdr:rowOff>171450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E686375-7C5A-4290-9C6B-5A6353A969DC}"/>
            </a:ext>
          </a:extLst>
        </xdr:cNvPr>
        <xdr:cNvSpPr txBox="1"/>
      </xdr:nvSpPr>
      <xdr:spPr>
        <a:xfrm>
          <a:off x="198756" y="3538219"/>
          <a:ext cx="1499234" cy="4737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CPM Threshold</a:t>
          </a:r>
        </a:p>
        <a:p>
          <a:pPr algn="ctr"/>
          <a:r>
            <a:rPr lang="en-US" sz="900" b="1" baseline="0"/>
            <a:t>(Dollars)</a:t>
          </a:r>
          <a:endParaRPr lang="en-US" sz="900" b="1"/>
        </a:p>
      </xdr:txBody>
    </xdr:sp>
    <xdr:clientData/>
  </xdr:twoCellAnchor>
  <xdr:twoCellAnchor>
    <xdr:from>
      <xdr:col>3</xdr:col>
      <xdr:colOff>549276</xdr:colOff>
      <xdr:row>9</xdr:row>
      <xdr:rowOff>71119</xdr:rowOff>
    </xdr:from>
    <xdr:to>
      <xdr:col>5</xdr:col>
      <xdr:colOff>463550</xdr:colOff>
      <xdr:row>11</xdr:row>
      <xdr:rowOff>179070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594B4B-8043-4B86-B0F2-56A596E23C89}"/>
            </a:ext>
          </a:extLst>
        </xdr:cNvPr>
        <xdr:cNvSpPr txBox="1"/>
      </xdr:nvSpPr>
      <xdr:spPr>
        <a:xfrm>
          <a:off x="2926716" y="1717039"/>
          <a:ext cx="1499234" cy="473711"/>
        </a:xfrm>
        <a:prstGeom prst="rect">
          <a:avLst/>
        </a:prstGeom>
        <a:solidFill>
          <a:srgbClr val="FF9999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Allocated Amount</a:t>
          </a:r>
        </a:p>
        <a:p>
          <a:pPr algn="ctr"/>
          <a:r>
            <a:rPr lang="en-US" sz="900" b="1" baseline="0"/>
            <a:t>(Dollars)</a:t>
          </a:r>
          <a:endParaRPr lang="en-US" sz="900" b="1"/>
        </a:p>
      </xdr:txBody>
    </xdr:sp>
    <xdr:clientData/>
  </xdr:twoCellAnchor>
  <xdr:twoCellAnchor>
    <xdr:from>
      <xdr:col>3</xdr:col>
      <xdr:colOff>541656</xdr:colOff>
      <xdr:row>16</xdr:row>
      <xdr:rowOff>29209</xdr:rowOff>
    </xdr:from>
    <xdr:to>
      <xdr:col>5</xdr:col>
      <xdr:colOff>455930</xdr:colOff>
      <xdr:row>19</xdr:row>
      <xdr:rowOff>30480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A8C33CB-1B0B-44FB-A475-09FAD1612F17}"/>
            </a:ext>
          </a:extLst>
        </xdr:cNvPr>
        <xdr:cNvSpPr txBox="1"/>
      </xdr:nvSpPr>
      <xdr:spPr>
        <a:xfrm>
          <a:off x="2919096" y="2955289"/>
          <a:ext cx="1499234" cy="549911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Cost per Mile </a:t>
          </a:r>
          <a:r>
            <a:rPr lang="en-US" sz="900" b="1" baseline="0"/>
            <a:t>(Dollars)</a:t>
          </a:r>
        </a:p>
        <a:p>
          <a:pPr algn="ctr"/>
          <a:r>
            <a:rPr lang="en-US" sz="900" b="1" baseline="0"/>
            <a:t>Allocated Amt/Impression x 100</a:t>
          </a:r>
          <a:endParaRPr lang="en-US" sz="900" b="1"/>
        </a:p>
      </xdr:txBody>
    </xdr:sp>
    <xdr:clientData/>
  </xdr:twoCellAnchor>
  <xdr:twoCellAnchor>
    <xdr:from>
      <xdr:col>3</xdr:col>
      <xdr:colOff>553086</xdr:colOff>
      <xdr:row>4</xdr:row>
      <xdr:rowOff>2539</xdr:rowOff>
    </xdr:from>
    <xdr:to>
      <xdr:col>5</xdr:col>
      <xdr:colOff>467360</xdr:colOff>
      <xdr:row>6</xdr:row>
      <xdr:rowOff>110490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ADB6A1A-F8CB-4E27-A8BA-07A1D4F523CE}"/>
            </a:ext>
          </a:extLst>
        </xdr:cNvPr>
        <xdr:cNvSpPr txBox="1"/>
      </xdr:nvSpPr>
      <xdr:spPr>
        <a:xfrm>
          <a:off x="2930526" y="734059"/>
          <a:ext cx="1499234" cy="4737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Cost per Click </a:t>
          </a:r>
        </a:p>
        <a:p>
          <a:pPr algn="ctr"/>
          <a:r>
            <a:rPr lang="en-US" sz="900" b="1" baseline="0"/>
            <a:t>(Dollars)</a:t>
          </a:r>
          <a:endParaRPr lang="en-US" sz="900" b="1"/>
        </a:p>
      </xdr:txBody>
    </xdr:sp>
    <xdr:clientData/>
  </xdr:twoCellAnchor>
  <xdr:twoCellAnchor>
    <xdr:from>
      <xdr:col>6</xdr:col>
      <xdr:colOff>476886</xdr:colOff>
      <xdr:row>9</xdr:row>
      <xdr:rowOff>86359</xdr:rowOff>
    </xdr:from>
    <xdr:to>
      <xdr:col>8</xdr:col>
      <xdr:colOff>391160</xdr:colOff>
      <xdr:row>12</xdr:row>
      <xdr:rowOff>7620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6418423-59CE-4F43-B98D-AF5295AA6DA2}"/>
            </a:ext>
          </a:extLst>
        </xdr:cNvPr>
        <xdr:cNvSpPr txBox="1"/>
      </xdr:nvSpPr>
      <xdr:spPr>
        <a:xfrm>
          <a:off x="5231766" y="1732279"/>
          <a:ext cx="1499234" cy="469901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Clicks </a:t>
          </a:r>
          <a:r>
            <a:rPr lang="en-US" sz="900" b="1" baseline="0"/>
            <a:t>(Number)</a:t>
          </a:r>
        </a:p>
        <a:p>
          <a:pPr algn="ctr"/>
          <a:r>
            <a:rPr lang="en-US" sz="900" b="1" baseline="0"/>
            <a:t>Allocated Amt/CPC</a:t>
          </a:r>
          <a:endParaRPr lang="en-US" sz="900" b="1"/>
        </a:p>
      </xdr:txBody>
    </xdr:sp>
    <xdr:clientData/>
  </xdr:twoCellAnchor>
  <xdr:twoCellAnchor>
    <xdr:from>
      <xdr:col>6</xdr:col>
      <xdr:colOff>461646</xdr:colOff>
      <xdr:row>16</xdr:row>
      <xdr:rowOff>17779</xdr:rowOff>
    </xdr:from>
    <xdr:to>
      <xdr:col>8</xdr:col>
      <xdr:colOff>375920</xdr:colOff>
      <xdr:row>18</xdr:row>
      <xdr:rowOff>125730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B4F1A45-26E6-43FE-873A-2342E4191A3E}"/>
            </a:ext>
          </a:extLst>
        </xdr:cNvPr>
        <xdr:cNvSpPr txBox="1"/>
      </xdr:nvSpPr>
      <xdr:spPr>
        <a:xfrm>
          <a:off x="5216526" y="2943859"/>
          <a:ext cx="1499234" cy="4737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Conversion Rate</a:t>
          </a:r>
        </a:p>
        <a:p>
          <a:pPr algn="ctr"/>
          <a:r>
            <a:rPr lang="en-US" sz="900" b="1" baseline="0"/>
            <a:t>(Percentage)</a:t>
          </a:r>
          <a:endParaRPr lang="en-US" sz="900" b="1"/>
        </a:p>
      </xdr:txBody>
    </xdr:sp>
    <xdr:clientData/>
  </xdr:twoCellAnchor>
  <xdr:twoCellAnchor>
    <xdr:from>
      <xdr:col>9</xdr:col>
      <xdr:colOff>419736</xdr:colOff>
      <xdr:row>12</xdr:row>
      <xdr:rowOff>90169</xdr:rowOff>
    </xdr:from>
    <xdr:to>
      <xdr:col>11</xdr:col>
      <xdr:colOff>334010</xdr:colOff>
      <xdr:row>15</xdr:row>
      <xdr:rowOff>15240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C05EE8E-4E6C-464A-8755-5A21C57321D7}"/>
            </a:ext>
          </a:extLst>
        </xdr:cNvPr>
        <xdr:cNvSpPr txBox="1"/>
      </xdr:nvSpPr>
      <xdr:spPr>
        <a:xfrm>
          <a:off x="7552056" y="2284729"/>
          <a:ext cx="1499234" cy="47371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Conversions </a:t>
          </a:r>
        </a:p>
        <a:p>
          <a:pPr algn="ctr"/>
          <a:r>
            <a:rPr lang="en-US" sz="900" b="1" baseline="0"/>
            <a:t>(Number)</a:t>
          </a:r>
          <a:endParaRPr lang="en-US" sz="900" b="1"/>
        </a:p>
      </xdr:txBody>
    </xdr:sp>
    <xdr:clientData/>
  </xdr:twoCellAnchor>
  <xdr:twoCellAnchor>
    <xdr:from>
      <xdr:col>2</xdr:col>
      <xdr:colOff>120650</xdr:colOff>
      <xdr:row>10</xdr:row>
      <xdr:rowOff>94615</xdr:rowOff>
    </xdr:from>
    <xdr:to>
      <xdr:col>3</xdr:col>
      <xdr:colOff>549276</xdr:colOff>
      <xdr:row>10</xdr:row>
      <xdr:rowOff>125095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403A153-FCE4-4A24-A4AA-2233AFEACE49}"/>
            </a:ext>
          </a:extLst>
        </xdr:cNvPr>
        <xdr:cNvCxnSpPr>
          <a:stCxn id="30" idx="3"/>
          <a:endCxn id="32" idx="1"/>
        </xdr:cNvCxnSpPr>
      </xdr:nvCxnSpPr>
      <xdr:spPr>
        <a:xfrm>
          <a:off x="1705610" y="1923415"/>
          <a:ext cx="1221106" cy="30480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120650</xdr:colOff>
      <xdr:row>16</xdr:row>
      <xdr:rowOff>121285</xdr:rowOff>
    </xdr:from>
    <xdr:to>
      <xdr:col>3</xdr:col>
      <xdr:colOff>533400</xdr:colOff>
      <xdr:row>17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66B6C97-0545-413A-84A8-9BD79EA55683}"/>
            </a:ext>
          </a:extLst>
        </xdr:cNvPr>
        <xdr:cNvCxnSpPr>
          <a:stCxn id="29" idx="3"/>
        </xdr:cNvCxnSpPr>
      </xdr:nvCxnSpPr>
      <xdr:spPr>
        <a:xfrm>
          <a:off x="1705610" y="3047365"/>
          <a:ext cx="1205230" cy="61595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113030</xdr:colOff>
      <xdr:row>18</xdr:row>
      <xdr:rowOff>91440</xdr:rowOff>
    </xdr:from>
    <xdr:to>
      <xdr:col>3</xdr:col>
      <xdr:colOff>544830</xdr:colOff>
      <xdr:row>20</xdr:row>
      <xdr:rowOff>117475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59F00E5-C6D1-4B8D-B897-7CC1076CE69F}"/>
            </a:ext>
          </a:extLst>
        </xdr:cNvPr>
        <xdr:cNvCxnSpPr>
          <a:stCxn id="31" idx="3"/>
        </xdr:cNvCxnSpPr>
      </xdr:nvCxnSpPr>
      <xdr:spPr>
        <a:xfrm flipV="1">
          <a:off x="1697990" y="3383280"/>
          <a:ext cx="1224280" cy="391795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498793</xdr:colOff>
      <xdr:row>11</xdr:row>
      <xdr:rowOff>179070</xdr:rowOff>
    </xdr:from>
    <xdr:to>
      <xdr:col>4</xdr:col>
      <xdr:colOff>506413</xdr:colOff>
      <xdr:row>16</xdr:row>
      <xdr:rowOff>29209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BCED054-36BA-4846-BB45-BCC7CBB4FE31}"/>
            </a:ext>
          </a:extLst>
        </xdr:cNvPr>
        <xdr:cNvCxnSpPr>
          <a:stCxn id="33" idx="0"/>
          <a:endCxn id="32" idx="2"/>
        </xdr:cNvCxnSpPr>
      </xdr:nvCxnSpPr>
      <xdr:spPr>
        <a:xfrm flipV="1">
          <a:off x="3668713" y="2190750"/>
          <a:ext cx="7620" cy="764539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467360</xdr:colOff>
      <xdr:row>5</xdr:row>
      <xdr:rowOff>56515</xdr:rowOff>
    </xdr:from>
    <xdr:to>
      <xdr:col>7</xdr:col>
      <xdr:colOff>434023</xdr:colOff>
      <xdr:row>9</xdr:row>
      <xdr:rowOff>86359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03189A0-14BC-414A-9375-875B1CF2A5D7}"/>
            </a:ext>
          </a:extLst>
        </xdr:cNvPr>
        <xdr:cNvCxnSpPr>
          <a:stCxn id="34" idx="3"/>
          <a:endCxn id="35" idx="0"/>
        </xdr:cNvCxnSpPr>
      </xdr:nvCxnSpPr>
      <xdr:spPr>
        <a:xfrm>
          <a:off x="4429760" y="970915"/>
          <a:ext cx="1551623" cy="761364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463550</xdr:colOff>
      <xdr:row>10</xdr:row>
      <xdr:rowOff>125095</xdr:rowOff>
    </xdr:from>
    <xdr:to>
      <xdr:col>6</xdr:col>
      <xdr:colOff>476886</xdr:colOff>
      <xdr:row>10</xdr:row>
      <xdr:rowOff>138430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4E01E098-CAE4-40DC-A059-4648957C49F4}"/>
            </a:ext>
          </a:extLst>
        </xdr:cNvPr>
        <xdr:cNvCxnSpPr>
          <a:stCxn id="32" idx="3"/>
          <a:endCxn id="35" idx="1"/>
        </xdr:cNvCxnSpPr>
      </xdr:nvCxnSpPr>
      <xdr:spPr>
        <a:xfrm>
          <a:off x="4425950" y="1953895"/>
          <a:ext cx="805816" cy="13335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391160</xdr:colOff>
      <xdr:row>10</xdr:row>
      <xdr:rowOff>138430</xdr:rowOff>
    </xdr:from>
    <xdr:to>
      <xdr:col>9</xdr:col>
      <xdr:colOff>411480</xdr:colOff>
      <xdr:row>13</xdr:row>
      <xdr:rowOff>22860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0699C73-1015-4E51-8AD5-6D661EA50913}"/>
            </a:ext>
          </a:extLst>
        </xdr:cNvPr>
        <xdr:cNvCxnSpPr>
          <a:stCxn id="35" idx="3"/>
        </xdr:cNvCxnSpPr>
      </xdr:nvCxnSpPr>
      <xdr:spPr>
        <a:xfrm>
          <a:off x="6731000" y="1967230"/>
          <a:ext cx="812800" cy="433070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375920</xdr:colOff>
      <xdr:row>14</xdr:row>
      <xdr:rowOff>83820</xdr:rowOff>
    </xdr:from>
    <xdr:to>
      <xdr:col>9</xdr:col>
      <xdr:colOff>407670</xdr:colOff>
      <xdr:row>17</xdr:row>
      <xdr:rowOff>71755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2FF1BE41-0412-4DC8-8793-A362F424C963}"/>
            </a:ext>
          </a:extLst>
        </xdr:cNvPr>
        <xdr:cNvCxnSpPr>
          <a:stCxn id="36" idx="3"/>
        </xdr:cNvCxnSpPr>
      </xdr:nvCxnSpPr>
      <xdr:spPr>
        <a:xfrm flipV="1">
          <a:off x="6715760" y="2644140"/>
          <a:ext cx="824230" cy="536575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198756</xdr:colOff>
      <xdr:row>5</xdr:row>
      <xdr:rowOff>97789</xdr:rowOff>
    </xdr:from>
    <xdr:to>
      <xdr:col>2</xdr:col>
      <xdr:colOff>113030</xdr:colOff>
      <xdr:row>8</xdr:row>
      <xdr:rowOff>22860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6AB81D15-F8E9-4912-B923-284AD9CCF9EC}"/>
            </a:ext>
          </a:extLst>
        </xdr:cNvPr>
        <xdr:cNvSpPr txBox="1"/>
      </xdr:nvSpPr>
      <xdr:spPr>
        <a:xfrm>
          <a:off x="198756" y="1012189"/>
          <a:ext cx="1499234" cy="4737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baseline="0"/>
            <a:t>Overall Budget</a:t>
          </a:r>
        </a:p>
        <a:p>
          <a:pPr algn="ctr"/>
          <a:r>
            <a:rPr lang="en-US" sz="900" b="1" baseline="0"/>
            <a:t>(Dollars)</a:t>
          </a:r>
          <a:endParaRPr lang="en-US" sz="900" b="1"/>
        </a:p>
      </xdr:txBody>
    </xdr:sp>
    <xdr:clientData/>
  </xdr:twoCellAnchor>
  <xdr:twoCellAnchor>
    <xdr:from>
      <xdr:col>2</xdr:col>
      <xdr:colOff>113030</xdr:colOff>
      <xdr:row>6</xdr:row>
      <xdr:rowOff>151765</xdr:rowOff>
    </xdr:from>
    <xdr:to>
      <xdr:col>3</xdr:col>
      <xdr:colOff>541020</xdr:colOff>
      <xdr:row>9</xdr:row>
      <xdr:rowOff>114300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F9337B0D-4DD3-4F82-BB50-76A98740AA83}"/>
            </a:ext>
          </a:extLst>
        </xdr:cNvPr>
        <xdr:cNvCxnSpPr>
          <a:stCxn id="68" idx="3"/>
        </xdr:cNvCxnSpPr>
      </xdr:nvCxnSpPr>
      <xdr:spPr>
        <a:xfrm>
          <a:off x="1697990" y="1249045"/>
          <a:ext cx="1220470" cy="511175"/>
        </a:xfrm>
        <a:prstGeom prst="straightConnector1">
          <a:avLst/>
        </a:prstGeom>
        <a:ln>
          <a:solidFill>
            <a:schemeClr val="bg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13</xdr:row>
      <xdr:rowOff>100964</xdr:rowOff>
    </xdr:from>
    <xdr:to>
      <xdr:col>12</xdr:col>
      <xdr:colOff>251460</xdr:colOff>
      <xdr:row>38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6D29B-833A-4B16-B6EE-80B09B45A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403860</xdr:colOff>
      <xdr:row>15</xdr:row>
      <xdr:rowOff>30480</xdr:rowOff>
    </xdr:from>
    <xdr:to>
      <xdr:col>17</xdr:col>
      <xdr:colOff>609600</xdr:colOff>
      <xdr:row>19</xdr:row>
      <xdr:rowOff>144780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99C0A5-A86D-4D4B-916D-F43E9E4FF853}"/>
            </a:ext>
          </a:extLst>
        </xdr:cNvPr>
        <xdr:cNvSpPr txBox="1"/>
      </xdr:nvSpPr>
      <xdr:spPr>
        <a:xfrm>
          <a:off x="10107930" y="2590800"/>
          <a:ext cx="3406140" cy="845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Graph</a:t>
          </a:r>
          <a:r>
            <a:rPr lang="en-IN" sz="1100" baseline="0"/>
            <a:t> shows marginal variation in Pandora and Twitter conversion with the CPM range.</a:t>
          </a:r>
        </a:p>
        <a:p>
          <a:r>
            <a:rPr lang="en-IN" sz="1100" baseline="0"/>
            <a:t>Maximum variation is seen in Facebook conversions which is expected due to high conversion rate.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335280</xdr:colOff>
      <xdr:row>16</xdr:row>
      <xdr:rowOff>114300</xdr:rowOff>
    </xdr:from>
    <xdr:to>
      <xdr:col>17</xdr:col>
      <xdr:colOff>91440</xdr:colOff>
      <xdr:row>32</xdr:row>
      <xdr:rowOff>45720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AE50CFE-7542-4CA5-AEFB-78A888103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579120</xdr:colOff>
      <xdr:row>3</xdr:row>
      <xdr:rowOff>22860</xdr:rowOff>
    </xdr:from>
    <xdr:to>
      <xdr:col>15</xdr:col>
      <xdr:colOff>457200</xdr:colOff>
      <xdr:row>3</xdr:row>
      <xdr:rowOff>784860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E2B51B-9878-4D6A-9EF8-098D6A57B7A5}"/>
            </a:ext>
          </a:extLst>
        </xdr:cNvPr>
        <xdr:cNvSpPr txBox="1"/>
      </xdr:nvSpPr>
      <xdr:spPr>
        <a:xfrm>
          <a:off x="7620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335280</xdr:colOff>
      <xdr:row>27</xdr:row>
      <xdr:rowOff>7620</xdr:rowOff>
    </xdr:from>
    <xdr:to>
      <xdr:col>17</xdr:col>
      <xdr:colOff>91440</xdr:colOff>
      <xdr:row>42</xdr:row>
      <xdr:rowOff>121920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FE6B17BE-DC60-4565-8C9C-C4FC0C9A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579120</xdr:colOff>
      <xdr:row>3</xdr:row>
      <xdr:rowOff>22860</xdr:rowOff>
    </xdr:from>
    <xdr:to>
      <xdr:col>15</xdr:col>
      <xdr:colOff>457200</xdr:colOff>
      <xdr:row>3</xdr:row>
      <xdr:rowOff>784860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A408B0-E427-4E14-BDB8-5C5EA9FD17E4}"/>
            </a:ext>
          </a:extLst>
        </xdr:cNvPr>
        <xdr:cNvSpPr txBox="1"/>
      </xdr:nvSpPr>
      <xdr:spPr>
        <a:xfrm>
          <a:off x="7620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335280</xdr:colOff>
      <xdr:row>14</xdr:row>
      <xdr:rowOff>99060</xdr:rowOff>
    </xdr:from>
    <xdr:to>
      <xdr:col>17</xdr:col>
      <xdr:colOff>91440</xdr:colOff>
      <xdr:row>30</xdr:row>
      <xdr:rowOff>30480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BC11754-413C-4BB8-8D5C-E65833B49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579120</xdr:colOff>
      <xdr:row>3</xdr:row>
      <xdr:rowOff>22860</xdr:rowOff>
    </xdr:from>
    <xdr:to>
      <xdr:col>15</xdr:col>
      <xdr:colOff>457200</xdr:colOff>
      <xdr:row>3</xdr:row>
      <xdr:rowOff>784860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07C4D0-A5F3-4714-9DC9-E7E0065CF50D}"/>
            </a:ext>
          </a:extLst>
        </xdr:cNvPr>
        <xdr:cNvSpPr txBox="1"/>
      </xdr:nvSpPr>
      <xdr:spPr>
        <a:xfrm>
          <a:off x="7620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274320</xdr:colOff>
      <xdr:row>16</xdr:row>
      <xdr:rowOff>148590</xdr:rowOff>
    </xdr:from>
    <xdr:to>
      <xdr:col>20</xdr:col>
      <xdr:colOff>7620</xdr:colOff>
      <xdr:row>32</xdr:row>
      <xdr:rowOff>80010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0216703F-58C7-4B52-B8C0-7DDF23061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617221</xdr:colOff>
      <xdr:row>16</xdr:row>
      <xdr:rowOff>148590</xdr:rowOff>
    </xdr:from>
    <xdr:to>
      <xdr:col>28</xdr:col>
      <xdr:colOff>373381</xdr:colOff>
      <xdr:row>32</xdr:row>
      <xdr:rowOff>80010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6C6AA206-330A-4655-9766-7A2E7B3E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495301</xdr:colOff>
      <xdr:row>3</xdr:row>
      <xdr:rowOff>22860</xdr:rowOff>
    </xdr:from>
    <xdr:to>
      <xdr:col>25</xdr:col>
      <xdr:colOff>312421</xdr:colOff>
      <xdr:row>5</xdr:row>
      <xdr:rowOff>140970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588FE4-773E-498D-8B7C-27244AAA5260}"/>
            </a:ext>
          </a:extLst>
        </xdr:cNvPr>
        <xdr:cNvSpPr txBox="1"/>
      </xdr:nvSpPr>
      <xdr:spPr>
        <a:xfrm>
          <a:off x="13300711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By making appropriate selections in cells $M$4, $N$4, $Q$4, and $R$4, you can chart any row (in left chart) or column (in right chart) of any table to the left.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335280</xdr:colOff>
      <xdr:row>15</xdr:row>
      <xdr:rowOff>106680</xdr:rowOff>
    </xdr:from>
    <xdr:to>
      <xdr:col>17</xdr:col>
      <xdr:colOff>91440</xdr:colOff>
      <xdr:row>31</xdr:row>
      <xdr:rowOff>38100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5CB5896D-D227-4354-82DF-6CC17D19A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579120</xdr:colOff>
      <xdr:row>3</xdr:row>
      <xdr:rowOff>22860</xdr:rowOff>
    </xdr:from>
    <xdr:to>
      <xdr:col>15</xdr:col>
      <xdr:colOff>457200</xdr:colOff>
      <xdr:row>3</xdr:row>
      <xdr:rowOff>784860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28CEBB-E8F3-4FBC-8A51-1C7A3CB2C3CF}"/>
            </a:ext>
          </a:extLst>
        </xdr:cNvPr>
        <xdr:cNvSpPr txBox="1"/>
      </xdr:nvSpPr>
      <xdr:spPr>
        <a:xfrm>
          <a:off x="76200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ti/Desktop/1Digital%20Ad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car Mayer Data"/>
      <sheetName val="Final Model"/>
      <sheetName val="Sensitivity Report"/>
      <sheetName val="Comparison"/>
      <sheetName val="Sheet1"/>
      <sheetName val="Final Model_STS"/>
      <sheetName val="trial sensitivity_STS"/>
      <sheetName val="1 way FB CPM"/>
      <sheetName val="1 way Pandora CPM"/>
      <sheetName val="1 way Twitter CPM"/>
      <sheetName val="Sensitivity 2way FB Pandora"/>
      <sheetName val="1 way CR FB"/>
    </sheetNames>
    <sheetDataSet>
      <sheetData sheetId="0" refreshError="1"/>
      <sheetData sheetId="1">
        <row r="4">
          <cell r="B4">
            <v>1055346.2352535001</v>
          </cell>
        </row>
        <row r="21">
          <cell r="B21">
            <v>292000</v>
          </cell>
          <cell r="C21">
            <v>600000</v>
          </cell>
          <cell r="D21">
            <v>692000</v>
          </cell>
        </row>
        <row r="23">
          <cell r="B23">
            <v>97000</v>
          </cell>
          <cell r="C23">
            <v>200000</v>
          </cell>
          <cell r="D23">
            <v>230000</v>
          </cell>
        </row>
        <row r="25">
          <cell r="B25">
            <v>4.5799999237060547</v>
          </cell>
          <cell r="C25">
            <v>6.9499998092651367</v>
          </cell>
          <cell r="D25">
            <v>4.2300000190734863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dstream.com/blog/ws/2017/02/28/facebook-advertising-benchmark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2FB9-5F39-458C-B9CD-A0D18BA070F7}">
  <dimension ref="A1:K39"/>
  <sheetViews>
    <sheetView topLeftCell="A7" zoomScaleNormal="100" workbookViewId="0">
      <selection activeCell="K13" sqref="K13"/>
    </sheetView>
  </sheetViews>
  <sheetFormatPr defaultRowHeight="14.4" x14ac:dyDescent="0.55000000000000004"/>
  <cols>
    <col min="1" max="1" width="13.5234375" customWidth="1"/>
    <col min="2" max="2" width="22.62890625" customWidth="1"/>
    <col min="3" max="3" width="17.1015625" customWidth="1"/>
    <col min="4" max="4" width="16.62890625" customWidth="1"/>
    <col min="5" max="5" width="16.3125" customWidth="1"/>
    <col min="6" max="6" width="7.9453125" bestFit="1" customWidth="1"/>
    <col min="7" max="7" width="7.3125" bestFit="1" customWidth="1"/>
    <col min="8" max="8" width="9.62890625" bestFit="1" customWidth="1"/>
    <col min="9" max="9" width="10.20703125" bestFit="1" customWidth="1"/>
    <col min="10" max="11" width="11" bestFit="1" customWidth="1"/>
    <col min="12" max="12" width="14.05078125" bestFit="1" customWidth="1"/>
  </cols>
  <sheetData>
    <row r="1" spans="1:8" x14ac:dyDescent="0.55000000000000004">
      <c r="A1" s="2" t="s">
        <v>55</v>
      </c>
      <c r="B1" s="2" t="s">
        <v>10</v>
      </c>
    </row>
    <row r="3" spans="1:8" x14ac:dyDescent="0.55000000000000004">
      <c r="A3" s="2" t="s">
        <v>63</v>
      </c>
      <c r="F3" s="21"/>
      <c r="G3" s="21"/>
    </row>
    <row r="4" spans="1:8" x14ac:dyDescent="0.55000000000000004">
      <c r="A4" t="s">
        <v>18</v>
      </c>
      <c r="B4" s="14" t="s">
        <v>19</v>
      </c>
      <c r="C4" s="14" t="s">
        <v>37</v>
      </c>
      <c r="D4" s="14" t="s">
        <v>38</v>
      </c>
      <c r="E4" s="14" t="s">
        <v>36</v>
      </c>
      <c r="F4" s="14" t="s">
        <v>24</v>
      </c>
      <c r="G4" s="14" t="s">
        <v>47</v>
      </c>
      <c r="H4" s="14" t="s">
        <v>70</v>
      </c>
    </row>
    <row r="5" spans="1:8" x14ac:dyDescent="0.55000000000000004">
      <c r="B5" s="23" t="s">
        <v>43</v>
      </c>
      <c r="C5" s="40">
        <v>233161475.36000001</v>
      </c>
      <c r="D5" s="40">
        <v>5788473.9400000032</v>
      </c>
      <c r="E5" s="37">
        <v>1038220</v>
      </c>
      <c r="F5" s="1"/>
      <c r="G5" s="1"/>
    </row>
    <row r="6" spans="1:8" x14ac:dyDescent="0.55000000000000004">
      <c r="B6" s="24" t="s">
        <v>3</v>
      </c>
      <c r="C6" s="41">
        <v>119725757.35999998</v>
      </c>
      <c r="D6" s="41">
        <v>5532418.8800000036</v>
      </c>
      <c r="E6" s="36">
        <v>424780.71610000002</v>
      </c>
      <c r="F6" s="46">
        <f>E6/C6*1000</f>
        <v>3.5479476218533237</v>
      </c>
      <c r="G6" s="46">
        <f>E6/D6</f>
        <v>7.6780288209124137E-2</v>
      </c>
      <c r="H6" s="70">
        <f>(D6/C6)*100</f>
        <v>4.6209094868071956</v>
      </c>
    </row>
    <row r="7" spans="1:8" x14ac:dyDescent="0.55000000000000004">
      <c r="B7" s="24" t="s">
        <v>2</v>
      </c>
      <c r="C7" s="41">
        <v>52494148.079999991</v>
      </c>
      <c r="D7" s="41">
        <v>182759.49999999997</v>
      </c>
      <c r="E7" s="36">
        <v>304499.83143749984</v>
      </c>
      <c r="F7" s="46">
        <f t="shared" ref="F7:F16" si="0">E7/C7*1000</f>
        <v>5.8006433588263677</v>
      </c>
      <c r="G7" s="46">
        <f t="shared" ref="G7:G16" si="1">E7/D7</f>
        <v>1.6661231368957559</v>
      </c>
      <c r="H7" s="70">
        <f t="shared" ref="H7:H16" si="2">(D7/C7)*100</f>
        <v>0.34815214016137247</v>
      </c>
    </row>
    <row r="8" spans="1:8" x14ac:dyDescent="0.55000000000000004">
      <c r="B8" s="24" t="s">
        <v>4</v>
      </c>
      <c r="C8" s="42">
        <v>60941569.920000032</v>
      </c>
      <c r="D8" s="42">
        <v>73295.559999999954</v>
      </c>
      <c r="E8" s="36">
        <v>308939.22720000043</v>
      </c>
      <c r="F8" s="46">
        <f t="shared" si="0"/>
        <v>5.0694333540398606</v>
      </c>
      <c r="G8" s="46">
        <f t="shared" si="1"/>
        <v>4.2149787408678048</v>
      </c>
      <c r="H8" s="70">
        <f t="shared" si="2"/>
        <v>0.1202718605645004</v>
      </c>
    </row>
    <row r="9" spans="1:8" x14ac:dyDescent="0.55000000000000004">
      <c r="B9" s="23" t="s">
        <v>44</v>
      </c>
      <c r="C9" s="40">
        <v>248426381.28000012</v>
      </c>
      <c r="D9" s="40">
        <v>639679.39999999921</v>
      </c>
      <c r="E9" s="37">
        <v>1126027.1542109994</v>
      </c>
      <c r="F9" s="46"/>
      <c r="G9" s="46"/>
      <c r="H9" s="70"/>
    </row>
    <row r="10" spans="1:8" x14ac:dyDescent="0.55000000000000004">
      <c r="B10" s="22" t="s">
        <v>3</v>
      </c>
      <c r="C10" s="41">
        <v>3890851.36</v>
      </c>
      <c r="D10" s="41">
        <v>167756.16</v>
      </c>
      <c r="E10" s="36">
        <v>15474.643599999999</v>
      </c>
      <c r="F10" s="46">
        <f t="shared" si="0"/>
        <v>3.9771870390854511</v>
      </c>
      <c r="G10" s="46">
        <f t="shared" si="1"/>
        <v>9.2244860635818077E-2</v>
      </c>
      <c r="H10" s="70">
        <f t="shared" si="2"/>
        <v>4.3115540656377069</v>
      </c>
    </row>
    <row r="11" spans="1:8" x14ac:dyDescent="0.55000000000000004">
      <c r="B11" s="22" t="s">
        <v>2</v>
      </c>
      <c r="C11" s="41">
        <v>58227655.200000033</v>
      </c>
      <c r="D11" s="41">
        <v>130441.92000000004</v>
      </c>
      <c r="E11" s="36">
        <v>381629.67454999924</v>
      </c>
      <c r="F11" s="46">
        <f t="shared" si="0"/>
        <v>6.5540965583996078</v>
      </c>
      <c r="G11" s="46">
        <f t="shared" si="1"/>
        <v>2.9256674123625221</v>
      </c>
      <c r="H11" s="70">
        <f t="shared" si="2"/>
        <v>0.22402056128133416</v>
      </c>
    </row>
    <row r="12" spans="1:8" x14ac:dyDescent="0.55000000000000004">
      <c r="B12" s="22" t="s">
        <v>4</v>
      </c>
      <c r="C12" s="41">
        <v>186307874.72000009</v>
      </c>
      <c r="D12" s="41">
        <v>341481.31999999913</v>
      </c>
      <c r="E12" s="36">
        <v>728922.83606100013</v>
      </c>
      <c r="F12" s="46">
        <f t="shared" si="0"/>
        <v>3.9124639103767875</v>
      </c>
      <c r="G12" s="46">
        <f t="shared" si="1"/>
        <v>2.1345906594861526</v>
      </c>
      <c r="H12" s="70">
        <f t="shared" si="2"/>
        <v>0.18328872062611815</v>
      </c>
    </row>
    <row r="13" spans="1:8" x14ac:dyDescent="0.55000000000000004">
      <c r="B13" s="23" t="s">
        <v>45</v>
      </c>
      <c r="C13" s="40">
        <v>176815020.79999995</v>
      </c>
      <c r="D13" s="40">
        <v>2557615.9200000013</v>
      </c>
      <c r="E13" s="37">
        <v>1001791.7768120005</v>
      </c>
      <c r="F13" s="46"/>
      <c r="G13" s="46"/>
      <c r="H13" s="70"/>
    </row>
    <row r="14" spans="1:8" x14ac:dyDescent="0.55000000000000004">
      <c r="B14" s="22" t="s">
        <v>3</v>
      </c>
      <c r="C14" s="41">
        <v>23099700.79999999</v>
      </c>
      <c r="D14" s="41">
        <v>1906603.8800000015</v>
      </c>
      <c r="E14" s="36">
        <v>143256.8643750003</v>
      </c>
      <c r="F14" s="46">
        <f t="shared" si="0"/>
        <v>6.2016761868621417</v>
      </c>
      <c r="G14" s="46">
        <f t="shared" si="1"/>
        <v>7.513719335082869E-2</v>
      </c>
      <c r="H14" s="70">
        <f t="shared" si="2"/>
        <v>8.2538033566218409</v>
      </c>
    </row>
    <row r="15" spans="1:8" x14ac:dyDescent="0.55000000000000004">
      <c r="B15" s="22" t="s">
        <v>2</v>
      </c>
      <c r="C15" s="41">
        <v>60465291.039999969</v>
      </c>
      <c r="D15" s="41">
        <v>166238.99999999994</v>
      </c>
      <c r="E15" s="36">
        <v>513000.62511200004</v>
      </c>
      <c r="F15" s="46">
        <f t="shared" si="0"/>
        <v>8.4842165858861343</v>
      </c>
      <c r="G15" s="46">
        <f t="shared" si="1"/>
        <v>3.0859222271067575</v>
      </c>
      <c r="H15" s="70">
        <f t="shared" si="2"/>
        <v>0.27493293613691011</v>
      </c>
    </row>
    <row r="16" spans="1:8" x14ac:dyDescent="0.55000000000000004">
      <c r="B16" s="22" t="s">
        <v>4</v>
      </c>
      <c r="C16" s="41">
        <v>93250028.959999993</v>
      </c>
      <c r="D16" s="41">
        <v>484773.03999999986</v>
      </c>
      <c r="E16" s="36">
        <v>345534.28732500027</v>
      </c>
      <c r="F16" s="46">
        <f t="shared" si="0"/>
        <v>3.7054603754945612</v>
      </c>
      <c r="G16" s="46">
        <f t="shared" si="1"/>
        <v>0.71277537902066579</v>
      </c>
      <c r="H16" s="70">
        <f t="shared" si="2"/>
        <v>0.51986368841552355</v>
      </c>
    </row>
    <row r="17" spans="1:11" x14ac:dyDescent="0.55000000000000004">
      <c r="B17" s="14" t="s">
        <v>17</v>
      </c>
      <c r="C17" s="43">
        <v>891564352.80000019</v>
      </c>
      <c r="D17" s="43">
        <v>14774243.200000005</v>
      </c>
      <c r="E17" s="38">
        <v>4204258.480498</v>
      </c>
      <c r="F17" s="46"/>
      <c r="G17" s="1"/>
      <c r="I17" s="69"/>
    </row>
    <row r="18" spans="1:11" x14ac:dyDescent="0.55000000000000004">
      <c r="B18" s="21"/>
      <c r="C18" s="44"/>
      <c r="D18" s="44"/>
      <c r="E18" s="21"/>
      <c r="F18" s="22"/>
      <c r="G18" s="22"/>
    </row>
    <row r="19" spans="1:11" x14ac:dyDescent="0.55000000000000004">
      <c r="A19" s="2" t="s">
        <v>53</v>
      </c>
      <c r="B19" s="21"/>
      <c r="C19" s="21"/>
      <c r="D19" s="21"/>
      <c r="E19" s="21"/>
      <c r="F19" s="22"/>
      <c r="G19" s="22"/>
    </row>
    <row r="20" spans="1:11" x14ac:dyDescent="0.55000000000000004">
      <c r="A20" t="s">
        <v>18</v>
      </c>
      <c r="B20" s="14" t="s">
        <v>19</v>
      </c>
      <c r="C20" s="14" t="s">
        <v>39</v>
      </c>
      <c r="D20" s="14" t="s">
        <v>21</v>
      </c>
      <c r="E20" s="14" t="s">
        <v>40</v>
      </c>
      <c r="F20" s="14" t="s">
        <v>41</v>
      </c>
      <c r="G20" s="14" t="s">
        <v>14</v>
      </c>
      <c r="H20" s="39" t="s">
        <v>42</v>
      </c>
      <c r="I20" s="14" t="s">
        <v>77</v>
      </c>
      <c r="J20" s="14" t="s">
        <v>121</v>
      </c>
      <c r="K20" s="14" t="s">
        <v>122</v>
      </c>
    </row>
    <row r="21" spans="1:11" x14ac:dyDescent="0.55000000000000004">
      <c r="A21" s="9"/>
      <c r="B21" s="24" t="s">
        <v>3</v>
      </c>
      <c r="C21" s="45">
        <f>AVERAGE(C6,C10,C14)</f>
        <v>48905436.50666666</v>
      </c>
      <c r="D21" s="45">
        <f>AVERAGE(D6,D10,D14)</f>
        <v>2535592.973333335</v>
      </c>
      <c r="E21" s="36">
        <f>AVERAGE(E6,E10,E14)</f>
        <v>194504.07469166676</v>
      </c>
      <c r="F21" s="46">
        <f>AVERAGE(F6,F10,F14)</f>
        <v>4.5756036159336384</v>
      </c>
      <c r="G21" s="52">
        <f>AVERAGE(G6,G10,G14)</f>
        <v>8.1387447398590301E-2</v>
      </c>
      <c r="H21" s="25">
        <v>9.2100000000000001E-2</v>
      </c>
      <c r="I21" s="70">
        <f>AVERAGE(H6,H10,H14)</f>
        <v>5.728755636355582</v>
      </c>
      <c r="J21" s="36">
        <f>1.5*E21</f>
        <v>291756.11203750013</v>
      </c>
      <c r="K21" s="36">
        <f>0.5*E21</f>
        <v>97252.037345833378</v>
      </c>
    </row>
    <row r="22" spans="1:11" x14ac:dyDescent="0.55000000000000004">
      <c r="A22" s="9"/>
      <c r="B22" s="24" t="s">
        <v>2</v>
      </c>
      <c r="C22" s="45">
        <f t="shared" ref="C22:F23" si="3">AVERAGE(C7,C11,C15)</f>
        <v>57062364.773333333</v>
      </c>
      <c r="D22" s="45">
        <f t="shared" si="3"/>
        <v>159813.47333333333</v>
      </c>
      <c r="E22" s="36">
        <f t="shared" si="3"/>
        <v>399710.0436998331</v>
      </c>
      <c r="F22" s="46">
        <f t="shared" si="3"/>
        <v>6.946318834370703</v>
      </c>
      <c r="G22" s="46">
        <f t="shared" ref="G22:G23" si="4">AVERAGE(G7,G11,G15)</f>
        <v>2.5592375921216783</v>
      </c>
      <c r="H22" s="25">
        <v>2.9000000000000001E-2</v>
      </c>
      <c r="I22" s="70">
        <f t="shared" ref="I22:I23" si="5">AVERAGE(H7,H11,H15)</f>
        <v>0.2823685458598722</v>
      </c>
      <c r="J22" s="36">
        <f t="shared" ref="J22:J23" si="6">1.5*E22</f>
        <v>599565.06554974965</v>
      </c>
      <c r="K22" s="36">
        <f t="shared" ref="K22:K23" si="7">0.5*E22</f>
        <v>199855.02184991655</v>
      </c>
    </row>
    <row r="23" spans="1:11" x14ac:dyDescent="0.55000000000000004">
      <c r="A23" s="9"/>
      <c r="B23" s="24" t="s">
        <v>4</v>
      </c>
      <c r="C23" s="45">
        <f t="shared" si="3"/>
        <v>113499824.53333336</v>
      </c>
      <c r="D23" s="45">
        <f t="shared" si="3"/>
        <v>299849.97333333298</v>
      </c>
      <c r="E23" s="36">
        <f t="shared" si="3"/>
        <v>461132.11686200026</v>
      </c>
      <c r="F23" s="46">
        <f t="shared" si="3"/>
        <v>4.2291192133037363</v>
      </c>
      <c r="G23" s="46">
        <f t="shared" si="4"/>
        <v>2.3541149264582075</v>
      </c>
      <c r="H23" s="25">
        <v>1.2E-2</v>
      </c>
      <c r="I23" s="70">
        <f t="shared" si="5"/>
        <v>0.27447475653538073</v>
      </c>
      <c r="J23" s="36">
        <f t="shared" si="6"/>
        <v>691698.17529300041</v>
      </c>
      <c r="K23" s="36">
        <f t="shared" si="7"/>
        <v>230566.05843100013</v>
      </c>
    </row>
    <row r="24" spans="1:11" x14ac:dyDescent="0.55000000000000004">
      <c r="A24" s="9"/>
      <c r="B24" s="14" t="s">
        <v>17</v>
      </c>
      <c r="C24" s="43">
        <f>SUM(C21:C23)</f>
        <v>219467625.81333336</v>
      </c>
      <c r="D24" s="43">
        <f t="shared" ref="D24:E24" si="8">SUM(D21:D23)</f>
        <v>2995256.4200000013</v>
      </c>
      <c r="E24" s="38">
        <f t="shared" si="8"/>
        <v>1055346.2352535001</v>
      </c>
      <c r="F24" s="15"/>
    </row>
    <row r="26" spans="1:11" x14ac:dyDescent="0.55000000000000004">
      <c r="A26" s="2" t="s">
        <v>46</v>
      </c>
    </row>
    <row r="27" spans="1:11" x14ac:dyDescent="0.55000000000000004">
      <c r="B27" t="s">
        <v>71</v>
      </c>
      <c r="C27" s="1" t="s">
        <v>70</v>
      </c>
      <c r="D27" t="s">
        <v>74</v>
      </c>
    </row>
    <row r="28" spans="1:11" x14ac:dyDescent="0.55000000000000004">
      <c r="B28" t="s">
        <v>42</v>
      </c>
      <c r="C28" s="1" t="s">
        <v>48</v>
      </c>
      <c r="D28" t="s">
        <v>73</v>
      </c>
    </row>
    <row r="29" spans="1:11" ht="28.8" x14ac:dyDescent="0.55000000000000004">
      <c r="B29" s="26" t="s">
        <v>51</v>
      </c>
      <c r="C29" s="28" t="s">
        <v>24</v>
      </c>
      <c r="D29" s="27" t="s">
        <v>72</v>
      </c>
    </row>
    <row r="30" spans="1:11" x14ac:dyDescent="0.55000000000000004">
      <c r="B30" t="s">
        <v>49</v>
      </c>
      <c r="C30" s="1"/>
      <c r="D30" t="s">
        <v>52</v>
      </c>
    </row>
    <row r="31" spans="1:11" x14ac:dyDescent="0.55000000000000004">
      <c r="B31" t="s">
        <v>50</v>
      </c>
      <c r="C31" s="1"/>
      <c r="D31" t="s">
        <v>54</v>
      </c>
    </row>
    <row r="32" spans="1:11" x14ac:dyDescent="0.55000000000000004">
      <c r="B32" t="s">
        <v>75</v>
      </c>
      <c r="C32" s="1" t="s">
        <v>47</v>
      </c>
      <c r="D32" t="s">
        <v>76</v>
      </c>
    </row>
    <row r="33" spans="1:5" x14ac:dyDescent="0.55000000000000004">
      <c r="A33" s="2" t="s">
        <v>62</v>
      </c>
    </row>
    <row r="34" spans="1:5" x14ac:dyDescent="0.55000000000000004">
      <c r="B34" t="s">
        <v>42</v>
      </c>
      <c r="C34" t="s">
        <v>60</v>
      </c>
      <c r="D34" s="48" t="s">
        <v>59</v>
      </c>
    </row>
    <row r="35" spans="1:5" x14ac:dyDescent="0.55000000000000004">
      <c r="B35" t="s">
        <v>42</v>
      </c>
      <c r="C35" t="s">
        <v>61</v>
      </c>
      <c r="D35" t="s">
        <v>67</v>
      </c>
    </row>
    <row r="36" spans="1:5" x14ac:dyDescent="0.55000000000000004">
      <c r="C36" s="2" t="s">
        <v>64</v>
      </c>
      <c r="D36" s="5" t="s">
        <v>65</v>
      </c>
      <c r="E36" s="5" t="s">
        <v>48</v>
      </c>
    </row>
    <row r="37" spans="1:5" x14ac:dyDescent="0.55000000000000004">
      <c r="C37" t="s">
        <v>3</v>
      </c>
      <c r="D37" s="1">
        <v>2500</v>
      </c>
      <c r="E37" s="1">
        <v>9.2100000000000009</v>
      </c>
    </row>
    <row r="38" spans="1:5" x14ac:dyDescent="0.55000000000000004">
      <c r="C38" t="s">
        <v>2</v>
      </c>
      <c r="D38" s="1">
        <v>81</v>
      </c>
      <c r="E38" s="15">
        <f>(E37/D37)*D38</f>
        <v>0.298404</v>
      </c>
    </row>
    <row r="39" spans="1:5" x14ac:dyDescent="0.55000000000000004">
      <c r="C39" t="s">
        <v>4</v>
      </c>
      <c r="D39" s="1">
        <v>330</v>
      </c>
      <c r="E39" s="15">
        <f>(E37/D37)*D39</f>
        <v>1.2157200000000001</v>
      </c>
    </row>
  </sheetData>
  <hyperlinks>
    <hyperlink ref="D34" r:id="rId1" xr:uid="{93DB919D-8BA9-47ED-96D7-7910563FF1FA}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A373-77C2-4F22-8BB1-C20BBA35C042}">
  <dimension ref="A1:K13"/>
  <sheetViews>
    <sheetView workbookViewId="0">
      <selection activeCell="E5" sqref="E5:E13"/>
    </sheetView>
  </sheetViews>
  <sheetFormatPr defaultRowHeight="14.4" x14ac:dyDescent="0.55000000000000004"/>
  <sheetData>
    <row r="1" spans="1:11" x14ac:dyDescent="0.55000000000000004">
      <c r="A1" s="2" t="s">
        <v>68</v>
      </c>
      <c r="K1" s="20" t="str">
        <f>CONCATENATE("Sensitivity of ",$K$4," to ","TwittermaxCPM")</f>
        <v>Sensitivity of TotalConversions to TwittermaxCPM</v>
      </c>
    </row>
    <row r="3" spans="1:11" x14ac:dyDescent="0.55000000000000004">
      <c r="A3" t="s">
        <v>84</v>
      </c>
      <c r="K3" t="s">
        <v>34</v>
      </c>
    </row>
    <row r="4" spans="1:11" ht="99" x14ac:dyDescent="0.55000000000000004">
      <c r="B4" s="18" t="s">
        <v>31</v>
      </c>
      <c r="C4" s="18" t="s">
        <v>32</v>
      </c>
      <c r="D4" s="18" t="s">
        <v>33</v>
      </c>
      <c r="E4" s="18" t="s">
        <v>22</v>
      </c>
      <c r="J4" s="20">
        <f>MATCH($K$4,OutputAddresses,0)</f>
        <v>4</v>
      </c>
      <c r="K4" s="19" t="s">
        <v>22</v>
      </c>
    </row>
    <row r="5" spans="1:11" x14ac:dyDescent="0.55000000000000004">
      <c r="A5" s="57">
        <v>3</v>
      </c>
      <c r="B5" s="59">
        <v>223986.9</v>
      </c>
      <c r="C5" s="60">
        <v>396583.42</v>
      </c>
      <c r="D5" s="60">
        <v>340499.47</v>
      </c>
      <c r="E5" s="61">
        <v>260912.66327913862</v>
      </c>
      <c r="K5">
        <f>INDEX(OutputValues,1,$J$4)</f>
        <v>260912.66327913862</v>
      </c>
    </row>
    <row r="6" spans="1:11" x14ac:dyDescent="0.55000000000000004">
      <c r="A6" s="57">
        <v>3.25</v>
      </c>
      <c r="B6" s="62">
        <v>223986.9</v>
      </c>
      <c r="C6" s="63">
        <v>396583.42</v>
      </c>
      <c r="D6" s="63">
        <v>368874.43</v>
      </c>
      <c r="E6" s="64">
        <v>261057.5566721599</v>
      </c>
      <c r="K6">
        <f>INDEX(OutputValues,2,$J$4)</f>
        <v>261057.5566721599</v>
      </c>
    </row>
    <row r="7" spans="1:11" x14ac:dyDescent="0.55000000000000004">
      <c r="A7" s="57">
        <v>3.5</v>
      </c>
      <c r="B7" s="62">
        <v>223986.9</v>
      </c>
      <c r="C7" s="63">
        <v>396583.42</v>
      </c>
      <c r="D7" s="63">
        <v>397249.39</v>
      </c>
      <c r="E7" s="64">
        <v>261202.45006518118</v>
      </c>
      <c r="K7">
        <f>INDEX(OutputValues,3,$J$4)</f>
        <v>261202.45006518118</v>
      </c>
    </row>
    <row r="8" spans="1:11" x14ac:dyDescent="0.55000000000000004">
      <c r="A8" s="57">
        <v>3.75</v>
      </c>
      <c r="B8" s="62">
        <v>223986.9</v>
      </c>
      <c r="C8" s="63">
        <v>396583.42</v>
      </c>
      <c r="D8" s="63">
        <v>425624.34</v>
      </c>
      <c r="E8" s="64">
        <v>261347.34345820246</v>
      </c>
      <c r="K8">
        <f>INDEX(OutputValues,4,$J$4)</f>
        <v>261347.34345820246</v>
      </c>
    </row>
    <row r="9" spans="1:11" x14ac:dyDescent="0.55000000000000004">
      <c r="A9" s="57">
        <v>4</v>
      </c>
      <c r="B9" s="62">
        <v>223986.9</v>
      </c>
      <c r="C9" s="63">
        <v>396583.42</v>
      </c>
      <c r="D9" s="63">
        <v>434775.92</v>
      </c>
      <c r="E9" s="64">
        <v>261394.07489731704</v>
      </c>
      <c r="K9">
        <f>INDEX(OutputValues,5,$J$4)</f>
        <v>261394.07489731704</v>
      </c>
    </row>
    <row r="10" spans="1:11" x14ac:dyDescent="0.55000000000000004">
      <c r="A10" s="57">
        <v>4.25</v>
      </c>
      <c r="B10" s="62">
        <v>223986.9</v>
      </c>
      <c r="C10" s="63">
        <v>396583.42</v>
      </c>
      <c r="D10" s="63">
        <v>434775.92</v>
      </c>
      <c r="E10" s="64">
        <v>261394.07489731704</v>
      </c>
      <c r="K10">
        <f>INDEX(OutputValues,6,$J$4)</f>
        <v>261394.07489731704</v>
      </c>
    </row>
    <row r="11" spans="1:11" x14ac:dyDescent="0.55000000000000004">
      <c r="A11" s="57">
        <v>4.5</v>
      </c>
      <c r="B11" s="62">
        <v>223986.9</v>
      </c>
      <c r="C11" s="63">
        <v>396583.42</v>
      </c>
      <c r="D11" s="63">
        <v>434775.92</v>
      </c>
      <c r="E11" s="64">
        <v>261394.07489731704</v>
      </c>
      <c r="K11">
        <f>INDEX(OutputValues,7,$J$4)</f>
        <v>261394.07489731704</v>
      </c>
    </row>
    <row r="12" spans="1:11" x14ac:dyDescent="0.55000000000000004">
      <c r="A12" s="57">
        <v>4.75</v>
      </c>
      <c r="B12" s="62">
        <v>223986.9</v>
      </c>
      <c r="C12" s="63">
        <v>396583.42</v>
      </c>
      <c r="D12" s="63">
        <v>434775.92</v>
      </c>
      <c r="E12" s="64">
        <v>261394.07489731704</v>
      </c>
      <c r="K12">
        <f>INDEX(OutputValues,8,$J$4)</f>
        <v>261394.07489731704</v>
      </c>
    </row>
    <row r="13" spans="1:11" x14ac:dyDescent="0.55000000000000004">
      <c r="A13" s="57">
        <v>5</v>
      </c>
      <c r="B13" s="65">
        <v>223986.9</v>
      </c>
      <c r="C13" s="66">
        <v>396583.42</v>
      </c>
      <c r="D13" s="66">
        <v>434775.92</v>
      </c>
      <c r="E13" s="67">
        <v>261394.07489731704</v>
      </c>
      <c r="K13">
        <f>INDEX(OutputValues,9,$J$4)</f>
        <v>261394.07489731704</v>
      </c>
    </row>
  </sheetData>
  <dataValidations count="1">
    <dataValidation type="list" allowBlank="1" showInputMessage="1" showErrorMessage="1" sqref="K4" xr:uid="{000D470B-2E1D-4BB7-8F16-200A146A389D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CE59-7431-4177-BBD7-AF55E5E30C7A}">
  <dimension ref="A1:AZ50"/>
  <sheetViews>
    <sheetView workbookViewId="0">
      <selection activeCell="O15" sqref="O15"/>
    </sheetView>
  </sheetViews>
  <sheetFormatPr defaultRowHeight="14.4" x14ac:dyDescent="0.55000000000000004"/>
  <cols>
    <col min="1" max="1" width="17.41796875" bestFit="1" customWidth="1"/>
    <col min="13" max="13" width="9.15625" bestFit="1" customWidth="1"/>
  </cols>
  <sheetData>
    <row r="1" spans="1:52" x14ac:dyDescent="0.55000000000000004">
      <c r="A1" s="2" t="s">
        <v>128</v>
      </c>
      <c r="M1" s="20" t="str">
        <f>CONCATENATE("Sensitivity of ",$M$4," to ","CR Pandora")</f>
        <v>Sensitivity of TotalConversions to CR Pandora</v>
      </c>
      <c r="Q1" s="20" t="str">
        <f>CONCATENATE("Sensitivity of ",$Q$4," to ","CR FB")</f>
        <v>Sensitivity of TotalConversions to CR FB</v>
      </c>
    </row>
    <row r="2" spans="1:52" x14ac:dyDescent="0.55000000000000004">
      <c r="M2" t="s">
        <v>130</v>
      </c>
      <c r="Q2" t="s">
        <v>133</v>
      </c>
      <c r="AZ2" t="s">
        <v>31</v>
      </c>
    </row>
    <row r="3" spans="1:52" x14ac:dyDescent="0.55000000000000004">
      <c r="A3" t="s">
        <v>129</v>
      </c>
      <c r="M3" t="s">
        <v>131</v>
      </c>
      <c r="N3" t="s">
        <v>132</v>
      </c>
      <c r="Q3" t="s">
        <v>131</v>
      </c>
      <c r="R3" t="s">
        <v>134</v>
      </c>
      <c r="AZ3" t="s">
        <v>32</v>
      </c>
    </row>
    <row r="4" spans="1:52" ht="81.3" x14ac:dyDescent="0.55000000000000004">
      <c r="A4" s="3" t="s">
        <v>31</v>
      </c>
      <c r="B4" s="81">
        <v>4.999999888241291E-3</v>
      </c>
      <c r="C4" s="81">
        <v>9.9999997764825821E-3</v>
      </c>
      <c r="D4" s="81">
        <v>1.4999999664723873E-2</v>
      </c>
      <c r="E4" s="81">
        <v>1.9999999552965164E-2</v>
      </c>
      <c r="F4" s="81">
        <v>2.4999998509883881E-2</v>
      </c>
      <c r="G4" s="81">
        <v>2.9999999329447746E-2</v>
      </c>
      <c r="H4" s="81">
        <v>3.5000000149011612E-2</v>
      </c>
      <c r="I4" s="81">
        <v>3.9999999105930328E-2</v>
      </c>
      <c r="J4" s="81">
        <v>4.4999998062849045E-2</v>
      </c>
      <c r="K4" s="81">
        <v>4.9999997019767761E-2</v>
      </c>
      <c r="L4" s="20">
        <f>MATCH($M$4,OutputAddresses,0)</f>
        <v>4</v>
      </c>
      <c r="M4" s="19" t="s">
        <v>22</v>
      </c>
      <c r="N4" s="83">
        <v>4.999999888241291E-3</v>
      </c>
      <c r="O4" s="20">
        <f>MATCH($N$4,InputValues1,0)</f>
        <v>1</v>
      </c>
      <c r="P4" s="20">
        <f>MATCH($Q$4,OutputAddresses,0)</f>
        <v>4</v>
      </c>
      <c r="Q4" s="19" t="s">
        <v>22</v>
      </c>
      <c r="R4" s="83">
        <v>4.999999888241291E-3</v>
      </c>
      <c r="S4" s="20">
        <f>MATCH($R$4,InputValues2,0)</f>
        <v>1</v>
      </c>
      <c r="AZ4" t="s">
        <v>33</v>
      </c>
    </row>
    <row r="5" spans="1:52" x14ac:dyDescent="0.55000000000000004">
      <c r="A5" s="82">
        <v>4.999999888241291E-3</v>
      </c>
      <c r="B5" s="59">
        <v>223986.9</v>
      </c>
      <c r="C5" s="60">
        <v>223986.9</v>
      </c>
      <c r="D5" s="60">
        <v>223986.9</v>
      </c>
      <c r="E5" s="60">
        <v>223986.9</v>
      </c>
      <c r="F5" s="60">
        <v>223986.9</v>
      </c>
      <c r="G5" s="60">
        <v>223986.9</v>
      </c>
      <c r="H5" s="60">
        <v>223986.9</v>
      </c>
      <c r="I5" s="60">
        <v>223986.9</v>
      </c>
      <c r="J5" s="60">
        <v>223986.9</v>
      </c>
      <c r="K5" s="90">
        <v>223986.9</v>
      </c>
      <c r="L5" s="20" t="str">
        <f>"OutputValues_"&amp;$L$4</f>
        <v>OutputValues_4</v>
      </c>
      <c r="M5" s="93">
        <f ca="1">INDEX(INDIRECT($L$5),$O$4,1)</f>
        <v>16963.992567908012</v>
      </c>
      <c r="P5" s="20" t="str">
        <f>"OutputValues_"&amp;$P$4</f>
        <v>OutputValues_4</v>
      </c>
      <c r="Q5" s="93">
        <f ca="1">INDEX(INDIRECT($P$5),1,$S$4)</f>
        <v>16963.992567908012</v>
      </c>
      <c r="AZ5" t="s">
        <v>22</v>
      </c>
    </row>
    <row r="6" spans="1:52" x14ac:dyDescent="0.55000000000000004">
      <c r="A6" s="82">
        <v>9.9999997764825821E-3</v>
      </c>
      <c r="B6" s="62">
        <v>223986.9</v>
      </c>
      <c r="C6" s="63">
        <v>223986.9</v>
      </c>
      <c r="D6" s="63">
        <v>223986.9</v>
      </c>
      <c r="E6" s="63">
        <v>223986.9</v>
      </c>
      <c r="F6" s="63">
        <v>223986.9</v>
      </c>
      <c r="G6" s="63">
        <v>223986.9</v>
      </c>
      <c r="H6" s="63">
        <v>223986.9</v>
      </c>
      <c r="I6" s="63">
        <v>223986.9</v>
      </c>
      <c r="J6" s="63">
        <v>223986.9</v>
      </c>
      <c r="K6" s="91">
        <v>223986.9</v>
      </c>
      <c r="L6" s="94"/>
      <c r="M6" s="93">
        <f ca="1">INDEX(INDIRECT($L$5),$O$4,2)</f>
        <v>17650.03763039269</v>
      </c>
      <c r="Q6" s="93">
        <f ca="1">INDEX(INDIRECT($P$5),2,$S$4)</f>
        <v>30790.343831046735</v>
      </c>
    </row>
    <row r="7" spans="1:52" x14ac:dyDescent="0.55000000000000004">
      <c r="A7" s="82">
        <v>1.4999999664723873E-2</v>
      </c>
      <c r="B7" s="62">
        <v>223986.9</v>
      </c>
      <c r="C7" s="63">
        <v>223986.9</v>
      </c>
      <c r="D7" s="63">
        <v>223986.9</v>
      </c>
      <c r="E7" s="63">
        <v>223986.9</v>
      </c>
      <c r="F7" s="63">
        <v>223986.9</v>
      </c>
      <c r="G7" s="63">
        <v>223986.9</v>
      </c>
      <c r="H7" s="63">
        <v>223986.9</v>
      </c>
      <c r="I7" s="63">
        <v>223986.9</v>
      </c>
      <c r="J7" s="63">
        <v>223986.9</v>
      </c>
      <c r="K7" s="91">
        <v>223986.9</v>
      </c>
      <c r="M7" s="93">
        <f ca="1">INDEX(INDIRECT($L$5),$O$4,3)</f>
        <v>18370.214566635568</v>
      </c>
      <c r="Q7" s="93">
        <f ca="1">INDEX(INDIRECT($P$5),3,$S$4)</f>
        <v>44616.695094185459</v>
      </c>
    </row>
    <row r="8" spans="1:52" x14ac:dyDescent="0.55000000000000004">
      <c r="A8" s="82">
        <v>1.9999999552965164E-2</v>
      </c>
      <c r="B8" s="62">
        <v>223986.9</v>
      </c>
      <c r="C8" s="63">
        <v>223986.9</v>
      </c>
      <c r="D8" s="63">
        <v>223986.9</v>
      </c>
      <c r="E8" s="63">
        <v>223986.9</v>
      </c>
      <c r="F8" s="63">
        <v>223986.9</v>
      </c>
      <c r="G8" s="63">
        <v>223986.9</v>
      </c>
      <c r="H8" s="63">
        <v>223986.9</v>
      </c>
      <c r="I8" s="63">
        <v>223986.9</v>
      </c>
      <c r="J8" s="63">
        <v>223986.9</v>
      </c>
      <c r="K8" s="91">
        <v>223986.9</v>
      </c>
      <c r="M8" s="93">
        <f ca="1">INDEX(INDIRECT($L$5),$O$4,4)</f>
        <v>19144.791549890557</v>
      </c>
      <c r="Q8" s="93">
        <f ca="1">INDEX(INDIRECT($P$5),4,$S$4)</f>
        <v>58443.046357324187</v>
      </c>
    </row>
    <row r="9" spans="1:52" x14ac:dyDescent="0.55000000000000004">
      <c r="A9" s="82">
        <v>2.4999998509883881E-2</v>
      </c>
      <c r="B9" s="62">
        <v>223986.9</v>
      </c>
      <c r="C9" s="63">
        <v>223986.9</v>
      </c>
      <c r="D9" s="63">
        <v>223986.9</v>
      </c>
      <c r="E9" s="63">
        <v>223986.9</v>
      </c>
      <c r="F9" s="63">
        <v>223986.9</v>
      </c>
      <c r="G9" s="63">
        <v>223986.9</v>
      </c>
      <c r="H9" s="63">
        <v>223986.9</v>
      </c>
      <c r="I9" s="63">
        <v>223986.9</v>
      </c>
      <c r="J9" s="63">
        <v>223986.9</v>
      </c>
      <c r="K9" s="91">
        <v>223986.9</v>
      </c>
      <c r="M9" s="93">
        <f ca="1">INDEX(INDIRECT($L$5),$O$4,5)</f>
        <v>19919.368388869338</v>
      </c>
      <c r="Q9" s="93">
        <f ca="1">INDEX(INDIRECT($P$5),5,$S$4)</f>
        <v>72269.395045104233</v>
      </c>
    </row>
    <row r="10" spans="1:52" x14ac:dyDescent="0.55000000000000004">
      <c r="A10" s="82">
        <v>2.9999999329447746E-2</v>
      </c>
      <c r="B10" s="62">
        <v>223986.9</v>
      </c>
      <c r="C10" s="63">
        <v>223986.9</v>
      </c>
      <c r="D10" s="63">
        <v>223986.9</v>
      </c>
      <c r="E10" s="63">
        <v>223986.9</v>
      </c>
      <c r="F10" s="63">
        <v>223986.9</v>
      </c>
      <c r="G10" s="63">
        <v>223986.9</v>
      </c>
      <c r="H10" s="63">
        <v>223986.9</v>
      </c>
      <c r="I10" s="63">
        <v>223986.9</v>
      </c>
      <c r="J10" s="63">
        <v>223986.9</v>
      </c>
      <c r="K10" s="91">
        <v>223986.9</v>
      </c>
      <c r="M10" s="93">
        <f ca="1">INDEX(INDIRECT($L$5),$O$4,6)</f>
        <v>20693.945516400534</v>
      </c>
      <c r="Q10" s="93">
        <f ca="1">INDEX(INDIRECT($P$5),6,$S$4)</f>
        <v>86095.748883601627</v>
      </c>
    </row>
    <row r="11" spans="1:52" x14ac:dyDescent="0.55000000000000004">
      <c r="A11" s="82">
        <v>3.5000000149011612E-2</v>
      </c>
      <c r="B11" s="62">
        <v>223986.9</v>
      </c>
      <c r="C11" s="63">
        <v>223986.9</v>
      </c>
      <c r="D11" s="63">
        <v>223986.9</v>
      </c>
      <c r="E11" s="63">
        <v>223986.9</v>
      </c>
      <c r="F11" s="63">
        <v>223986.9</v>
      </c>
      <c r="G11" s="63">
        <v>223986.9</v>
      </c>
      <c r="H11" s="63">
        <v>223986.9</v>
      </c>
      <c r="I11" s="63">
        <v>223986.9</v>
      </c>
      <c r="J11" s="63">
        <v>223986.9</v>
      </c>
      <c r="K11" s="91">
        <v>223986.9</v>
      </c>
      <c r="M11" s="93">
        <f ca="1">INDEX(INDIRECT($L$5),$O$4,7)</f>
        <v>21468.52264393173</v>
      </c>
      <c r="Q11" s="93">
        <f ca="1">INDEX(INDIRECT($P$5),7,$S$4)</f>
        <v>99922.102722099022</v>
      </c>
    </row>
    <row r="12" spans="1:52" x14ac:dyDescent="0.55000000000000004">
      <c r="A12" s="82">
        <v>3.9999999105930328E-2</v>
      </c>
      <c r="B12" s="62">
        <v>223986.9</v>
      </c>
      <c r="C12" s="63">
        <v>223986.9</v>
      </c>
      <c r="D12" s="63">
        <v>223986.9</v>
      </c>
      <c r="E12" s="63">
        <v>223986.9</v>
      </c>
      <c r="F12" s="63">
        <v>223986.9</v>
      </c>
      <c r="G12" s="63">
        <v>223986.9</v>
      </c>
      <c r="H12" s="63">
        <v>223986.9</v>
      </c>
      <c r="I12" s="63">
        <v>223986.9</v>
      </c>
      <c r="J12" s="63">
        <v>223986.9</v>
      </c>
      <c r="K12" s="91">
        <v>223986.9</v>
      </c>
      <c r="M12" s="93">
        <f ca="1">INDEX(INDIRECT($L$5),$O$4,8)</f>
        <v>22243.099482910511</v>
      </c>
      <c r="Q12" s="93">
        <f ca="1">INDEX(INDIRECT($P$5),8,$S$4)</f>
        <v>113748.45140987908</v>
      </c>
    </row>
    <row r="13" spans="1:52" x14ac:dyDescent="0.55000000000000004">
      <c r="A13" s="82">
        <v>4.4999998062849045E-2</v>
      </c>
      <c r="B13" s="62">
        <v>223986.9</v>
      </c>
      <c r="C13" s="63">
        <v>223986.9</v>
      </c>
      <c r="D13" s="63">
        <v>223986.9</v>
      </c>
      <c r="E13" s="63">
        <v>223986.9</v>
      </c>
      <c r="F13" s="63">
        <v>223986.9</v>
      </c>
      <c r="G13" s="63">
        <v>223986.9</v>
      </c>
      <c r="H13" s="63">
        <v>223986.9</v>
      </c>
      <c r="I13" s="63">
        <v>223986.9</v>
      </c>
      <c r="J13" s="63">
        <v>223986.9</v>
      </c>
      <c r="K13" s="91">
        <v>223986.9</v>
      </c>
      <c r="M13" s="93">
        <f ca="1">INDEX(INDIRECT($L$5),$O$4,9)</f>
        <v>23017.676321889288</v>
      </c>
      <c r="Q13" s="93">
        <f ca="1">INDEX(INDIRECT($P$5),9,$S$4)</f>
        <v>127574.80009765914</v>
      </c>
    </row>
    <row r="14" spans="1:52" x14ac:dyDescent="0.55000000000000004">
      <c r="A14" s="82">
        <v>4.9999997019767761E-2</v>
      </c>
      <c r="B14" s="65">
        <v>223986.9</v>
      </c>
      <c r="C14" s="66">
        <v>223986.9</v>
      </c>
      <c r="D14" s="66">
        <v>223986.9</v>
      </c>
      <c r="E14" s="66">
        <v>223986.9</v>
      </c>
      <c r="F14" s="66">
        <v>223986.9</v>
      </c>
      <c r="G14" s="66">
        <v>223986.9</v>
      </c>
      <c r="H14" s="66">
        <v>223986.9</v>
      </c>
      <c r="I14" s="66">
        <v>223986.9</v>
      </c>
      <c r="J14" s="66">
        <v>223986.9</v>
      </c>
      <c r="K14" s="92">
        <v>223986.9</v>
      </c>
      <c r="M14" s="93">
        <f ca="1">INDEX(INDIRECT($L$5),$O$4,10)</f>
        <v>23792.253160868069</v>
      </c>
      <c r="Q14" s="93">
        <f ca="1">INDEX(INDIRECT($P$5),10,$S$4)</f>
        <v>141401.1487854392</v>
      </c>
    </row>
    <row r="16" spans="1:52" x14ac:dyDescent="0.55000000000000004">
      <c r="A16" s="3" t="s">
        <v>32</v>
      </c>
      <c r="B16" s="81">
        <v>4.999999888241291E-3</v>
      </c>
      <c r="C16" s="81">
        <v>9.9999997764825821E-3</v>
      </c>
      <c r="D16" s="81">
        <v>1.4999999664723873E-2</v>
      </c>
      <c r="E16" s="81">
        <v>1.9999999552965164E-2</v>
      </c>
      <c r="F16" s="81">
        <v>2.4999998509883881E-2</v>
      </c>
      <c r="G16" s="81">
        <v>2.9999999329447746E-2</v>
      </c>
      <c r="H16" s="81">
        <v>3.5000000149011612E-2</v>
      </c>
      <c r="I16" s="81">
        <v>3.9999999105930328E-2</v>
      </c>
      <c r="J16" s="81">
        <v>4.4999998062849045E-2</v>
      </c>
      <c r="K16" s="81">
        <v>4.9999997019767761E-2</v>
      </c>
    </row>
    <row r="17" spans="1:11" x14ac:dyDescent="0.55000000000000004">
      <c r="A17" s="82">
        <v>4.999999888241291E-3</v>
      </c>
      <c r="B17" s="59">
        <v>351255.08</v>
      </c>
      <c r="C17" s="60">
        <v>351255.08</v>
      </c>
      <c r="D17" s="60">
        <v>396583.42</v>
      </c>
      <c r="E17" s="60">
        <v>396583.42</v>
      </c>
      <c r="F17" s="60">
        <v>396583.42</v>
      </c>
      <c r="G17" s="60">
        <v>396583.42</v>
      </c>
      <c r="H17" s="60">
        <v>396583.42</v>
      </c>
      <c r="I17" s="60">
        <v>396583.42</v>
      </c>
      <c r="J17" s="60">
        <v>396583.42</v>
      </c>
      <c r="K17" s="90">
        <v>396583.42</v>
      </c>
    </row>
    <row r="18" spans="1:11" x14ac:dyDescent="0.55000000000000004">
      <c r="A18" s="82">
        <v>9.9999997764825821E-3</v>
      </c>
      <c r="B18" s="62">
        <v>351255.08</v>
      </c>
      <c r="C18" s="63">
        <v>351255.08</v>
      </c>
      <c r="D18" s="63">
        <v>396583.42</v>
      </c>
      <c r="E18" s="63">
        <v>396583.42</v>
      </c>
      <c r="F18" s="63">
        <v>396583.42</v>
      </c>
      <c r="G18" s="63">
        <v>396583.42</v>
      </c>
      <c r="H18" s="63">
        <v>396583.42</v>
      </c>
      <c r="I18" s="63">
        <v>396583.42</v>
      </c>
      <c r="J18" s="63">
        <v>396583.42</v>
      </c>
      <c r="K18" s="91">
        <v>396583.42</v>
      </c>
    </row>
    <row r="19" spans="1:11" x14ac:dyDescent="0.55000000000000004">
      <c r="A19" s="82">
        <v>1.4999999664723873E-2</v>
      </c>
      <c r="B19" s="62">
        <v>351255.08</v>
      </c>
      <c r="C19" s="63">
        <v>351255.08</v>
      </c>
      <c r="D19" s="63">
        <v>396583.42</v>
      </c>
      <c r="E19" s="63">
        <v>396583.42</v>
      </c>
      <c r="F19" s="63">
        <v>396583.42</v>
      </c>
      <c r="G19" s="63">
        <v>396583.42</v>
      </c>
      <c r="H19" s="63">
        <v>396583.42</v>
      </c>
      <c r="I19" s="63">
        <v>396583.42</v>
      </c>
      <c r="J19" s="63">
        <v>396583.42</v>
      </c>
      <c r="K19" s="91">
        <v>396583.42</v>
      </c>
    </row>
    <row r="20" spans="1:11" x14ac:dyDescent="0.55000000000000004">
      <c r="A20" s="82">
        <v>1.9999999552965164E-2</v>
      </c>
      <c r="B20" s="62">
        <v>351255.08</v>
      </c>
      <c r="C20" s="63">
        <v>351255.08</v>
      </c>
      <c r="D20" s="63">
        <v>396583.42</v>
      </c>
      <c r="E20" s="63">
        <v>396583.42</v>
      </c>
      <c r="F20" s="63">
        <v>396583.42</v>
      </c>
      <c r="G20" s="63">
        <v>396583.42</v>
      </c>
      <c r="H20" s="63">
        <v>396583.42</v>
      </c>
      <c r="I20" s="63">
        <v>396583.42</v>
      </c>
      <c r="J20" s="63">
        <v>396583.42</v>
      </c>
      <c r="K20" s="91">
        <v>396583.42</v>
      </c>
    </row>
    <row r="21" spans="1:11" x14ac:dyDescent="0.55000000000000004">
      <c r="A21" s="82">
        <v>2.4999998509883881E-2</v>
      </c>
      <c r="B21" s="62">
        <v>351255.08</v>
      </c>
      <c r="C21" s="63">
        <v>351255.08</v>
      </c>
      <c r="D21" s="63">
        <v>396583.42</v>
      </c>
      <c r="E21" s="63">
        <v>396583.42</v>
      </c>
      <c r="F21" s="63">
        <v>396583.42</v>
      </c>
      <c r="G21" s="63">
        <v>396583.42</v>
      </c>
      <c r="H21" s="63">
        <v>396583.42</v>
      </c>
      <c r="I21" s="63">
        <v>396583.42</v>
      </c>
      <c r="J21" s="63">
        <v>396583.42</v>
      </c>
      <c r="K21" s="91">
        <v>396583.42</v>
      </c>
    </row>
    <row r="22" spans="1:11" x14ac:dyDescent="0.55000000000000004">
      <c r="A22" s="82">
        <v>2.9999999329447746E-2</v>
      </c>
      <c r="B22" s="62">
        <v>351255.08</v>
      </c>
      <c r="C22" s="63">
        <v>351255.08</v>
      </c>
      <c r="D22" s="63">
        <v>396583.42</v>
      </c>
      <c r="E22" s="63">
        <v>396583.42</v>
      </c>
      <c r="F22" s="63">
        <v>396583.42</v>
      </c>
      <c r="G22" s="63">
        <v>396583.42</v>
      </c>
      <c r="H22" s="63">
        <v>396583.42</v>
      </c>
      <c r="I22" s="63">
        <v>396583.42</v>
      </c>
      <c r="J22" s="63">
        <v>396583.42</v>
      </c>
      <c r="K22" s="91">
        <v>396583.42</v>
      </c>
    </row>
    <row r="23" spans="1:11" x14ac:dyDescent="0.55000000000000004">
      <c r="A23" s="82">
        <v>3.5000000149011612E-2</v>
      </c>
      <c r="B23" s="62">
        <v>351255.08</v>
      </c>
      <c r="C23" s="63">
        <v>351255.08</v>
      </c>
      <c r="D23" s="63">
        <v>396583.42</v>
      </c>
      <c r="E23" s="63">
        <v>396583.42</v>
      </c>
      <c r="F23" s="63">
        <v>396583.42</v>
      </c>
      <c r="G23" s="63">
        <v>396583.42</v>
      </c>
      <c r="H23" s="63">
        <v>396583.42</v>
      </c>
      <c r="I23" s="63">
        <v>396583.42</v>
      </c>
      <c r="J23" s="63">
        <v>396583.42</v>
      </c>
      <c r="K23" s="91">
        <v>396583.42</v>
      </c>
    </row>
    <row r="24" spans="1:11" x14ac:dyDescent="0.55000000000000004">
      <c r="A24" s="82">
        <v>3.9999999105930328E-2</v>
      </c>
      <c r="B24" s="62">
        <v>351255.08</v>
      </c>
      <c r="C24" s="63">
        <v>351255.08</v>
      </c>
      <c r="D24" s="63">
        <v>396583.42</v>
      </c>
      <c r="E24" s="63">
        <v>396583.42</v>
      </c>
      <c r="F24" s="63">
        <v>396583.42</v>
      </c>
      <c r="G24" s="63">
        <v>396583.42</v>
      </c>
      <c r="H24" s="63">
        <v>396583.42</v>
      </c>
      <c r="I24" s="63">
        <v>396583.42</v>
      </c>
      <c r="J24" s="63">
        <v>396583.42</v>
      </c>
      <c r="K24" s="91">
        <v>396583.42</v>
      </c>
    </row>
    <row r="25" spans="1:11" x14ac:dyDescent="0.55000000000000004">
      <c r="A25" s="82">
        <v>4.4999998062849045E-2</v>
      </c>
      <c r="B25" s="62">
        <v>351255.08</v>
      </c>
      <c r="C25" s="63">
        <v>351255.08</v>
      </c>
      <c r="D25" s="63">
        <v>396583.42</v>
      </c>
      <c r="E25" s="63">
        <v>396583.42</v>
      </c>
      <c r="F25" s="63">
        <v>396583.42</v>
      </c>
      <c r="G25" s="63">
        <v>396583.42</v>
      </c>
      <c r="H25" s="63">
        <v>396583.42</v>
      </c>
      <c r="I25" s="63">
        <v>396583.42</v>
      </c>
      <c r="J25" s="63">
        <v>396583.42</v>
      </c>
      <c r="K25" s="91">
        <v>396583.42</v>
      </c>
    </row>
    <row r="26" spans="1:11" x14ac:dyDescent="0.55000000000000004">
      <c r="A26" s="82">
        <v>4.9999997019767761E-2</v>
      </c>
      <c r="B26" s="65">
        <v>351255.08</v>
      </c>
      <c r="C26" s="66">
        <v>351255.08</v>
      </c>
      <c r="D26" s="66">
        <v>396583.42</v>
      </c>
      <c r="E26" s="66">
        <v>396583.42</v>
      </c>
      <c r="F26" s="66">
        <v>396583.42</v>
      </c>
      <c r="G26" s="66">
        <v>396583.42</v>
      </c>
      <c r="H26" s="66">
        <v>396583.42</v>
      </c>
      <c r="I26" s="66">
        <v>396583.42</v>
      </c>
      <c r="J26" s="66">
        <v>396583.42</v>
      </c>
      <c r="K26" s="92">
        <v>396583.42</v>
      </c>
    </row>
    <row r="28" spans="1:11" x14ac:dyDescent="0.55000000000000004">
      <c r="A28" s="3" t="s">
        <v>33</v>
      </c>
      <c r="B28" s="81">
        <v>4.999999888241291E-3</v>
      </c>
      <c r="C28" s="81">
        <v>9.9999997764825821E-3</v>
      </c>
      <c r="D28" s="81">
        <v>1.4999999664723873E-2</v>
      </c>
      <c r="E28" s="81">
        <v>1.9999999552965164E-2</v>
      </c>
      <c r="F28" s="81">
        <v>2.4999998509883881E-2</v>
      </c>
      <c r="G28" s="81">
        <v>2.9999999329447746E-2</v>
      </c>
      <c r="H28" s="81">
        <v>3.5000000149011612E-2</v>
      </c>
      <c r="I28" s="81">
        <v>3.9999999105930328E-2</v>
      </c>
      <c r="J28" s="81">
        <v>4.4999998062849045E-2</v>
      </c>
      <c r="K28" s="81">
        <v>4.9999997019767761E-2</v>
      </c>
    </row>
    <row r="29" spans="1:11" x14ac:dyDescent="0.55000000000000004">
      <c r="A29" s="82">
        <v>4.999999888241291E-3</v>
      </c>
      <c r="B29" s="59">
        <v>480104.26</v>
      </c>
      <c r="C29" s="60">
        <v>480104.26</v>
      </c>
      <c r="D29" s="60">
        <v>434775.92</v>
      </c>
      <c r="E29" s="60">
        <v>434775.92</v>
      </c>
      <c r="F29" s="60">
        <v>434775.92</v>
      </c>
      <c r="G29" s="60">
        <v>434775.92</v>
      </c>
      <c r="H29" s="60">
        <v>434775.92</v>
      </c>
      <c r="I29" s="60">
        <v>434775.92</v>
      </c>
      <c r="J29" s="60">
        <v>434775.92</v>
      </c>
      <c r="K29" s="90">
        <v>434775.92</v>
      </c>
    </row>
    <row r="30" spans="1:11" x14ac:dyDescent="0.55000000000000004">
      <c r="A30" s="82">
        <v>9.9999997764825821E-3</v>
      </c>
      <c r="B30" s="62">
        <v>480104.26</v>
      </c>
      <c r="C30" s="63">
        <v>480104.26</v>
      </c>
      <c r="D30" s="63">
        <v>434775.92</v>
      </c>
      <c r="E30" s="63">
        <v>434775.92</v>
      </c>
      <c r="F30" s="63">
        <v>434775.92</v>
      </c>
      <c r="G30" s="63">
        <v>434775.92</v>
      </c>
      <c r="H30" s="63">
        <v>434775.92</v>
      </c>
      <c r="I30" s="63">
        <v>434775.92</v>
      </c>
      <c r="J30" s="63">
        <v>434775.92</v>
      </c>
      <c r="K30" s="91">
        <v>434775.92</v>
      </c>
    </row>
    <row r="31" spans="1:11" x14ac:dyDescent="0.55000000000000004">
      <c r="A31" s="82">
        <v>1.4999999664723873E-2</v>
      </c>
      <c r="B31" s="62">
        <v>480104.26</v>
      </c>
      <c r="C31" s="63">
        <v>480104.26</v>
      </c>
      <c r="D31" s="63">
        <v>434775.92</v>
      </c>
      <c r="E31" s="63">
        <v>434775.92</v>
      </c>
      <c r="F31" s="63">
        <v>434775.92</v>
      </c>
      <c r="G31" s="63">
        <v>434775.92</v>
      </c>
      <c r="H31" s="63">
        <v>434775.92</v>
      </c>
      <c r="I31" s="63">
        <v>434775.92</v>
      </c>
      <c r="J31" s="63">
        <v>434775.92</v>
      </c>
      <c r="K31" s="91">
        <v>434775.92</v>
      </c>
    </row>
    <row r="32" spans="1:11" x14ac:dyDescent="0.55000000000000004">
      <c r="A32" s="82">
        <v>1.9999999552965164E-2</v>
      </c>
      <c r="B32" s="62">
        <v>480104.26</v>
      </c>
      <c r="C32" s="63">
        <v>480104.26</v>
      </c>
      <c r="D32" s="63">
        <v>434775.92</v>
      </c>
      <c r="E32" s="63">
        <v>434775.92</v>
      </c>
      <c r="F32" s="63">
        <v>434775.92</v>
      </c>
      <c r="G32" s="63">
        <v>434775.92</v>
      </c>
      <c r="H32" s="63">
        <v>434775.92</v>
      </c>
      <c r="I32" s="63">
        <v>434775.92</v>
      </c>
      <c r="J32" s="63">
        <v>434775.92</v>
      </c>
      <c r="K32" s="91">
        <v>434775.92</v>
      </c>
    </row>
    <row r="33" spans="1:11" x14ac:dyDescent="0.55000000000000004">
      <c r="A33" s="82">
        <v>2.4999998509883881E-2</v>
      </c>
      <c r="B33" s="62">
        <v>480104.26</v>
      </c>
      <c r="C33" s="63">
        <v>480104.26</v>
      </c>
      <c r="D33" s="63">
        <v>434775.92</v>
      </c>
      <c r="E33" s="63">
        <v>434775.92</v>
      </c>
      <c r="F33" s="63">
        <v>434775.92</v>
      </c>
      <c r="G33" s="63">
        <v>434775.92</v>
      </c>
      <c r="H33" s="63">
        <v>434775.92</v>
      </c>
      <c r="I33" s="63">
        <v>434775.92</v>
      </c>
      <c r="J33" s="63">
        <v>434775.92</v>
      </c>
      <c r="K33" s="91">
        <v>434775.92</v>
      </c>
    </row>
    <row r="34" spans="1:11" x14ac:dyDescent="0.55000000000000004">
      <c r="A34" s="82">
        <v>2.9999999329447746E-2</v>
      </c>
      <c r="B34" s="62">
        <v>480104.26</v>
      </c>
      <c r="C34" s="63">
        <v>480104.26</v>
      </c>
      <c r="D34" s="63">
        <v>434775.92</v>
      </c>
      <c r="E34" s="63">
        <v>434775.92</v>
      </c>
      <c r="F34" s="63">
        <v>434775.92</v>
      </c>
      <c r="G34" s="63">
        <v>434775.92</v>
      </c>
      <c r="H34" s="63">
        <v>434775.92</v>
      </c>
      <c r="I34" s="63">
        <v>434775.92</v>
      </c>
      <c r="J34" s="63">
        <v>434775.92</v>
      </c>
      <c r="K34" s="91">
        <v>434775.92</v>
      </c>
    </row>
    <row r="35" spans="1:11" x14ac:dyDescent="0.55000000000000004">
      <c r="A35" s="82">
        <v>3.5000000149011612E-2</v>
      </c>
      <c r="B35" s="62">
        <v>480104.26</v>
      </c>
      <c r="C35" s="63">
        <v>480104.26</v>
      </c>
      <c r="D35" s="63">
        <v>434775.92</v>
      </c>
      <c r="E35" s="63">
        <v>434775.92</v>
      </c>
      <c r="F35" s="63">
        <v>434775.92</v>
      </c>
      <c r="G35" s="63">
        <v>434775.92</v>
      </c>
      <c r="H35" s="63">
        <v>434775.92</v>
      </c>
      <c r="I35" s="63">
        <v>434775.92</v>
      </c>
      <c r="J35" s="63">
        <v>434775.92</v>
      </c>
      <c r="K35" s="91">
        <v>434775.92</v>
      </c>
    </row>
    <row r="36" spans="1:11" x14ac:dyDescent="0.55000000000000004">
      <c r="A36" s="82">
        <v>3.9999999105930328E-2</v>
      </c>
      <c r="B36" s="62">
        <v>480104.26</v>
      </c>
      <c r="C36" s="63">
        <v>480104.26</v>
      </c>
      <c r="D36" s="63">
        <v>434775.92</v>
      </c>
      <c r="E36" s="63">
        <v>434775.92</v>
      </c>
      <c r="F36" s="63">
        <v>434775.92</v>
      </c>
      <c r="G36" s="63">
        <v>434775.92</v>
      </c>
      <c r="H36" s="63">
        <v>434775.92</v>
      </c>
      <c r="I36" s="63">
        <v>434775.92</v>
      </c>
      <c r="J36" s="63">
        <v>434775.92</v>
      </c>
      <c r="K36" s="91">
        <v>434775.92</v>
      </c>
    </row>
    <row r="37" spans="1:11" x14ac:dyDescent="0.55000000000000004">
      <c r="A37" s="82">
        <v>4.4999998062849045E-2</v>
      </c>
      <c r="B37" s="62">
        <v>480104.26</v>
      </c>
      <c r="C37" s="63">
        <v>480104.26</v>
      </c>
      <c r="D37" s="63">
        <v>434775.92</v>
      </c>
      <c r="E37" s="63">
        <v>434775.92</v>
      </c>
      <c r="F37" s="63">
        <v>434775.92</v>
      </c>
      <c r="G37" s="63">
        <v>434775.92</v>
      </c>
      <c r="H37" s="63">
        <v>434775.92</v>
      </c>
      <c r="I37" s="63">
        <v>434775.92</v>
      </c>
      <c r="J37" s="63">
        <v>434775.92</v>
      </c>
      <c r="K37" s="91">
        <v>434775.92</v>
      </c>
    </row>
    <row r="38" spans="1:11" x14ac:dyDescent="0.55000000000000004">
      <c r="A38" s="82">
        <v>4.9999997019767761E-2</v>
      </c>
      <c r="B38" s="65">
        <v>480104.26</v>
      </c>
      <c r="C38" s="66">
        <v>480104.26</v>
      </c>
      <c r="D38" s="66">
        <v>434775.92</v>
      </c>
      <c r="E38" s="66">
        <v>434775.92</v>
      </c>
      <c r="F38" s="66">
        <v>434775.92</v>
      </c>
      <c r="G38" s="66">
        <v>434775.92</v>
      </c>
      <c r="H38" s="66">
        <v>434775.92</v>
      </c>
      <c r="I38" s="66">
        <v>434775.92</v>
      </c>
      <c r="J38" s="66">
        <v>434775.92</v>
      </c>
      <c r="K38" s="92">
        <v>434775.92</v>
      </c>
    </row>
    <row r="40" spans="1:11" x14ac:dyDescent="0.55000000000000004">
      <c r="A40" s="3" t="s">
        <v>22</v>
      </c>
      <c r="B40" s="81">
        <v>4.999999888241291E-3</v>
      </c>
      <c r="C40" s="81">
        <v>9.9999997764825821E-3</v>
      </c>
      <c r="D40" s="81">
        <v>1.4999999664723873E-2</v>
      </c>
      <c r="E40" s="81">
        <v>1.9999999552965164E-2</v>
      </c>
      <c r="F40" s="81">
        <v>2.4999998509883881E-2</v>
      </c>
      <c r="G40" s="81">
        <v>2.9999999329447746E-2</v>
      </c>
      <c r="H40" s="81">
        <v>3.5000000149011612E-2</v>
      </c>
      <c r="I40" s="81">
        <v>3.9999999105930328E-2</v>
      </c>
      <c r="J40" s="81">
        <v>4.4999998062849045E-2</v>
      </c>
      <c r="K40" s="81">
        <v>4.9999997019767761E-2</v>
      </c>
    </row>
    <row r="41" spans="1:11" x14ac:dyDescent="0.55000000000000004">
      <c r="A41" s="82">
        <v>4.999999888241291E-3</v>
      </c>
      <c r="B41" s="84">
        <v>16963.992567908012</v>
      </c>
      <c r="C41" s="87">
        <v>17650.03763039269</v>
      </c>
      <c r="D41" s="87">
        <v>18370.214566635568</v>
      </c>
      <c r="E41" s="87">
        <v>19144.791549890557</v>
      </c>
      <c r="F41" s="87">
        <v>19919.368388869338</v>
      </c>
      <c r="G41" s="87">
        <v>20693.945516400534</v>
      </c>
      <c r="H41" s="87">
        <v>21468.52264393173</v>
      </c>
      <c r="I41" s="87">
        <v>22243.099482910511</v>
      </c>
      <c r="J41" s="87">
        <v>23017.676321889288</v>
      </c>
      <c r="K41" s="61">
        <v>23792.253160868069</v>
      </c>
    </row>
    <row r="42" spans="1:11" x14ac:dyDescent="0.55000000000000004">
      <c r="A42" s="82">
        <v>9.9999997764825821E-3</v>
      </c>
      <c r="B42" s="85">
        <v>30790.343831046735</v>
      </c>
      <c r="C42" s="88">
        <v>31476.388893531413</v>
      </c>
      <c r="D42" s="88">
        <v>32196.565829774296</v>
      </c>
      <c r="E42" s="88">
        <v>32971.142813029284</v>
      </c>
      <c r="F42" s="88">
        <v>33745.719652008062</v>
      </c>
      <c r="G42" s="88">
        <v>34520.296779539261</v>
      </c>
      <c r="H42" s="88">
        <v>35294.873907070461</v>
      </c>
      <c r="I42" s="88">
        <v>36069.450746049231</v>
      </c>
      <c r="J42" s="88">
        <v>36844.027585028016</v>
      </c>
      <c r="K42" s="64">
        <v>37618.6044240068</v>
      </c>
    </row>
    <row r="43" spans="1:11" x14ac:dyDescent="0.55000000000000004">
      <c r="A43" s="82">
        <v>1.4999999664723873E-2</v>
      </c>
      <c r="B43" s="85">
        <v>44616.695094185459</v>
      </c>
      <c r="C43" s="88">
        <v>45302.740156670137</v>
      </c>
      <c r="D43" s="88">
        <v>46022.91709291302</v>
      </c>
      <c r="E43" s="88">
        <v>46797.494076168005</v>
      </c>
      <c r="F43" s="88">
        <v>47572.070915146789</v>
      </c>
      <c r="G43" s="88">
        <v>48346.648042677989</v>
      </c>
      <c r="H43" s="88">
        <v>49121.225170209174</v>
      </c>
      <c r="I43" s="88">
        <v>49895.802009187959</v>
      </c>
      <c r="J43" s="88">
        <v>50670.378848166743</v>
      </c>
      <c r="K43" s="64">
        <v>51444.955687145513</v>
      </c>
    </row>
    <row r="44" spans="1:11" x14ac:dyDescent="0.55000000000000004">
      <c r="A44" s="82">
        <v>1.9999999552965164E-2</v>
      </c>
      <c r="B44" s="85">
        <v>58443.046357324187</v>
      </c>
      <c r="C44" s="88">
        <v>59129.091419808865</v>
      </c>
      <c r="D44" s="88">
        <v>59849.268356051747</v>
      </c>
      <c r="E44" s="88">
        <v>60623.845339306732</v>
      </c>
      <c r="F44" s="88">
        <v>61398.422178285517</v>
      </c>
      <c r="G44" s="88">
        <v>62172.999305816717</v>
      </c>
      <c r="H44" s="88">
        <v>62947.576433347902</v>
      </c>
      <c r="I44" s="88">
        <v>63722.153272326686</v>
      </c>
      <c r="J44" s="88">
        <v>64496.730111305471</v>
      </c>
      <c r="K44" s="64">
        <v>65271.306950284241</v>
      </c>
    </row>
    <row r="45" spans="1:11" x14ac:dyDescent="0.55000000000000004">
      <c r="A45" s="82">
        <v>2.4999998509883881E-2</v>
      </c>
      <c r="B45" s="85">
        <v>72269.395045104233</v>
      </c>
      <c r="C45" s="88">
        <v>72955.440107588918</v>
      </c>
      <c r="D45" s="88">
        <v>73675.617043831808</v>
      </c>
      <c r="E45" s="88">
        <v>74450.194027086793</v>
      </c>
      <c r="F45" s="88">
        <v>75224.770866065577</v>
      </c>
      <c r="G45" s="88">
        <v>75999.347993596763</v>
      </c>
      <c r="H45" s="88">
        <v>76773.925121127962</v>
      </c>
      <c r="I45" s="88">
        <v>77548.501960106747</v>
      </c>
      <c r="J45" s="88">
        <v>78323.078799085517</v>
      </c>
      <c r="K45" s="64">
        <v>79097.655638064301</v>
      </c>
    </row>
    <row r="46" spans="1:11" x14ac:dyDescent="0.55000000000000004">
      <c r="A46" s="82">
        <v>2.9999999329447746E-2</v>
      </c>
      <c r="B46" s="85">
        <v>86095.748883601627</v>
      </c>
      <c r="C46" s="88">
        <v>86781.793946086313</v>
      </c>
      <c r="D46" s="88">
        <v>87501.970882329202</v>
      </c>
      <c r="E46" s="88">
        <v>88276.547865584187</v>
      </c>
      <c r="F46" s="88">
        <v>89051.124704562972</v>
      </c>
      <c r="G46" s="88">
        <v>89825.701832094157</v>
      </c>
      <c r="H46" s="88">
        <v>90600.278959625357</v>
      </c>
      <c r="I46" s="88">
        <v>91374.855798604141</v>
      </c>
      <c r="J46" s="88">
        <v>92149.432637582911</v>
      </c>
      <c r="K46" s="64">
        <v>92924.009476561696</v>
      </c>
    </row>
    <row r="47" spans="1:11" x14ac:dyDescent="0.55000000000000004">
      <c r="A47" s="82">
        <v>3.5000000149011612E-2</v>
      </c>
      <c r="B47" s="85">
        <v>99922.102722099022</v>
      </c>
      <c r="C47" s="88">
        <v>100608.14778458371</v>
      </c>
      <c r="D47" s="88">
        <v>101328.3247208266</v>
      </c>
      <c r="E47" s="88">
        <v>102102.90170408158</v>
      </c>
      <c r="F47" s="88">
        <v>102877.47854306037</v>
      </c>
      <c r="G47" s="88">
        <v>103652.05567059155</v>
      </c>
      <c r="H47" s="88">
        <v>104426.63279812275</v>
      </c>
      <c r="I47" s="88">
        <v>105201.20963710154</v>
      </c>
      <c r="J47" s="88">
        <v>105975.78647608031</v>
      </c>
      <c r="K47" s="64">
        <v>106750.36331505909</v>
      </c>
    </row>
    <row r="48" spans="1:11" x14ac:dyDescent="0.55000000000000004">
      <c r="A48" s="82">
        <v>3.9999999105930328E-2</v>
      </c>
      <c r="B48" s="85">
        <v>113748.45140987908</v>
      </c>
      <c r="C48" s="88">
        <v>114434.49647236377</v>
      </c>
      <c r="D48" s="88">
        <v>115154.67340860666</v>
      </c>
      <c r="E48" s="88">
        <v>115929.25039186164</v>
      </c>
      <c r="F48" s="88">
        <v>116703.82723084043</v>
      </c>
      <c r="G48" s="88">
        <v>117478.40435837161</v>
      </c>
      <c r="H48" s="88">
        <v>118252.98148590281</v>
      </c>
      <c r="I48" s="88">
        <v>119027.5583248816</v>
      </c>
      <c r="J48" s="88">
        <v>119802.13516386037</v>
      </c>
      <c r="K48" s="64">
        <v>120576.71200283915</v>
      </c>
    </row>
    <row r="49" spans="1:11" x14ac:dyDescent="0.55000000000000004">
      <c r="A49" s="82">
        <v>4.4999998062849045E-2</v>
      </c>
      <c r="B49" s="85">
        <v>127574.80009765914</v>
      </c>
      <c r="C49" s="88">
        <v>128260.84516014383</v>
      </c>
      <c r="D49" s="88">
        <v>128981.02209638672</v>
      </c>
      <c r="E49" s="88">
        <v>129755.5990796417</v>
      </c>
      <c r="F49" s="88">
        <v>130530.17591862049</v>
      </c>
      <c r="G49" s="88">
        <v>131304.75304615166</v>
      </c>
      <c r="H49" s="88">
        <v>132079.33017368286</v>
      </c>
      <c r="I49" s="88">
        <v>132853.90701266166</v>
      </c>
      <c r="J49" s="88">
        <v>133628.48385164043</v>
      </c>
      <c r="K49" s="64">
        <v>134403.0606906192</v>
      </c>
    </row>
    <row r="50" spans="1:11" x14ac:dyDescent="0.55000000000000004">
      <c r="A50" s="82">
        <v>4.9999997019767761E-2</v>
      </c>
      <c r="B50" s="86">
        <v>141401.1487854392</v>
      </c>
      <c r="C50" s="89">
        <v>142087.19384792386</v>
      </c>
      <c r="D50" s="89">
        <v>142807.37078416673</v>
      </c>
      <c r="E50" s="89">
        <v>143581.94776742172</v>
      </c>
      <c r="F50" s="89">
        <v>144356.52460640052</v>
      </c>
      <c r="G50" s="89">
        <v>145131.10173393172</v>
      </c>
      <c r="H50" s="89">
        <v>145905.67886146292</v>
      </c>
      <c r="I50" s="89">
        <v>146680.25570044169</v>
      </c>
      <c r="J50" s="89">
        <v>147454.83253942046</v>
      </c>
      <c r="K50" s="67">
        <v>148229.40937839926</v>
      </c>
    </row>
  </sheetData>
  <dataValidations count="3">
    <dataValidation type="list" allowBlank="1" showInputMessage="1" showErrorMessage="1" sqref="M4 Q4" xr:uid="{4465BD44-7CE4-4BE2-B691-9563560325B5}">
      <formula1>OutputAddresses</formula1>
    </dataValidation>
    <dataValidation type="list" allowBlank="1" showInputMessage="1" showErrorMessage="1" sqref="N4" xr:uid="{355866A3-1BC0-4D71-8C4E-7C57ADD607F9}">
      <formula1>InputValues1</formula1>
    </dataValidation>
    <dataValidation type="list" allowBlank="1" showInputMessage="1" showErrorMessage="1" sqref="R4" xr:uid="{9607A4E9-0345-4C0D-AAF3-FA6E8FD808A3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465A-9962-41CE-A441-0983146DF917}">
  <dimension ref="A1:K14"/>
  <sheetViews>
    <sheetView workbookViewId="0">
      <selection activeCell="S21" sqref="S21"/>
    </sheetView>
  </sheetViews>
  <sheetFormatPr defaultRowHeight="14.4" x14ac:dyDescent="0.55000000000000004"/>
  <sheetData>
    <row r="1" spans="1:11" x14ac:dyDescent="0.55000000000000004">
      <c r="A1" s="2" t="s">
        <v>68</v>
      </c>
      <c r="K1" s="20" t="str">
        <f>CONCATENATE("Sensitivity of ",$K$4," to ","CR FB")</f>
        <v>Sensitivity of TotalConversions to CR FB</v>
      </c>
    </row>
    <row r="3" spans="1:11" x14ac:dyDescent="0.55000000000000004">
      <c r="A3" t="s">
        <v>135</v>
      </c>
      <c r="K3" t="s">
        <v>34</v>
      </c>
    </row>
    <row r="4" spans="1:11" ht="99" x14ac:dyDescent="0.55000000000000004">
      <c r="B4" s="18" t="s">
        <v>31</v>
      </c>
      <c r="C4" s="18" t="s">
        <v>32</v>
      </c>
      <c r="D4" s="18" t="s">
        <v>33</v>
      </c>
      <c r="E4" s="18" t="s">
        <v>22</v>
      </c>
      <c r="J4" s="20">
        <f>MATCH($K$4,OutputAddresses,0)</f>
        <v>4</v>
      </c>
      <c r="K4" s="19" t="s">
        <v>22</v>
      </c>
    </row>
    <row r="5" spans="1:11" x14ac:dyDescent="0.55000000000000004">
      <c r="A5" s="82">
        <v>4.999999888241291E-3</v>
      </c>
      <c r="B5" s="59">
        <v>223986.9</v>
      </c>
      <c r="C5" s="60">
        <v>396583.42</v>
      </c>
      <c r="D5" s="60">
        <v>434775.92</v>
      </c>
      <c r="E5" s="61">
        <v>20539.030090894295</v>
      </c>
      <c r="K5">
        <f>INDEX(OutputValues,1,$J$4)</f>
        <v>20539.030090894295</v>
      </c>
    </row>
    <row r="6" spans="1:11" x14ac:dyDescent="0.55000000000000004">
      <c r="A6" s="82">
        <v>9.9999997764825821E-3</v>
      </c>
      <c r="B6" s="62">
        <v>223986.9</v>
      </c>
      <c r="C6" s="63">
        <v>396583.42</v>
      </c>
      <c r="D6" s="63">
        <v>434775.92</v>
      </c>
      <c r="E6" s="64">
        <v>34365.381354033016</v>
      </c>
      <c r="K6">
        <f>INDEX(OutputValues,2,$J$4)</f>
        <v>34365.381354033016</v>
      </c>
    </row>
    <row r="7" spans="1:11" x14ac:dyDescent="0.55000000000000004">
      <c r="A7" s="82">
        <v>1.4999999664723873E-2</v>
      </c>
      <c r="B7" s="62">
        <v>223986.9</v>
      </c>
      <c r="C7" s="63">
        <v>396583.42</v>
      </c>
      <c r="D7" s="63">
        <v>434775.92</v>
      </c>
      <c r="E7" s="64">
        <v>48191.732617171743</v>
      </c>
      <c r="K7">
        <f>INDEX(OutputValues,3,$J$4)</f>
        <v>48191.732617171743</v>
      </c>
    </row>
    <row r="8" spans="1:11" x14ac:dyDescent="0.55000000000000004">
      <c r="A8" s="82">
        <v>1.9999999552965164E-2</v>
      </c>
      <c r="B8" s="62">
        <v>223986.9</v>
      </c>
      <c r="C8" s="63">
        <v>396583.42</v>
      </c>
      <c r="D8" s="63">
        <v>434775.92</v>
      </c>
      <c r="E8" s="64">
        <v>62018.083880310471</v>
      </c>
      <c r="K8">
        <f>INDEX(OutputValues,4,$J$4)</f>
        <v>62018.083880310471</v>
      </c>
    </row>
    <row r="9" spans="1:11" x14ac:dyDescent="0.55000000000000004">
      <c r="A9" s="82">
        <v>2.4999998509883881E-2</v>
      </c>
      <c r="B9" s="62">
        <v>223986.9</v>
      </c>
      <c r="C9" s="63">
        <v>396583.42</v>
      </c>
      <c r="D9" s="63">
        <v>434775.92</v>
      </c>
      <c r="E9" s="64">
        <v>75844.432568090531</v>
      </c>
      <c r="K9">
        <f>INDEX(OutputValues,5,$J$4)</f>
        <v>75844.432568090531</v>
      </c>
    </row>
    <row r="10" spans="1:11" x14ac:dyDescent="0.55000000000000004">
      <c r="A10" s="82">
        <v>2.9999999329447746E-2</v>
      </c>
      <c r="B10" s="62">
        <v>223986.9</v>
      </c>
      <c r="C10" s="63">
        <v>396583.42</v>
      </c>
      <c r="D10" s="63">
        <v>434775.92</v>
      </c>
      <c r="E10" s="64">
        <v>89670.786406587926</v>
      </c>
      <c r="K10">
        <f>INDEX(OutputValues,6,$J$4)</f>
        <v>89670.786406587926</v>
      </c>
    </row>
    <row r="11" spans="1:11" x14ac:dyDescent="0.55000000000000004">
      <c r="A11" s="82">
        <v>3.5000000149011612E-2</v>
      </c>
      <c r="B11" s="62">
        <v>223986.9</v>
      </c>
      <c r="C11" s="63">
        <v>396583.42</v>
      </c>
      <c r="D11" s="63">
        <v>434775.92</v>
      </c>
      <c r="E11" s="64">
        <v>103497.14024508532</v>
      </c>
      <c r="K11">
        <f>INDEX(OutputValues,7,$J$4)</f>
        <v>103497.14024508532</v>
      </c>
    </row>
    <row r="12" spans="1:11" x14ac:dyDescent="0.55000000000000004">
      <c r="A12" s="82">
        <v>3.9999999105930328E-2</v>
      </c>
      <c r="B12" s="62">
        <v>223986.9</v>
      </c>
      <c r="C12" s="63">
        <v>396583.42</v>
      </c>
      <c r="D12" s="63">
        <v>434775.92</v>
      </c>
      <c r="E12" s="64">
        <v>117323.48893286538</v>
      </c>
      <c r="K12">
        <f>INDEX(OutputValues,8,$J$4)</f>
        <v>117323.48893286538</v>
      </c>
    </row>
    <row r="13" spans="1:11" x14ac:dyDescent="0.55000000000000004">
      <c r="A13" s="82">
        <v>4.4999998062849045E-2</v>
      </c>
      <c r="B13" s="62">
        <v>223986.9</v>
      </c>
      <c r="C13" s="63">
        <v>396583.42</v>
      </c>
      <c r="D13" s="63">
        <v>434775.92</v>
      </c>
      <c r="E13" s="64">
        <v>131149.83762064544</v>
      </c>
      <c r="K13">
        <f>INDEX(OutputValues,9,$J$4)</f>
        <v>131149.83762064544</v>
      </c>
    </row>
    <row r="14" spans="1:11" x14ac:dyDescent="0.55000000000000004">
      <c r="A14" s="82">
        <v>4.9999997019767761E-2</v>
      </c>
      <c r="B14" s="65">
        <v>223986.9</v>
      </c>
      <c r="C14" s="66">
        <v>396583.42</v>
      </c>
      <c r="D14" s="66">
        <v>434775.92</v>
      </c>
      <c r="E14" s="67">
        <v>144976.18630842547</v>
      </c>
      <c r="K14">
        <f>INDEX(OutputValues,10,$J$4)</f>
        <v>144976.18630842547</v>
      </c>
    </row>
  </sheetData>
  <dataValidations count="1">
    <dataValidation type="list" allowBlank="1" showInputMessage="1" showErrorMessage="1" sqref="K4" xr:uid="{B7D77E53-A7EB-4252-86D9-673DEF425AE8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9A15-A0F4-48AB-A0A8-28FE2233C064}">
  <dimension ref="A1:B1"/>
  <sheetViews>
    <sheetView workbookViewId="0">
      <selection activeCell="M9" sqref="M9"/>
    </sheetView>
  </sheetViews>
  <sheetFormatPr defaultColWidth="10.9453125" defaultRowHeight="14.4" x14ac:dyDescent="0.55000000000000004"/>
  <sheetData>
    <row r="1" spans="1:2" x14ac:dyDescent="0.55000000000000004">
      <c r="A1" s="2" t="s">
        <v>55</v>
      </c>
      <c r="B1" s="2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BAE1-5E95-4355-A7BA-A77C9439279A}">
  <dimension ref="A1:AB47"/>
  <sheetViews>
    <sheetView tabSelected="1" workbookViewId="0">
      <selection activeCell="B13" sqref="B13"/>
    </sheetView>
  </sheetViews>
  <sheetFormatPr defaultRowHeight="14.4" x14ac:dyDescent="0.55000000000000004"/>
  <cols>
    <col min="1" max="1" width="23.5234375" customWidth="1"/>
    <col min="2" max="2" width="13.3125" bestFit="1" customWidth="1"/>
    <col min="3" max="3" width="13.3125" customWidth="1"/>
    <col min="4" max="4" width="14.3125" customWidth="1"/>
    <col min="5" max="5" width="13.3125" bestFit="1" customWidth="1"/>
    <col min="6" max="6" width="17" customWidth="1"/>
    <col min="7" max="7" width="11.05078125" bestFit="1" customWidth="1"/>
    <col min="13" max="13" width="18.578125" customWidth="1"/>
    <col min="14" max="14" width="15.734375" customWidth="1"/>
    <col min="15" max="15" width="13.41796875" customWidth="1"/>
    <col min="16" max="16" width="18.5234375" customWidth="1"/>
    <col min="17" max="17" width="14.20703125" customWidth="1"/>
    <col min="18" max="18" width="15.41796875" customWidth="1"/>
    <col min="19" max="19" width="14.41796875" bestFit="1" customWidth="1"/>
    <col min="20" max="20" width="14.41796875" customWidth="1"/>
    <col min="21" max="22" width="13.3125" bestFit="1" customWidth="1"/>
    <col min="23" max="23" width="9.68359375" bestFit="1" customWidth="1"/>
  </cols>
  <sheetData>
    <row r="1" spans="1:28" x14ac:dyDescent="0.55000000000000004">
      <c r="A1" s="2" t="s">
        <v>55</v>
      </c>
      <c r="B1" s="2" t="s">
        <v>10</v>
      </c>
      <c r="C1" s="2"/>
    </row>
    <row r="3" spans="1:28" x14ac:dyDescent="0.55000000000000004">
      <c r="A3" s="16" t="s">
        <v>0</v>
      </c>
      <c r="B3" s="47" t="s">
        <v>58</v>
      </c>
      <c r="C3" s="47"/>
    </row>
    <row r="4" spans="1:28" x14ac:dyDescent="0.55000000000000004">
      <c r="A4" s="3" t="s">
        <v>20</v>
      </c>
      <c r="B4" s="49">
        <v>1055346.2352535001</v>
      </c>
    </row>
    <row r="5" spans="1:28" x14ac:dyDescent="0.55000000000000004">
      <c r="G5" s="95"/>
      <c r="H5" s="95"/>
      <c r="I5" s="95"/>
    </row>
    <row r="6" spans="1:28" x14ac:dyDescent="0.55000000000000004">
      <c r="A6" s="16" t="s">
        <v>25</v>
      </c>
      <c r="B6" t="s">
        <v>56</v>
      </c>
    </row>
    <row r="7" spans="1:28" x14ac:dyDescent="0.55000000000000004">
      <c r="A7" s="4" t="s">
        <v>1</v>
      </c>
      <c r="B7" s="5" t="s">
        <v>3</v>
      </c>
      <c r="C7" s="5" t="s">
        <v>2</v>
      </c>
      <c r="D7" s="5" t="s">
        <v>4</v>
      </c>
      <c r="E7" s="5" t="s">
        <v>5</v>
      </c>
    </row>
    <row r="8" spans="1:28" x14ac:dyDescent="0.55000000000000004">
      <c r="A8" s="3" t="s">
        <v>47</v>
      </c>
      <c r="B8" s="56">
        <v>8.1000000000000003E-2</v>
      </c>
      <c r="C8" s="56">
        <v>2.56</v>
      </c>
      <c r="D8" s="56">
        <v>2.35</v>
      </c>
      <c r="E8" s="1"/>
    </row>
    <row r="9" spans="1:28" x14ac:dyDescent="0.55000000000000004">
      <c r="A9" s="3" t="s">
        <v>42</v>
      </c>
      <c r="B9" s="12">
        <v>9.2100001871585846E-2</v>
      </c>
      <c r="C9" s="11">
        <v>2.8999999165534973E-2</v>
      </c>
      <c r="D9" s="11">
        <v>1.2000000104308128E-2</v>
      </c>
      <c r="E9" s="1"/>
      <c r="F9" s="6"/>
      <c r="M9" s="29"/>
      <c r="N9" s="29"/>
      <c r="O9" s="29"/>
      <c r="P9" s="29"/>
      <c r="Q9" s="29"/>
      <c r="R9" s="23"/>
      <c r="S9" s="23"/>
      <c r="T9" s="23"/>
      <c r="U9" s="29"/>
      <c r="V9" s="29"/>
      <c r="W9" s="21"/>
      <c r="X9" s="21"/>
      <c r="Y9" s="21"/>
      <c r="Z9" s="21"/>
      <c r="AA9" s="21"/>
      <c r="AB9" s="21"/>
    </row>
    <row r="10" spans="1:28" x14ac:dyDescent="0.55000000000000004">
      <c r="A10" s="3" t="s">
        <v>57</v>
      </c>
      <c r="B10" s="51">
        <v>48905436.50666666</v>
      </c>
      <c r="C10" s="51">
        <v>57062364.773333333</v>
      </c>
      <c r="D10" s="51">
        <v>113499824.53333336</v>
      </c>
      <c r="E10" s="45">
        <f>SUM(B10:D10)</f>
        <v>219467625.81333336</v>
      </c>
      <c r="F10" s="6"/>
      <c r="M10" s="29"/>
      <c r="N10" s="30"/>
      <c r="O10" s="30"/>
      <c r="P10" s="30"/>
      <c r="Q10" s="30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x14ac:dyDescent="0.55000000000000004">
      <c r="E11" s="7"/>
      <c r="F11" s="6"/>
      <c r="M11" s="21"/>
      <c r="N11" s="31"/>
      <c r="O11" s="31"/>
      <c r="P11" s="31"/>
      <c r="Q11" s="31"/>
      <c r="R11" s="32"/>
      <c r="S11" s="32"/>
      <c r="T11" s="32"/>
      <c r="U11" s="31"/>
      <c r="V11" s="31"/>
      <c r="W11" s="31"/>
      <c r="X11" s="31"/>
      <c r="Y11" s="31"/>
      <c r="Z11" s="31"/>
      <c r="AA11" s="21"/>
      <c r="AB11" s="21"/>
    </row>
    <row r="12" spans="1:28" x14ac:dyDescent="0.55000000000000004">
      <c r="A12" s="16" t="s">
        <v>26</v>
      </c>
      <c r="B12" s="1"/>
      <c r="C12" s="1"/>
      <c r="E12" s="7"/>
      <c r="F12" s="50"/>
      <c r="M12" s="21"/>
      <c r="N12" s="31"/>
      <c r="O12" s="31"/>
      <c r="P12" s="31"/>
      <c r="Q12" s="31"/>
      <c r="R12" s="32"/>
      <c r="S12" s="32"/>
      <c r="T12" s="32"/>
      <c r="U12" s="31"/>
      <c r="V12" s="31"/>
      <c r="W12" s="31"/>
      <c r="X12" s="31"/>
      <c r="Y12" s="31"/>
      <c r="Z12" s="31"/>
      <c r="AA12" s="21"/>
      <c r="AB12" s="21"/>
    </row>
    <row r="13" spans="1:28" x14ac:dyDescent="0.55000000000000004">
      <c r="A13" s="3" t="s">
        <v>24</v>
      </c>
      <c r="B13" s="46">
        <f>B17/B10*1000</f>
        <v>4.5799999243328848</v>
      </c>
      <c r="C13" s="46">
        <f>C17/C10*1000</f>
        <v>6.9499998094248863</v>
      </c>
      <c r="D13" s="46">
        <f>D17/D10*1000</f>
        <v>3.8306307281762555</v>
      </c>
      <c r="E13" s="46"/>
      <c r="F13" s="1"/>
      <c r="G13" s="1"/>
      <c r="M13" s="21"/>
      <c r="N13" s="31"/>
      <c r="O13" s="31"/>
      <c r="P13" s="31"/>
      <c r="Q13" s="31"/>
      <c r="R13" s="32"/>
      <c r="S13" s="32"/>
      <c r="T13" s="32"/>
      <c r="U13" s="31"/>
      <c r="V13" s="31"/>
      <c r="W13" s="31"/>
      <c r="X13" s="31"/>
      <c r="Y13" s="31"/>
      <c r="Z13" s="31"/>
      <c r="AA13" s="21"/>
      <c r="AB13" s="21"/>
    </row>
    <row r="14" spans="1:28" x14ac:dyDescent="0.55000000000000004">
      <c r="A14" s="3" t="s">
        <v>6</v>
      </c>
      <c r="B14" s="45">
        <f>B17/B8</f>
        <v>2765270.3148148148</v>
      </c>
      <c r="C14" s="45">
        <f t="shared" ref="C14:D14" si="0">C17/C8</f>
        <v>154915.4001171875</v>
      </c>
      <c r="D14" s="45">
        <f t="shared" si="0"/>
        <v>185011.02787234043</v>
      </c>
      <c r="E14" s="45">
        <f>SUM(B14:D14)</f>
        <v>3105196.7428043424</v>
      </c>
      <c r="F14" s="45"/>
      <c r="G14" s="71"/>
      <c r="H14" s="69"/>
      <c r="M14" s="29"/>
      <c r="N14" s="30"/>
      <c r="O14" s="30"/>
      <c r="P14" s="30"/>
      <c r="Q14" s="30"/>
      <c r="R14" s="32"/>
      <c r="S14" s="21"/>
      <c r="T14" s="21"/>
      <c r="U14" s="31"/>
      <c r="V14" s="21"/>
      <c r="W14" s="21"/>
      <c r="X14" s="21"/>
      <c r="Y14" s="21"/>
      <c r="Z14" s="21"/>
      <c r="AA14" s="21"/>
      <c r="AB14" s="21"/>
    </row>
    <row r="15" spans="1:28" x14ac:dyDescent="0.55000000000000004">
      <c r="M15" s="21"/>
      <c r="N15" s="31"/>
      <c r="O15" s="31"/>
      <c r="P15" s="31"/>
      <c r="Q15" s="31"/>
      <c r="R15" s="32"/>
      <c r="S15" s="21"/>
      <c r="T15" s="21"/>
      <c r="U15" s="31"/>
      <c r="V15" s="33"/>
      <c r="W15" s="21"/>
      <c r="X15" s="31"/>
      <c r="Y15" s="21"/>
      <c r="Z15" s="31"/>
      <c r="AA15" s="21"/>
      <c r="AB15" s="21"/>
    </row>
    <row r="16" spans="1:28" x14ac:dyDescent="0.55000000000000004">
      <c r="A16" s="16" t="s">
        <v>7</v>
      </c>
      <c r="B16" s="1"/>
      <c r="C16" s="1"/>
      <c r="D16" s="1"/>
      <c r="E16" s="1"/>
      <c r="F16" s="1"/>
      <c r="M16" s="21"/>
      <c r="N16" s="31"/>
      <c r="O16" s="31"/>
      <c r="P16" s="31"/>
      <c r="Q16" s="31"/>
      <c r="R16" s="32"/>
      <c r="S16" s="21"/>
      <c r="T16" s="21"/>
      <c r="U16" s="31"/>
      <c r="V16" s="21"/>
      <c r="W16" s="21"/>
      <c r="X16" s="21"/>
      <c r="Y16" s="21"/>
      <c r="Z16" s="21"/>
      <c r="AA16" s="21"/>
      <c r="AB16" s="21"/>
    </row>
    <row r="17" spans="1:28" x14ac:dyDescent="0.55000000000000004">
      <c r="A17" s="3" t="s">
        <v>11</v>
      </c>
      <c r="B17" s="55">
        <v>223986.89550000001</v>
      </c>
      <c r="C17" s="55">
        <v>396583.42430000001</v>
      </c>
      <c r="D17" s="55">
        <v>434775.9155</v>
      </c>
      <c r="E17" s="36">
        <f>SUM(B17:D17)</f>
        <v>1055346.2353000001</v>
      </c>
      <c r="F17" s="16" t="s">
        <v>23</v>
      </c>
      <c r="M17" s="21"/>
      <c r="N17" s="31"/>
      <c r="O17" s="31"/>
      <c r="P17" s="31"/>
      <c r="Q17" s="31"/>
      <c r="R17" s="32"/>
      <c r="S17" s="21"/>
      <c r="T17" s="21"/>
      <c r="U17" s="31"/>
      <c r="V17" s="21"/>
      <c r="W17" s="21"/>
      <c r="X17" s="21"/>
      <c r="Y17" s="21"/>
      <c r="Z17" s="21"/>
      <c r="AA17" s="21"/>
      <c r="AB17" s="21"/>
    </row>
    <row r="18" spans="1:28" x14ac:dyDescent="0.55000000000000004">
      <c r="B18" s="8"/>
      <c r="C18" s="8"/>
      <c r="D18" s="8"/>
      <c r="E18" s="1"/>
      <c r="F18" s="1"/>
      <c r="M18" s="29"/>
      <c r="N18" s="30"/>
      <c r="O18" s="30"/>
      <c r="P18" s="30"/>
      <c r="Q18" s="30"/>
      <c r="R18" s="32"/>
      <c r="S18" s="21"/>
      <c r="T18" s="21"/>
      <c r="U18" s="31"/>
      <c r="V18" s="21"/>
      <c r="W18" s="21"/>
      <c r="X18" s="21"/>
      <c r="Y18" s="21"/>
      <c r="Z18" s="21"/>
      <c r="AA18" s="21"/>
      <c r="AB18" s="21"/>
    </row>
    <row r="19" spans="1:28" x14ac:dyDescent="0.55000000000000004">
      <c r="A19" s="4" t="s">
        <v>8</v>
      </c>
      <c r="B19" s="1"/>
      <c r="C19" s="1"/>
      <c r="D19" s="1"/>
      <c r="E19" s="36"/>
      <c r="F19" s="1"/>
      <c r="M19" s="21"/>
      <c r="N19" s="31"/>
      <c r="O19" s="31"/>
      <c r="P19" s="31"/>
      <c r="Q19" s="31"/>
      <c r="R19" s="32"/>
      <c r="S19" s="21"/>
      <c r="T19" s="21"/>
      <c r="U19" s="31"/>
      <c r="V19" s="21"/>
      <c r="W19" s="21"/>
      <c r="X19" s="21"/>
      <c r="Y19" s="21"/>
      <c r="Z19" s="21"/>
      <c r="AA19" s="21"/>
      <c r="AB19" s="21"/>
    </row>
    <row r="20" spans="1:28" x14ac:dyDescent="0.55000000000000004">
      <c r="B20" s="8" t="s">
        <v>15</v>
      </c>
      <c r="C20" s="8" t="s">
        <v>15</v>
      </c>
      <c r="D20" s="8" t="s">
        <v>15</v>
      </c>
      <c r="M20" s="21"/>
      <c r="N20" s="31"/>
      <c r="O20" s="31"/>
      <c r="P20" s="31"/>
      <c r="Q20" s="31"/>
      <c r="R20" s="32"/>
      <c r="S20" s="21"/>
      <c r="T20" s="21"/>
      <c r="U20" s="31"/>
      <c r="V20" s="21"/>
      <c r="W20" s="21"/>
      <c r="X20" s="21"/>
      <c r="Y20" s="21"/>
      <c r="Z20" s="21"/>
      <c r="AA20" s="21"/>
      <c r="AB20" s="21"/>
    </row>
    <row r="21" spans="1:28" x14ac:dyDescent="0.55000000000000004">
      <c r="A21" s="3" t="s">
        <v>12</v>
      </c>
      <c r="B21" s="53">
        <v>292000</v>
      </c>
      <c r="C21" s="53">
        <v>600000</v>
      </c>
      <c r="D21" s="53">
        <v>692000</v>
      </c>
      <c r="E21" s="13"/>
      <c r="F21" s="6"/>
      <c r="M21" s="21"/>
      <c r="N21" s="31"/>
      <c r="O21" s="31"/>
      <c r="P21" s="31"/>
      <c r="Q21" s="31"/>
      <c r="R21" s="32"/>
      <c r="S21" s="21"/>
      <c r="T21" s="21"/>
      <c r="U21" s="31"/>
      <c r="V21" s="21"/>
      <c r="W21" s="21"/>
      <c r="X21" s="21"/>
      <c r="Y21" s="21"/>
      <c r="Z21" s="21"/>
      <c r="AA21" s="21"/>
      <c r="AB21" s="21"/>
    </row>
    <row r="22" spans="1:28" x14ac:dyDescent="0.55000000000000004">
      <c r="B22" s="8" t="s">
        <v>28</v>
      </c>
      <c r="C22" s="8" t="s">
        <v>28</v>
      </c>
      <c r="D22" s="8" t="s">
        <v>28</v>
      </c>
      <c r="M22" s="21"/>
      <c r="N22" s="31"/>
      <c r="O22" s="31"/>
      <c r="P22" s="31"/>
      <c r="Q22" s="3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28" x14ac:dyDescent="0.55000000000000004">
      <c r="A23" s="3" t="s">
        <v>16</v>
      </c>
      <c r="B23" s="53">
        <v>97000</v>
      </c>
      <c r="C23" s="53">
        <v>200000</v>
      </c>
      <c r="D23" s="53">
        <v>230000</v>
      </c>
      <c r="E23" s="10"/>
      <c r="F23" s="1"/>
      <c r="M23" s="21"/>
      <c r="N23" s="31"/>
      <c r="O23" s="31"/>
      <c r="P23" s="31"/>
      <c r="Q23" s="3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8" x14ac:dyDescent="0.55000000000000004">
      <c r="B24" s="8" t="s">
        <v>15</v>
      </c>
      <c r="C24" s="8" t="s">
        <v>15</v>
      </c>
      <c r="D24" s="8" t="s">
        <v>15</v>
      </c>
      <c r="M24" s="29"/>
      <c r="N24" s="30"/>
      <c r="O24" s="30"/>
      <c r="P24" s="30"/>
      <c r="Q24" s="30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8" x14ac:dyDescent="0.55000000000000004">
      <c r="A25" s="3" t="s">
        <v>66</v>
      </c>
      <c r="B25" s="54">
        <v>4.5799999237060547</v>
      </c>
      <c r="C25" s="54">
        <v>6.9499998092651367</v>
      </c>
      <c r="D25" s="54">
        <v>4.2300000190734863</v>
      </c>
      <c r="E25" s="10"/>
      <c r="F25" s="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:28" x14ac:dyDescent="0.55000000000000004">
      <c r="A26" s="3"/>
      <c r="B26" s="1"/>
      <c r="C26" s="1"/>
      <c r="D26" s="1"/>
      <c r="E26" s="1"/>
      <c r="F26" s="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:28" x14ac:dyDescent="0.55000000000000004">
      <c r="A27" s="16" t="s">
        <v>27</v>
      </c>
      <c r="B27" s="1"/>
      <c r="C27" s="1"/>
      <c r="D27" s="1"/>
      <c r="E27" s="1"/>
      <c r="F27" s="1"/>
      <c r="M27" s="29"/>
      <c r="N27" s="29"/>
      <c r="O27" s="29"/>
      <c r="P27" s="29"/>
      <c r="Q27" s="29"/>
      <c r="R27" s="29"/>
      <c r="S27" s="29"/>
      <c r="T27" s="29"/>
      <c r="U27" s="21"/>
      <c r="V27" s="29"/>
      <c r="W27" s="29"/>
      <c r="X27" s="29"/>
      <c r="Y27" s="29"/>
      <c r="Z27" s="29"/>
      <c r="AA27" s="21"/>
      <c r="AB27" s="21"/>
    </row>
    <row r="28" spans="1:28" x14ac:dyDescent="0.55000000000000004">
      <c r="A28" s="3" t="s">
        <v>9</v>
      </c>
      <c r="B28" s="45">
        <f>B9*B14</f>
        <v>254681.40116988524</v>
      </c>
      <c r="C28" s="45">
        <f>C9*C14</f>
        <v>4492.5464741269543</v>
      </c>
      <c r="D28" s="45">
        <f>D9*D14</f>
        <v>2220.1323537662392</v>
      </c>
      <c r="E28" s="58">
        <f>SUM(B28:D28)</f>
        <v>261394.07999777843</v>
      </c>
      <c r="F28" s="2" t="s">
        <v>22</v>
      </c>
      <c r="M28" s="29"/>
      <c r="N28" s="30"/>
      <c r="O28" s="30"/>
      <c r="P28" s="30"/>
      <c r="Q28" s="30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:28" x14ac:dyDescent="0.55000000000000004">
      <c r="E29" s="1" t="s">
        <v>13</v>
      </c>
      <c r="M29" s="21"/>
      <c r="N29" s="34"/>
      <c r="O29" s="34"/>
      <c r="P29" s="34"/>
      <c r="Q29" s="34"/>
      <c r="R29" s="31"/>
      <c r="S29" s="31"/>
      <c r="T29" s="32"/>
      <c r="U29" s="31"/>
      <c r="V29" s="31"/>
      <c r="W29" s="35"/>
      <c r="X29" s="35"/>
      <c r="Y29" s="31"/>
      <c r="Z29" s="31"/>
      <c r="AA29" s="21"/>
      <c r="AB29" s="21"/>
    </row>
    <row r="30" spans="1:28" x14ac:dyDescent="0.55000000000000004">
      <c r="E30" s="7"/>
      <c r="M30" s="21"/>
      <c r="N30" s="34"/>
      <c r="O30" s="34"/>
      <c r="P30" s="34"/>
      <c r="Q30" s="34"/>
      <c r="R30" s="31"/>
      <c r="S30" s="31"/>
      <c r="T30" s="32"/>
      <c r="U30" s="31"/>
      <c r="V30" s="31"/>
      <c r="W30" s="35"/>
      <c r="X30" s="35"/>
      <c r="Y30" s="31"/>
      <c r="Z30" s="31"/>
      <c r="AA30" s="21"/>
      <c r="AB30" s="21"/>
    </row>
    <row r="31" spans="1:28" x14ac:dyDescent="0.55000000000000004">
      <c r="M31" s="21"/>
      <c r="N31" s="34"/>
      <c r="O31" s="34"/>
      <c r="P31" s="34"/>
      <c r="Q31" s="34"/>
      <c r="R31" s="31"/>
      <c r="S31" s="31"/>
      <c r="T31" s="32"/>
      <c r="U31" s="31"/>
      <c r="V31" s="31"/>
      <c r="W31" s="35"/>
      <c r="X31" s="35"/>
      <c r="Y31" s="31"/>
      <c r="Z31" s="31"/>
      <c r="AA31" s="21"/>
      <c r="AB31" s="21"/>
    </row>
    <row r="32" spans="1:28" x14ac:dyDescent="0.55000000000000004">
      <c r="A32" s="3"/>
      <c r="B32" s="45"/>
      <c r="C32" s="45"/>
      <c r="D32" s="45"/>
      <c r="F32" s="68"/>
      <c r="M32" s="29"/>
      <c r="N32" s="30"/>
      <c r="O32" s="30"/>
      <c r="P32" s="30"/>
      <c r="Q32" s="30"/>
      <c r="R32" s="21"/>
      <c r="S32" s="31"/>
      <c r="T32" s="21"/>
      <c r="U32" s="31"/>
      <c r="V32" s="21"/>
      <c r="W32" s="35"/>
      <c r="X32" s="21"/>
      <c r="Y32" s="31"/>
      <c r="Z32" s="21"/>
      <c r="AA32" s="21"/>
      <c r="AB32" s="21"/>
    </row>
    <row r="33" spans="1:28" x14ac:dyDescent="0.55000000000000004">
      <c r="A33" s="3"/>
      <c r="M33" s="21"/>
      <c r="N33" s="31"/>
      <c r="O33" s="31"/>
      <c r="P33" s="31"/>
      <c r="Q33" s="31"/>
      <c r="R33" s="21"/>
      <c r="S33" s="31"/>
      <c r="T33" s="21"/>
      <c r="U33" s="31"/>
      <c r="V33" s="21"/>
      <c r="W33" s="35"/>
      <c r="X33" s="21"/>
      <c r="Y33" s="21"/>
      <c r="Z33" s="21"/>
      <c r="AA33" s="21"/>
      <c r="AB33" s="21"/>
    </row>
    <row r="34" spans="1:28" x14ac:dyDescent="0.55000000000000004">
      <c r="M34" s="21"/>
      <c r="N34" s="31"/>
      <c r="O34" s="31"/>
      <c r="P34" s="31"/>
      <c r="Q34" s="31"/>
      <c r="R34" s="21"/>
      <c r="S34" s="31"/>
      <c r="T34" s="21"/>
      <c r="U34" s="31"/>
      <c r="V34" s="21"/>
      <c r="W34" s="35"/>
      <c r="X34" s="21"/>
      <c r="Y34" s="21"/>
      <c r="Z34" s="21"/>
      <c r="AA34" s="21"/>
      <c r="AB34" s="21"/>
    </row>
    <row r="35" spans="1:28" x14ac:dyDescent="0.55000000000000004">
      <c r="M35" s="21"/>
      <c r="N35" s="31"/>
      <c r="O35" s="31"/>
      <c r="P35" s="31"/>
      <c r="Q35" s="31"/>
      <c r="R35" s="21"/>
      <c r="S35" s="31"/>
      <c r="T35" s="21"/>
      <c r="U35" s="31"/>
      <c r="V35" s="21"/>
      <c r="W35" s="35"/>
      <c r="X35" s="21"/>
      <c r="Y35" s="21"/>
      <c r="Z35" s="21"/>
      <c r="AA35" s="21"/>
      <c r="AB35" s="21"/>
    </row>
    <row r="36" spans="1:28" x14ac:dyDescent="0.55000000000000004">
      <c r="M36" s="29"/>
      <c r="N36" s="30"/>
      <c r="O36" s="30"/>
      <c r="P36" s="30"/>
      <c r="Q36" s="30"/>
      <c r="R36" s="21"/>
      <c r="S36" s="31"/>
      <c r="T36" s="21"/>
      <c r="U36" s="31"/>
      <c r="V36" s="21"/>
      <c r="W36" s="35"/>
      <c r="X36" s="21"/>
      <c r="Y36" s="21"/>
      <c r="Z36" s="21"/>
      <c r="AA36" s="21"/>
      <c r="AB36" s="21"/>
    </row>
    <row r="37" spans="1:28" x14ac:dyDescent="0.55000000000000004">
      <c r="M37" s="21"/>
      <c r="N37" s="31"/>
      <c r="O37" s="31"/>
      <c r="P37" s="31"/>
      <c r="Q37" s="31"/>
      <c r="R37" s="21"/>
      <c r="S37" s="31"/>
      <c r="T37" s="21"/>
      <c r="U37" s="31"/>
      <c r="V37" s="21"/>
      <c r="W37" s="35"/>
      <c r="X37" s="21"/>
      <c r="Y37" s="21"/>
      <c r="Z37" s="21"/>
      <c r="AA37" s="21"/>
      <c r="AB37" s="21"/>
    </row>
    <row r="38" spans="1:28" x14ac:dyDescent="0.55000000000000004">
      <c r="M38" s="21"/>
      <c r="N38" s="31"/>
      <c r="O38" s="31"/>
      <c r="P38" s="31"/>
      <c r="Q38" s="31"/>
      <c r="R38" s="21"/>
      <c r="S38" s="31"/>
      <c r="T38" s="21"/>
      <c r="U38" s="31"/>
      <c r="V38" s="21"/>
      <c r="W38" s="35"/>
      <c r="X38" s="21"/>
      <c r="Y38" s="21"/>
      <c r="Z38" s="21"/>
      <c r="AA38" s="21"/>
      <c r="AB38" s="21"/>
    </row>
    <row r="39" spans="1:28" x14ac:dyDescent="0.55000000000000004">
      <c r="M39" s="21"/>
      <c r="N39" s="31"/>
      <c r="O39" s="31"/>
      <c r="P39" s="31"/>
      <c r="Q39" s="31"/>
      <c r="R39" s="21"/>
      <c r="S39" s="31"/>
      <c r="T39" s="21"/>
      <c r="U39" s="31"/>
      <c r="V39" s="21"/>
      <c r="W39" s="35"/>
      <c r="X39" s="21"/>
      <c r="Y39" s="21"/>
      <c r="Z39" s="21"/>
      <c r="AA39" s="21"/>
      <c r="AB39" s="21"/>
    </row>
    <row r="40" spans="1:28" x14ac:dyDescent="0.55000000000000004">
      <c r="M40" s="21"/>
      <c r="N40" s="31"/>
      <c r="O40" s="31"/>
      <c r="P40" s="31"/>
      <c r="Q40" s="3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x14ac:dyDescent="0.55000000000000004">
      <c r="M41" s="21"/>
      <c r="N41" s="31"/>
      <c r="O41" s="31"/>
      <c r="P41" s="31"/>
      <c r="Q41" s="3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1:28" x14ac:dyDescent="0.55000000000000004">
      <c r="M42" s="29"/>
      <c r="N42" s="30"/>
      <c r="O42" s="30"/>
      <c r="P42" s="30"/>
      <c r="Q42" s="30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x14ac:dyDescent="0.55000000000000004"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 spans="1:28" x14ac:dyDescent="0.55000000000000004"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 spans="1:28" x14ac:dyDescent="0.55000000000000004"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 spans="1:28" x14ac:dyDescent="0.55000000000000004"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x14ac:dyDescent="0.55000000000000004"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6F2C-DC5E-40AA-B087-102D8741D65F}">
  <dimension ref="A1:H19"/>
  <sheetViews>
    <sheetView showGridLines="0" workbookViewId="0">
      <selection activeCell="J11" sqref="J11"/>
    </sheetView>
  </sheetViews>
  <sheetFormatPr defaultRowHeight="14.4" x14ac:dyDescent="0.55000000000000004"/>
  <cols>
    <col min="1" max="1" width="2.1015625" customWidth="1"/>
    <col min="2" max="2" width="5.89453125" bestFit="1" customWidth="1"/>
    <col min="3" max="3" width="23.47265625" bestFit="1" customWidth="1"/>
    <col min="4" max="4" width="12.1015625" bestFit="1" customWidth="1"/>
    <col min="5" max="5" width="12.15625" bestFit="1" customWidth="1"/>
    <col min="6" max="6" width="14.20703125" bestFit="1" customWidth="1"/>
    <col min="7" max="7" width="38.5234375" bestFit="1" customWidth="1"/>
    <col min="8" max="8" width="13.20703125" bestFit="1" customWidth="1"/>
  </cols>
  <sheetData>
    <row r="1" spans="1:8" x14ac:dyDescent="0.55000000000000004">
      <c r="A1" s="2" t="s">
        <v>89</v>
      </c>
    </row>
    <row r="2" spans="1:8" x14ac:dyDescent="0.55000000000000004">
      <c r="A2" s="2" t="s">
        <v>90</v>
      </c>
    </row>
    <row r="3" spans="1:8" x14ac:dyDescent="0.55000000000000004">
      <c r="A3" s="2" t="s">
        <v>91</v>
      </c>
    </row>
    <row r="6" spans="1:8" ht="14.7" thickBot="1" x14ac:dyDescent="0.6">
      <c r="A6" t="s">
        <v>92</v>
      </c>
    </row>
    <row r="7" spans="1:8" x14ac:dyDescent="0.55000000000000004">
      <c r="B7" s="77"/>
      <c r="C7" s="77"/>
      <c r="D7" s="77" t="s">
        <v>95</v>
      </c>
      <c r="E7" s="77" t="s">
        <v>97</v>
      </c>
      <c r="F7" s="77" t="s">
        <v>99</v>
      </c>
      <c r="G7" s="77" t="s">
        <v>101</v>
      </c>
      <c r="H7" s="77" t="s">
        <v>101</v>
      </c>
    </row>
    <row r="8" spans="1:8" ht="14.7" thickBot="1" x14ac:dyDescent="0.6">
      <c r="B8" s="78" t="s">
        <v>93</v>
      </c>
      <c r="C8" s="78" t="s">
        <v>94</v>
      </c>
      <c r="D8" s="78" t="s">
        <v>96</v>
      </c>
      <c r="E8" s="78" t="s">
        <v>98</v>
      </c>
      <c r="F8" s="78" t="s">
        <v>100</v>
      </c>
      <c r="G8" s="78" t="s">
        <v>102</v>
      </c>
      <c r="H8" s="78" t="s">
        <v>103</v>
      </c>
    </row>
    <row r="9" spans="1:8" x14ac:dyDescent="0.55000000000000004">
      <c r="B9" s="75" t="s">
        <v>108</v>
      </c>
      <c r="C9" s="75" t="s">
        <v>109</v>
      </c>
      <c r="D9" s="75">
        <v>223986.89550000001</v>
      </c>
      <c r="E9" s="75">
        <v>0</v>
      </c>
      <c r="F9" s="75">
        <v>1.1370370370370371</v>
      </c>
      <c r="G9" s="75">
        <v>1E+30</v>
      </c>
      <c r="H9" s="75">
        <v>1.1319306540583136</v>
      </c>
    </row>
    <row r="10" spans="1:8" x14ac:dyDescent="0.55000000000000004">
      <c r="B10" s="75" t="s">
        <v>110</v>
      </c>
      <c r="C10" s="75" t="s">
        <v>111</v>
      </c>
      <c r="D10" s="75">
        <v>396583.42430000001</v>
      </c>
      <c r="E10" s="75">
        <v>0</v>
      </c>
      <c r="F10" s="75">
        <v>1.1328124999999911E-2</v>
      </c>
      <c r="G10" s="75">
        <v>1E+30</v>
      </c>
      <c r="H10" s="75">
        <v>6.2217420212764543E-3</v>
      </c>
    </row>
    <row r="11" spans="1:8" ht="14.7" thickBot="1" x14ac:dyDescent="0.6">
      <c r="B11" s="76" t="s">
        <v>112</v>
      </c>
      <c r="C11" s="76" t="s">
        <v>113</v>
      </c>
      <c r="D11" s="76">
        <v>434775.9155</v>
      </c>
      <c r="E11" s="76">
        <v>0</v>
      </c>
      <c r="F11" s="76">
        <v>5.106382978723456E-3</v>
      </c>
      <c r="G11" s="76">
        <v>6.2217420212764543E-3</v>
      </c>
      <c r="H11" s="76">
        <v>5.106382978723456E-3</v>
      </c>
    </row>
    <row r="13" spans="1:8" ht="14.7" thickBot="1" x14ac:dyDescent="0.6">
      <c r="A13" t="s">
        <v>8</v>
      </c>
    </row>
    <row r="14" spans="1:8" x14ac:dyDescent="0.55000000000000004">
      <c r="B14" s="77"/>
      <c r="C14" s="77"/>
      <c r="D14" s="77" t="s">
        <v>95</v>
      </c>
      <c r="E14" s="77" t="s">
        <v>104</v>
      </c>
      <c r="F14" s="77" t="s">
        <v>106</v>
      </c>
      <c r="G14" s="77" t="s">
        <v>101</v>
      </c>
      <c r="H14" s="77" t="s">
        <v>101</v>
      </c>
    </row>
    <row r="15" spans="1:8" ht="14.7" thickBot="1" x14ac:dyDescent="0.6">
      <c r="B15" s="78" t="s">
        <v>93</v>
      </c>
      <c r="C15" s="78" t="s">
        <v>94</v>
      </c>
      <c r="D15" s="78" t="s">
        <v>96</v>
      </c>
      <c r="E15" s="78" t="s">
        <v>105</v>
      </c>
      <c r="F15" s="78" t="s">
        <v>107</v>
      </c>
      <c r="G15" s="78" t="s">
        <v>102</v>
      </c>
      <c r="H15" s="78" t="s">
        <v>103</v>
      </c>
    </row>
    <row r="16" spans="1:8" x14ac:dyDescent="0.55000000000000004">
      <c r="B16" s="75" t="s">
        <v>114</v>
      </c>
      <c r="C16" s="75" t="s">
        <v>115</v>
      </c>
      <c r="D16" s="79">
        <v>4.58</v>
      </c>
      <c r="E16" s="97">
        <v>55357.562731998529</v>
      </c>
      <c r="F16" s="97">
        <v>4.5799999237060547</v>
      </c>
      <c r="G16" s="97">
        <v>1.3907064201621837</v>
      </c>
      <c r="H16" s="97">
        <v>0.92685696489770342</v>
      </c>
    </row>
    <row r="17" spans="2:8" x14ac:dyDescent="0.55000000000000004">
      <c r="B17" s="75" t="s">
        <v>116</v>
      </c>
      <c r="C17" s="75" t="s">
        <v>117</v>
      </c>
      <c r="D17" s="79">
        <v>6.95</v>
      </c>
      <c r="E17" s="97">
        <v>355.02731274365323</v>
      </c>
      <c r="F17" s="97">
        <v>6.9499998092651367</v>
      </c>
      <c r="G17" s="97">
        <v>3.5648115271271998</v>
      </c>
      <c r="H17" s="97">
        <v>0.79436498342861328</v>
      </c>
    </row>
    <row r="18" spans="2:8" x14ac:dyDescent="0.55000000000000004">
      <c r="B18" s="75" t="s">
        <v>118</v>
      </c>
      <c r="C18" s="75" t="s">
        <v>119</v>
      </c>
      <c r="D18" s="79">
        <v>3.83</v>
      </c>
      <c r="E18" s="97">
        <v>0</v>
      </c>
      <c r="F18" s="97">
        <v>4.2300000190734863</v>
      </c>
      <c r="G18" s="97">
        <v>1E+30</v>
      </c>
      <c r="H18" s="97">
        <v>0.39936929095651674</v>
      </c>
    </row>
    <row r="19" spans="2:8" ht="14.7" thickBot="1" x14ac:dyDescent="0.6">
      <c r="B19" s="76" t="s">
        <v>120</v>
      </c>
      <c r="C19" s="76" t="s">
        <v>23</v>
      </c>
      <c r="D19" s="80">
        <v>1055346.24</v>
      </c>
      <c r="E19" s="98">
        <v>5.106382978723456E-3</v>
      </c>
      <c r="F19" s="98">
        <v>1055346.2352535001</v>
      </c>
      <c r="G19" s="98">
        <v>45328.344447566407</v>
      </c>
      <c r="H19" s="98">
        <v>204775.91549327108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BAA0-BE69-4B9B-B583-4D978EF0EDAC}">
  <dimension ref="A1:H54"/>
  <sheetViews>
    <sheetView topLeftCell="A13" workbookViewId="0">
      <selection activeCell="A2" sqref="A2"/>
    </sheetView>
  </sheetViews>
  <sheetFormatPr defaultRowHeight="14.4" x14ac:dyDescent="0.55000000000000004"/>
  <cols>
    <col min="1" max="1" width="15.15625" customWidth="1"/>
    <col min="2" max="2" width="16.05078125" customWidth="1"/>
    <col min="3" max="3" width="14" customWidth="1"/>
    <col min="4" max="4" width="14.3671875" customWidth="1"/>
    <col min="5" max="5" width="13.26171875" customWidth="1"/>
    <col min="6" max="6" width="18.734375" customWidth="1"/>
  </cols>
  <sheetData>
    <row r="1" spans="1:8" x14ac:dyDescent="0.55000000000000004">
      <c r="A1" s="2" t="s">
        <v>55</v>
      </c>
      <c r="B1" s="2" t="s">
        <v>10</v>
      </c>
    </row>
    <row r="2" spans="1:8" x14ac:dyDescent="0.55000000000000004">
      <c r="A2" s="2" t="s">
        <v>83</v>
      </c>
    </row>
    <row r="4" spans="1:8" x14ac:dyDescent="0.55000000000000004">
      <c r="A4" s="3" t="s">
        <v>82</v>
      </c>
      <c r="C4" s="1" t="s">
        <v>18</v>
      </c>
      <c r="D4" s="1">
        <v>2020</v>
      </c>
      <c r="E4" s="1" t="s">
        <v>18</v>
      </c>
    </row>
    <row r="5" spans="1:8" x14ac:dyDescent="0.55000000000000004">
      <c r="B5" s="14" t="s">
        <v>42</v>
      </c>
      <c r="C5" s="14" t="s">
        <v>80</v>
      </c>
      <c r="D5" s="14" t="s">
        <v>49</v>
      </c>
      <c r="E5" s="14" t="s">
        <v>81</v>
      </c>
      <c r="F5" s="14" t="s">
        <v>50</v>
      </c>
      <c r="G5" s="1"/>
      <c r="H5" s="1"/>
    </row>
    <row r="6" spans="1:8" x14ac:dyDescent="0.55000000000000004">
      <c r="A6" s="72" t="s">
        <v>3</v>
      </c>
      <c r="B6" s="71">
        <v>9.2100000000000001E-2</v>
      </c>
      <c r="C6" s="45">
        <v>2535592.973333335</v>
      </c>
      <c r="D6" s="45">
        <v>2765270</v>
      </c>
      <c r="E6" s="45">
        <f>C6*B6</f>
        <v>233528.11284400016</v>
      </c>
      <c r="F6" s="45">
        <f>D6*B6</f>
        <v>254681.367</v>
      </c>
    </row>
    <row r="7" spans="1:8" x14ac:dyDescent="0.55000000000000004">
      <c r="A7" s="72" t="s">
        <v>2</v>
      </c>
      <c r="B7" s="71">
        <v>2.9000000000000001E-2</v>
      </c>
      <c r="C7" s="45">
        <v>159813.47333333333</v>
      </c>
      <c r="D7" s="45">
        <v>154915</v>
      </c>
      <c r="E7" s="45">
        <f t="shared" ref="E7:E8" si="0">C7*B7</f>
        <v>4634.5907266666663</v>
      </c>
      <c r="F7" s="45">
        <f t="shared" ref="F7:F8" si="1">D7*B7</f>
        <v>4492.5349999999999</v>
      </c>
    </row>
    <row r="8" spans="1:8" x14ac:dyDescent="0.55000000000000004">
      <c r="A8" s="72" t="s">
        <v>4</v>
      </c>
      <c r="B8" s="71">
        <v>1.2E-2</v>
      </c>
      <c r="C8" s="45">
        <v>299849.97333333298</v>
      </c>
      <c r="D8" s="45">
        <v>185011</v>
      </c>
      <c r="E8" s="45">
        <f t="shared" si="0"/>
        <v>3598.1996799999956</v>
      </c>
      <c r="F8" s="45">
        <f t="shared" si="1"/>
        <v>2220.1320000000001</v>
      </c>
    </row>
    <row r="9" spans="1:8" x14ac:dyDescent="0.55000000000000004">
      <c r="A9" s="73" t="s">
        <v>79</v>
      </c>
      <c r="B9" s="1"/>
      <c r="C9" s="43">
        <f>SUM(C6:C8)</f>
        <v>2995256.4200000013</v>
      </c>
      <c r="D9" s="43">
        <f>SUM(D6:D8)</f>
        <v>3105196</v>
      </c>
      <c r="E9" s="43">
        <f>SUM(E6:E8)</f>
        <v>241760.90325066683</v>
      </c>
      <c r="F9" s="43">
        <f>SUM(F6:F8)</f>
        <v>261394.03400000001</v>
      </c>
    </row>
    <row r="10" spans="1:8" x14ac:dyDescent="0.55000000000000004">
      <c r="A10" s="73" t="s">
        <v>78</v>
      </c>
      <c r="C10" s="2"/>
      <c r="D10" s="74">
        <f>(D9-C9)/C9</f>
        <v>3.6704563678056863E-2</v>
      </c>
      <c r="E10" s="5"/>
      <c r="F10" s="74">
        <f>(F9-E9)/E9</f>
        <v>8.1208874079101254E-2</v>
      </c>
    </row>
    <row r="13" spans="1:8" x14ac:dyDescent="0.55000000000000004">
      <c r="A13" s="2" t="s">
        <v>88</v>
      </c>
    </row>
    <row r="14" spans="1:8" x14ac:dyDescent="0.55000000000000004">
      <c r="A14" t="s">
        <v>139</v>
      </c>
    </row>
    <row r="15" spans="1:8" x14ac:dyDescent="0.55000000000000004">
      <c r="A15" s="5" t="s">
        <v>86</v>
      </c>
      <c r="B15" s="5" t="s">
        <v>87</v>
      </c>
      <c r="C15" s="5" t="s">
        <v>2</v>
      </c>
      <c r="D15" s="5" t="s">
        <v>4</v>
      </c>
    </row>
    <row r="16" spans="1:8" x14ac:dyDescent="0.55000000000000004">
      <c r="A16" s="46">
        <v>3</v>
      </c>
      <c r="B16" s="1"/>
      <c r="C16" s="1"/>
      <c r="D16" s="45">
        <v>260912.66327913862</v>
      </c>
    </row>
    <row r="17" spans="1:4" x14ac:dyDescent="0.55000000000000004">
      <c r="A17" s="46">
        <v>3.25</v>
      </c>
      <c r="B17" s="1"/>
      <c r="C17" s="1"/>
      <c r="D17" s="45">
        <v>261057.5566721599</v>
      </c>
    </row>
    <row r="18" spans="1:4" x14ac:dyDescent="0.55000000000000004">
      <c r="A18" s="46">
        <v>3.5</v>
      </c>
      <c r="B18" s="1"/>
      <c r="C18" s="1"/>
      <c r="D18" s="45">
        <v>261202.45006518118</v>
      </c>
    </row>
    <row r="19" spans="1:4" x14ac:dyDescent="0.55000000000000004">
      <c r="A19" s="46">
        <v>3.75</v>
      </c>
      <c r="B19" s="1"/>
      <c r="C19" s="1"/>
      <c r="D19" s="45">
        <v>261347.34345820246</v>
      </c>
    </row>
    <row r="20" spans="1:4" x14ac:dyDescent="0.55000000000000004">
      <c r="A20" s="46">
        <v>4</v>
      </c>
      <c r="B20" s="45">
        <v>229286.69280392086</v>
      </c>
      <c r="C20" s="45">
        <v>259718.63058435431</v>
      </c>
      <c r="D20" s="45">
        <v>261394.07489731704</v>
      </c>
    </row>
    <row r="21" spans="1:4" x14ac:dyDescent="0.55000000000000004">
      <c r="A21" s="46">
        <v>4.25</v>
      </c>
      <c r="B21" s="45">
        <v>243126.08348692048</v>
      </c>
      <c r="C21" s="45">
        <v>259880.23298459128</v>
      </c>
      <c r="D21" s="45">
        <v>261394.07489731704</v>
      </c>
    </row>
    <row r="22" spans="1:4" x14ac:dyDescent="0.55000000000000004">
      <c r="A22" s="46">
        <v>4.5</v>
      </c>
      <c r="B22" s="45">
        <v>256965.47416992011</v>
      </c>
      <c r="C22" s="45">
        <v>260041.83538482827</v>
      </c>
      <c r="D22" s="45">
        <v>261394.07489731704</v>
      </c>
    </row>
    <row r="23" spans="1:4" x14ac:dyDescent="0.55000000000000004">
      <c r="A23" s="46">
        <v>4.75</v>
      </c>
      <c r="B23" s="45">
        <v>270804.86485291977</v>
      </c>
      <c r="C23" s="45">
        <v>260203.43778506524</v>
      </c>
      <c r="D23" s="45">
        <v>261394.07489731704</v>
      </c>
    </row>
    <row r="24" spans="1:4" x14ac:dyDescent="0.55000000000000004">
      <c r="A24" s="46">
        <v>5</v>
      </c>
      <c r="B24" s="45">
        <v>284644.25553591939</v>
      </c>
      <c r="C24" s="45">
        <v>260365.04018530223</v>
      </c>
      <c r="D24" s="45">
        <v>261394.07489731704</v>
      </c>
    </row>
    <row r="25" spans="1:4" x14ac:dyDescent="0.55000000000000004">
      <c r="A25" s="46">
        <v>5.25</v>
      </c>
      <c r="B25" s="45">
        <v>298483.64621891908</v>
      </c>
      <c r="C25" s="45">
        <v>260526.6425855392</v>
      </c>
      <c r="D25" s="1"/>
    </row>
    <row r="26" spans="1:4" x14ac:dyDescent="0.55000000000000004">
      <c r="A26" s="46">
        <v>5.5</v>
      </c>
      <c r="B26" s="45">
        <v>312323.03690191865</v>
      </c>
      <c r="C26" s="45">
        <v>260688.24498577617</v>
      </c>
      <c r="D26" s="1"/>
    </row>
    <row r="27" spans="1:4" x14ac:dyDescent="0.55000000000000004">
      <c r="A27" s="46">
        <v>5.75</v>
      </c>
      <c r="B27" s="45">
        <v>326162.42758491827</v>
      </c>
      <c r="C27" s="45">
        <v>260849.84738601316</v>
      </c>
      <c r="D27" s="1"/>
    </row>
    <row r="28" spans="1:4" x14ac:dyDescent="0.55000000000000004">
      <c r="A28" s="46">
        <v>6</v>
      </c>
      <c r="B28" s="45">
        <v>338380.19286095432</v>
      </c>
      <c r="C28" s="45">
        <v>261011.44978625013</v>
      </c>
      <c r="D28" s="1"/>
    </row>
    <row r="29" spans="1:4" x14ac:dyDescent="0.55000000000000004">
      <c r="A29" s="46">
        <v>6.25</v>
      </c>
      <c r="B29" s="45">
        <v>338380.19286095432</v>
      </c>
      <c r="C29" s="45">
        <v>261145.55584611258</v>
      </c>
      <c r="D29" s="1"/>
    </row>
    <row r="30" spans="1:4" x14ac:dyDescent="0.55000000000000004">
      <c r="A30" s="46">
        <v>6.5</v>
      </c>
      <c r="B30" s="45">
        <v>338380.19286095432</v>
      </c>
      <c r="C30" s="45">
        <v>261234.31267429848</v>
      </c>
      <c r="D30" s="1"/>
    </row>
    <row r="31" spans="1:4" x14ac:dyDescent="0.55000000000000004">
      <c r="A31" s="46">
        <v>6.75</v>
      </c>
      <c r="B31" s="1"/>
      <c r="C31" s="45">
        <v>261323.06950248437</v>
      </c>
      <c r="D31" s="1"/>
    </row>
    <row r="32" spans="1:4" x14ac:dyDescent="0.55000000000000004">
      <c r="A32" s="46">
        <v>7</v>
      </c>
      <c r="B32" s="1"/>
      <c r="C32" s="45">
        <v>261411.82633067033</v>
      </c>
      <c r="D32" s="1"/>
    </row>
    <row r="33" spans="1:4" x14ac:dyDescent="0.55000000000000004">
      <c r="A33" s="46">
        <v>7.25</v>
      </c>
      <c r="B33" s="1"/>
      <c r="C33" s="45">
        <v>261500.58315885623</v>
      </c>
      <c r="D33" s="1"/>
    </row>
    <row r="34" spans="1:4" x14ac:dyDescent="0.55000000000000004">
      <c r="A34" s="46">
        <v>7.5</v>
      </c>
      <c r="B34" s="1"/>
      <c r="C34" s="45">
        <v>261589.33998704216</v>
      </c>
      <c r="D34" s="1"/>
    </row>
    <row r="35" spans="1:4" x14ac:dyDescent="0.55000000000000004">
      <c r="A35" s="46">
        <v>7.75</v>
      </c>
      <c r="B35" s="1"/>
      <c r="C35" s="45">
        <v>261678.09681522805</v>
      </c>
      <c r="D35" s="1"/>
    </row>
    <row r="36" spans="1:4" x14ac:dyDescent="0.55000000000000004">
      <c r="A36" s="46">
        <v>8</v>
      </c>
      <c r="B36" s="1"/>
      <c r="C36" s="45">
        <v>261766.85364341398</v>
      </c>
      <c r="D36" s="1"/>
    </row>
    <row r="37" spans="1:4" x14ac:dyDescent="0.55000000000000004">
      <c r="A37" s="46">
        <v>8.25</v>
      </c>
      <c r="B37" s="1"/>
      <c r="C37" s="45">
        <v>261855.61047159988</v>
      </c>
      <c r="D37" s="1"/>
    </row>
    <row r="38" spans="1:4" x14ac:dyDescent="0.55000000000000004">
      <c r="A38" s="46">
        <v>8.5</v>
      </c>
      <c r="B38" s="1"/>
      <c r="C38" s="45">
        <v>261944.36729978578</v>
      </c>
      <c r="D38" s="1"/>
    </row>
    <row r="39" spans="1:4" x14ac:dyDescent="0.55000000000000004">
      <c r="A39" s="46">
        <v>8.75</v>
      </c>
      <c r="B39" s="1"/>
      <c r="C39" s="45">
        <v>262033.12412797174</v>
      </c>
      <c r="D39" s="1"/>
    </row>
    <row r="40" spans="1:4" x14ac:dyDescent="0.55000000000000004">
      <c r="A40" s="46">
        <v>9</v>
      </c>
      <c r="B40" s="1"/>
      <c r="C40" s="45">
        <v>262121.88095615763</v>
      </c>
      <c r="D40" s="1"/>
    </row>
    <row r="43" spans="1:4" x14ac:dyDescent="0.55000000000000004">
      <c r="A43" t="s">
        <v>140</v>
      </c>
    </row>
    <row r="44" spans="1:4" x14ac:dyDescent="0.55000000000000004">
      <c r="A44" s="5" t="s">
        <v>138</v>
      </c>
      <c r="B44" s="5" t="s">
        <v>136</v>
      </c>
      <c r="C44" s="5" t="s">
        <v>137</v>
      </c>
    </row>
    <row r="45" spans="1:4" x14ac:dyDescent="0.55000000000000004">
      <c r="A45" s="96">
        <v>4.999999888241291E-3</v>
      </c>
      <c r="B45" s="45">
        <v>16963.992567908012</v>
      </c>
      <c r="C45" s="45">
        <v>16963.992567908012</v>
      </c>
    </row>
    <row r="46" spans="1:4" x14ac:dyDescent="0.55000000000000004">
      <c r="A46" s="96">
        <v>9.9999997764825821E-3</v>
      </c>
      <c r="B46" s="45">
        <v>17650.03763039269</v>
      </c>
      <c r="C46" s="45">
        <v>30790.343831046735</v>
      </c>
    </row>
    <row r="47" spans="1:4" x14ac:dyDescent="0.55000000000000004">
      <c r="A47" s="96">
        <v>1.4999999664723873E-2</v>
      </c>
      <c r="B47" s="45">
        <v>18370.214566635568</v>
      </c>
      <c r="C47" s="45">
        <v>44616.695094185459</v>
      </c>
    </row>
    <row r="48" spans="1:4" x14ac:dyDescent="0.55000000000000004">
      <c r="A48" s="96">
        <v>1.9999999552965164E-2</v>
      </c>
      <c r="B48" s="45">
        <v>19144.791549890557</v>
      </c>
      <c r="C48" s="45">
        <v>58443.046357324187</v>
      </c>
    </row>
    <row r="49" spans="1:3" x14ac:dyDescent="0.55000000000000004">
      <c r="A49" s="96">
        <v>2.4999998509883881E-2</v>
      </c>
      <c r="B49" s="45">
        <v>19919.368388869338</v>
      </c>
      <c r="C49" s="45">
        <v>72269.395045104233</v>
      </c>
    </row>
    <row r="50" spans="1:3" x14ac:dyDescent="0.55000000000000004">
      <c r="A50" s="96">
        <v>2.9999999329447746E-2</v>
      </c>
      <c r="B50" s="45">
        <v>20693.945516400534</v>
      </c>
      <c r="C50" s="45">
        <v>86095.748883601627</v>
      </c>
    </row>
    <row r="51" spans="1:3" x14ac:dyDescent="0.55000000000000004">
      <c r="A51" s="96">
        <v>3.5000000149011612E-2</v>
      </c>
      <c r="B51" s="45">
        <v>21468.52264393173</v>
      </c>
      <c r="C51" s="45">
        <v>99922.102722099022</v>
      </c>
    </row>
    <row r="52" spans="1:3" x14ac:dyDescent="0.55000000000000004">
      <c r="A52" s="96">
        <v>3.9999999105930328E-2</v>
      </c>
      <c r="B52" s="45">
        <v>22243.099482910511</v>
      </c>
      <c r="C52" s="45">
        <v>113748.45140987908</v>
      </c>
    </row>
    <row r="53" spans="1:3" x14ac:dyDescent="0.55000000000000004">
      <c r="A53" s="96">
        <v>4.4999998062849045E-2</v>
      </c>
      <c r="B53" s="45">
        <v>23017.676321889288</v>
      </c>
      <c r="C53" s="45">
        <v>127574.80009765914</v>
      </c>
    </row>
    <row r="54" spans="1:3" x14ac:dyDescent="0.55000000000000004">
      <c r="A54" s="96">
        <v>4.9999997019767761E-2</v>
      </c>
      <c r="B54" s="45">
        <v>23792.253160868069</v>
      </c>
      <c r="C54" s="45">
        <v>141401.1487854392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9F7-D345-4B5A-9C83-25D314E5B04A}">
  <dimension ref="A1:B18"/>
  <sheetViews>
    <sheetView workbookViewId="0"/>
  </sheetViews>
  <sheetFormatPr defaultRowHeight="14.4" x14ac:dyDescent="0.55000000000000004"/>
  <sheetData>
    <row r="1" spans="1:2" x14ac:dyDescent="0.55000000000000004">
      <c r="A1">
        <v>1</v>
      </c>
      <c r="B1">
        <v>1</v>
      </c>
    </row>
    <row r="2" spans="1:2" x14ac:dyDescent="0.55000000000000004">
      <c r="A2" t="s">
        <v>124</v>
      </c>
      <c r="B2" t="s">
        <v>124</v>
      </c>
    </row>
    <row r="3" spans="1:2" x14ac:dyDescent="0.55000000000000004">
      <c r="A3">
        <v>1</v>
      </c>
      <c r="B3">
        <v>1</v>
      </c>
    </row>
    <row r="4" spans="1:2" x14ac:dyDescent="0.55000000000000004">
      <c r="A4">
        <v>5.0000000000000001E-3</v>
      </c>
      <c r="B4">
        <v>5.0000000000000001E-3</v>
      </c>
    </row>
    <row r="5" spans="1:2" x14ac:dyDescent="0.55000000000000004">
      <c r="A5">
        <v>0.05</v>
      </c>
      <c r="B5">
        <v>0.05</v>
      </c>
    </row>
    <row r="6" spans="1:2" x14ac:dyDescent="0.55000000000000004">
      <c r="A6">
        <v>5.0000000000000001E-3</v>
      </c>
      <c r="B6">
        <v>5.0000000000000001E-3</v>
      </c>
    </row>
    <row r="8" spans="1:2" x14ac:dyDescent="0.55000000000000004">
      <c r="A8" s="17"/>
      <c r="B8" s="17" t="s">
        <v>125</v>
      </c>
    </row>
    <row r="9" spans="1:2" x14ac:dyDescent="0.55000000000000004">
      <c r="A9" t="s">
        <v>29</v>
      </c>
      <c r="B9" t="s">
        <v>123</v>
      </c>
    </row>
    <row r="10" spans="1:2" x14ac:dyDescent="0.55000000000000004">
      <c r="A10" t="s">
        <v>126</v>
      </c>
      <c r="B10">
        <v>1</v>
      </c>
    </row>
    <row r="11" spans="1:2" x14ac:dyDescent="0.55000000000000004">
      <c r="B11">
        <v>5.0000000000000001E-3</v>
      </c>
    </row>
    <row r="12" spans="1:2" x14ac:dyDescent="0.55000000000000004">
      <c r="B12">
        <v>0.05</v>
      </c>
    </row>
    <row r="13" spans="1:2" x14ac:dyDescent="0.55000000000000004">
      <c r="B13">
        <v>5.0000000000000001E-3</v>
      </c>
    </row>
    <row r="15" spans="1:2" x14ac:dyDescent="0.55000000000000004">
      <c r="B15" s="17" t="s">
        <v>125</v>
      </c>
    </row>
    <row r="16" spans="1:2" x14ac:dyDescent="0.55000000000000004">
      <c r="B16" t="s">
        <v>29</v>
      </c>
    </row>
    <row r="17" spans="2:2" x14ac:dyDescent="0.55000000000000004">
      <c r="B17" t="s">
        <v>126</v>
      </c>
    </row>
    <row r="18" spans="2:2" x14ac:dyDescent="0.55000000000000004">
      <c r="B18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548E-31D3-49E4-9C3E-CD29E72F2C32}">
  <dimension ref="A1:B15"/>
  <sheetViews>
    <sheetView workbookViewId="0"/>
  </sheetViews>
  <sheetFormatPr defaultRowHeight="14.4" x14ac:dyDescent="0.55000000000000004"/>
  <sheetData>
    <row r="1" spans="1:2" x14ac:dyDescent="0.55000000000000004">
      <c r="A1">
        <v>1</v>
      </c>
    </row>
    <row r="2" spans="1:2" x14ac:dyDescent="0.55000000000000004">
      <c r="A2" t="s">
        <v>35</v>
      </c>
    </row>
    <row r="3" spans="1:2" x14ac:dyDescent="0.55000000000000004">
      <c r="A3">
        <v>1</v>
      </c>
    </row>
    <row r="4" spans="1:2" x14ac:dyDescent="0.55000000000000004">
      <c r="A4">
        <v>3.5</v>
      </c>
    </row>
    <row r="5" spans="1:2" x14ac:dyDescent="0.55000000000000004">
      <c r="A5">
        <v>5</v>
      </c>
    </row>
    <row r="6" spans="1:2" x14ac:dyDescent="0.55000000000000004">
      <c r="A6">
        <v>0.25</v>
      </c>
    </row>
    <row r="8" spans="1:2" x14ac:dyDescent="0.55000000000000004">
      <c r="A8" s="17"/>
      <c r="B8" s="17"/>
    </row>
    <row r="9" spans="1:2" x14ac:dyDescent="0.55000000000000004">
      <c r="A9" t="s">
        <v>29</v>
      </c>
    </row>
    <row r="10" spans="1:2" x14ac:dyDescent="0.55000000000000004">
      <c r="A10" t="s">
        <v>30</v>
      </c>
    </row>
    <row r="15" spans="1:2" x14ac:dyDescent="0.55000000000000004">
      <c r="B1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9A6F-FB04-4B86-AC6B-C0F0F3540FCB}">
  <dimension ref="A1:K15"/>
  <sheetViews>
    <sheetView topLeftCell="A10" workbookViewId="0">
      <selection activeCell="I37" sqref="I37"/>
    </sheetView>
  </sheetViews>
  <sheetFormatPr defaultRowHeight="14.4" x14ac:dyDescent="0.55000000000000004"/>
  <sheetData>
    <row r="1" spans="1:11" x14ac:dyDescent="0.55000000000000004">
      <c r="A1" s="2" t="s">
        <v>68</v>
      </c>
      <c r="K1" s="20" t="str">
        <f>CONCATENATE("Sensitivity of ",$K$4," to ","FBmaxCPM")</f>
        <v>Sensitivity of TotalConversions to FBmaxCPM</v>
      </c>
    </row>
    <row r="3" spans="1:11" x14ac:dyDescent="0.55000000000000004">
      <c r="A3" t="s">
        <v>69</v>
      </c>
      <c r="K3" t="s">
        <v>34</v>
      </c>
    </row>
    <row r="4" spans="1:11" ht="99" x14ac:dyDescent="0.55000000000000004">
      <c r="B4" s="18" t="s">
        <v>31</v>
      </c>
      <c r="C4" s="18" t="s">
        <v>32</v>
      </c>
      <c r="D4" s="18" t="s">
        <v>33</v>
      </c>
      <c r="E4" s="18" t="s">
        <v>22</v>
      </c>
      <c r="J4" s="20">
        <f>MATCH($K$4,OutputAddresses,0)</f>
        <v>4</v>
      </c>
      <c r="K4" s="19" t="s">
        <v>22</v>
      </c>
    </row>
    <row r="5" spans="1:11" x14ac:dyDescent="0.55000000000000004">
      <c r="A5" s="57">
        <v>4</v>
      </c>
      <c r="B5" s="59">
        <v>195621.75</v>
      </c>
      <c r="C5" s="60">
        <v>396583.44</v>
      </c>
      <c r="D5" s="60">
        <v>463141.05</v>
      </c>
      <c r="E5" s="61">
        <v>229286.69280392086</v>
      </c>
      <c r="K5">
        <f>INDEX(OutputValues,1,$J$4)</f>
        <v>229286.69280392086</v>
      </c>
    </row>
    <row r="6" spans="1:11" x14ac:dyDescent="0.55000000000000004">
      <c r="A6" s="57">
        <v>4.25</v>
      </c>
      <c r="B6" s="62">
        <v>207848.11</v>
      </c>
      <c r="C6" s="63">
        <v>396583.44</v>
      </c>
      <c r="D6" s="63">
        <v>450914.69</v>
      </c>
      <c r="E6" s="64">
        <v>243126.08348692048</v>
      </c>
      <c r="K6">
        <f>INDEX(OutputValues,2,$J$4)</f>
        <v>243126.08348692048</v>
      </c>
    </row>
    <row r="7" spans="1:11" x14ac:dyDescent="0.55000000000000004">
      <c r="A7" s="57">
        <v>4.5</v>
      </c>
      <c r="B7" s="62">
        <v>220074.46</v>
      </c>
      <c r="C7" s="63">
        <v>396583.44</v>
      </c>
      <c r="D7" s="63">
        <v>438688.34</v>
      </c>
      <c r="E7" s="64">
        <v>256965.47416992011</v>
      </c>
      <c r="K7">
        <f>INDEX(OutputValues,3,$J$4)</f>
        <v>256965.47416992011</v>
      </c>
    </row>
    <row r="8" spans="1:11" x14ac:dyDescent="0.55000000000000004">
      <c r="A8" s="57">
        <v>4.75</v>
      </c>
      <c r="B8" s="62">
        <v>232300.82</v>
      </c>
      <c r="C8" s="63">
        <v>396583.44</v>
      </c>
      <c r="D8" s="63">
        <v>426461.98</v>
      </c>
      <c r="E8" s="64">
        <v>270804.86485291977</v>
      </c>
      <c r="K8">
        <f>INDEX(OutputValues,4,$J$4)</f>
        <v>270804.86485291977</v>
      </c>
    </row>
    <row r="9" spans="1:11" x14ac:dyDescent="0.55000000000000004">
      <c r="A9" s="57">
        <v>5</v>
      </c>
      <c r="B9" s="62">
        <v>244527.18</v>
      </c>
      <c r="C9" s="63">
        <v>396583.44</v>
      </c>
      <c r="D9" s="63">
        <v>414235.62</v>
      </c>
      <c r="E9" s="64">
        <v>284644.25553591939</v>
      </c>
      <c r="K9">
        <f>INDEX(OutputValues,5,$J$4)</f>
        <v>284644.25553591939</v>
      </c>
    </row>
    <row r="10" spans="1:11" x14ac:dyDescent="0.55000000000000004">
      <c r="A10" s="57">
        <v>5.25</v>
      </c>
      <c r="B10" s="62">
        <v>256753.54</v>
      </c>
      <c r="C10" s="63">
        <v>396583.44</v>
      </c>
      <c r="D10" s="63">
        <v>402009.26</v>
      </c>
      <c r="E10" s="64">
        <v>298483.64621891908</v>
      </c>
      <c r="K10">
        <f>INDEX(OutputValues,6,$J$4)</f>
        <v>298483.64621891908</v>
      </c>
    </row>
    <row r="11" spans="1:11" x14ac:dyDescent="0.55000000000000004">
      <c r="A11" s="57">
        <v>5.5</v>
      </c>
      <c r="B11" s="62">
        <v>268979.90000000002</v>
      </c>
      <c r="C11" s="63">
        <v>396583.44</v>
      </c>
      <c r="D11" s="63">
        <v>389782.9</v>
      </c>
      <c r="E11" s="64">
        <v>312323.03690191865</v>
      </c>
      <c r="K11">
        <f>INDEX(OutputValues,7,$J$4)</f>
        <v>312323.03690191865</v>
      </c>
    </row>
    <row r="12" spans="1:11" x14ac:dyDescent="0.55000000000000004">
      <c r="A12" s="57">
        <v>5.75</v>
      </c>
      <c r="B12" s="62">
        <v>281206.26</v>
      </c>
      <c r="C12" s="63">
        <v>396583.44</v>
      </c>
      <c r="D12" s="63">
        <v>377556.54</v>
      </c>
      <c r="E12" s="64">
        <v>326162.42758491827</v>
      </c>
      <c r="K12">
        <f>INDEX(OutputValues,8,$J$4)</f>
        <v>326162.42758491827</v>
      </c>
    </row>
    <row r="13" spans="1:11" x14ac:dyDescent="0.55000000000000004">
      <c r="A13" s="57">
        <v>6</v>
      </c>
      <c r="B13" s="62">
        <v>292000</v>
      </c>
      <c r="C13" s="63">
        <v>396583.44</v>
      </c>
      <c r="D13" s="63">
        <v>366762.8</v>
      </c>
      <c r="E13" s="64">
        <v>338380.19286095432</v>
      </c>
      <c r="K13">
        <f>INDEX(OutputValues,9,$J$4)</f>
        <v>338380.19286095432</v>
      </c>
    </row>
    <row r="14" spans="1:11" x14ac:dyDescent="0.55000000000000004">
      <c r="A14" s="57">
        <v>6.25</v>
      </c>
      <c r="B14" s="62">
        <v>292000</v>
      </c>
      <c r="C14" s="63">
        <v>396583.44</v>
      </c>
      <c r="D14" s="63">
        <v>366762.8</v>
      </c>
      <c r="E14" s="64">
        <v>338380.19286095432</v>
      </c>
      <c r="K14">
        <f>INDEX(OutputValues,10,$J$4)</f>
        <v>338380.19286095432</v>
      </c>
    </row>
    <row r="15" spans="1:11" x14ac:dyDescent="0.55000000000000004">
      <c r="A15" s="57">
        <v>6.5</v>
      </c>
      <c r="B15" s="65">
        <v>292000</v>
      </c>
      <c r="C15" s="66">
        <v>396583.44</v>
      </c>
      <c r="D15" s="66">
        <v>366762.8</v>
      </c>
      <c r="E15" s="67">
        <v>338380.19286095432</v>
      </c>
      <c r="K15">
        <f>INDEX(OutputValues,11,$J$4)</f>
        <v>338380.19286095432</v>
      </c>
    </row>
  </sheetData>
  <dataValidations count="1">
    <dataValidation type="list" allowBlank="1" showInputMessage="1" showErrorMessage="1" sqref="K4" xr:uid="{E8632BCE-DCEE-45D2-9FCF-E90967E434D6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665E-8E2D-4078-B8FB-77A6A4C30673}">
  <dimension ref="A1:K25"/>
  <sheetViews>
    <sheetView topLeftCell="A13" workbookViewId="0">
      <selection activeCell="E5" sqref="E5:E25"/>
    </sheetView>
  </sheetViews>
  <sheetFormatPr defaultRowHeight="14.4" x14ac:dyDescent="0.55000000000000004"/>
  <sheetData>
    <row r="1" spans="1:11" x14ac:dyDescent="0.55000000000000004">
      <c r="A1" s="2" t="s">
        <v>68</v>
      </c>
      <c r="K1" s="20" t="str">
        <f>CONCATENATE("Sensitivity of ",$K$4," to ","PandoramaxCPM")</f>
        <v>Sensitivity of TotalConversions to PandoramaxCPM</v>
      </c>
    </row>
    <row r="3" spans="1:11" x14ac:dyDescent="0.55000000000000004">
      <c r="A3" t="s">
        <v>85</v>
      </c>
      <c r="K3" t="s">
        <v>34</v>
      </c>
    </row>
    <row r="4" spans="1:11" ht="99" x14ac:dyDescent="0.55000000000000004">
      <c r="B4" s="18" t="s">
        <v>31</v>
      </c>
      <c r="C4" s="18" t="s">
        <v>32</v>
      </c>
      <c r="D4" s="18" t="s">
        <v>33</v>
      </c>
      <c r="E4" s="18" t="s">
        <v>22</v>
      </c>
      <c r="J4" s="20">
        <f>MATCH($K$4,OutputAddresses,0)</f>
        <v>4</v>
      </c>
      <c r="K4" s="19" t="s">
        <v>22</v>
      </c>
    </row>
    <row r="5" spans="1:11" x14ac:dyDescent="0.55000000000000004">
      <c r="A5" s="57">
        <v>4</v>
      </c>
      <c r="B5" s="59">
        <v>223986.9</v>
      </c>
      <c r="C5" s="60">
        <v>228249.46</v>
      </c>
      <c r="D5" s="60">
        <v>480104.26</v>
      </c>
      <c r="E5" s="61">
        <v>259718.63058435431</v>
      </c>
      <c r="K5">
        <f>INDEX(OutputValues,1,$J$4)</f>
        <v>259718.63058435431</v>
      </c>
    </row>
    <row r="6" spans="1:11" x14ac:dyDescent="0.55000000000000004">
      <c r="A6" s="57">
        <v>4.25</v>
      </c>
      <c r="B6" s="62">
        <v>223986.9</v>
      </c>
      <c r="C6" s="63">
        <v>242515.05</v>
      </c>
      <c r="D6" s="63">
        <v>480104.26</v>
      </c>
      <c r="E6" s="64">
        <v>259880.23298459128</v>
      </c>
      <c r="K6">
        <f>INDEX(OutputValues,2,$J$4)</f>
        <v>259880.23298459128</v>
      </c>
    </row>
    <row r="7" spans="1:11" x14ac:dyDescent="0.55000000000000004">
      <c r="A7" s="57">
        <v>4.5</v>
      </c>
      <c r="B7" s="62">
        <v>223986.9</v>
      </c>
      <c r="C7" s="63">
        <v>256780.64</v>
      </c>
      <c r="D7" s="63">
        <v>480104.26</v>
      </c>
      <c r="E7" s="64">
        <v>260041.83538482827</v>
      </c>
      <c r="K7">
        <f>INDEX(OutputValues,3,$J$4)</f>
        <v>260041.83538482827</v>
      </c>
    </row>
    <row r="8" spans="1:11" x14ac:dyDescent="0.55000000000000004">
      <c r="A8" s="57">
        <v>4.75</v>
      </c>
      <c r="B8" s="62">
        <v>223986.9</v>
      </c>
      <c r="C8" s="63">
        <v>271046.23</v>
      </c>
      <c r="D8" s="63">
        <v>480104.26</v>
      </c>
      <c r="E8" s="64">
        <v>260203.43778506524</v>
      </c>
      <c r="K8">
        <f>INDEX(OutputValues,4,$J$4)</f>
        <v>260203.43778506524</v>
      </c>
    </row>
    <row r="9" spans="1:11" x14ac:dyDescent="0.55000000000000004">
      <c r="A9" s="57">
        <v>5</v>
      </c>
      <c r="B9" s="62">
        <v>223986.9</v>
      </c>
      <c r="C9" s="63">
        <v>285311.82</v>
      </c>
      <c r="D9" s="63">
        <v>480104.26</v>
      </c>
      <c r="E9" s="64">
        <v>260365.04018530223</v>
      </c>
      <c r="K9">
        <f>INDEX(OutputValues,5,$J$4)</f>
        <v>260365.04018530223</v>
      </c>
    </row>
    <row r="10" spans="1:11" x14ac:dyDescent="0.55000000000000004">
      <c r="A10" s="57">
        <v>5.25</v>
      </c>
      <c r="B10" s="62">
        <v>223986.9</v>
      </c>
      <c r="C10" s="63">
        <v>299577.42</v>
      </c>
      <c r="D10" s="63">
        <v>480104.26</v>
      </c>
      <c r="E10" s="64">
        <v>260526.6425855392</v>
      </c>
      <c r="K10">
        <f>INDEX(OutputValues,6,$J$4)</f>
        <v>260526.6425855392</v>
      </c>
    </row>
    <row r="11" spans="1:11" x14ac:dyDescent="0.55000000000000004">
      <c r="A11" s="57">
        <v>5.5</v>
      </c>
      <c r="B11" s="62">
        <v>223986.9</v>
      </c>
      <c r="C11" s="63">
        <v>313843.01</v>
      </c>
      <c r="D11" s="63">
        <v>480104.26</v>
      </c>
      <c r="E11" s="64">
        <v>260688.24498577617</v>
      </c>
      <c r="K11">
        <f>INDEX(OutputValues,7,$J$4)</f>
        <v>260688.24498577617</v>
      </c>
    </row>
    <row r="12" spans="1:11" x14ac:dyDescent="0.55000000000000004">
      <c r="A12" s="57">
        <v>5.75</v>
      </c>
      <c r="B12" s="62">
        <v>223986.9</v>
      </c>
      <c r="C12" s="63">
        <v>328108.59999999998</v>
      </c>
      <c r="D12" s="63">
        <v>480104.26</v>
      </c>
      <c r="E12" s="64">
        <v>260849.84738601316</v>
      </c>
      <c r="K12">
        <f>INDEX(OutputValues,8,$J$4)</f>
        <v>260849.84738601316</v>
      </c>
    </row>
    <row r="13" spans="1:11" x14ac:dyDescent="0.55000000000000004">
      <c r="A13" s="57">
        <v>6</v>
      </c>
      <c r="B13" s="62">
        <v>223986.9</v>
      </c>
      <c r="C13" s="63">
        <v>342374.19</v>
      </c>
      <c r="D13" s="63">
        <v>480104.26</v>
      </c>
      <c r="E13" s="64">
        <v>261011.44978625013</v>
      </c>
      <c r="K13">
        <f>INDEX(OutputValues,9,$J$4)</f>
        <v>261011.44978625013</v>
      </c>
    </row>
    <row r="14" spans="1:11" x14ac:dyDescent="0.55000000000000004">
      <c r="A14" s="57">
        <v>6.25</v>
      </c>
      <c r="B14" s="62">
        <v>223986.9</v>
      </c>
      <c r="C14" s="63">
        <v>356639.78</v>
      </c>
      <c r="D14" s="63">
        <v>474719.56</v>
      </c>
      <c r="E14" s="64">
        <v>261145.55584611258</v>
      </c>
      <c r="K14">
        <f>INDEX(OutputValues,10,$J$4)</f>
        <v>261145.55584611258</v>
      </c>
    </row>
    <row r="15" spans="1:11" x14ac:dyDescent="0.55000000000000004">
      <c r="A15" s="57">
        <v>6.5</v>
      </c>
      <c r="B15" s="62">
        <v>223986.9</v>
      </c>
      <c r="C15" s="63">
        <v>370905.37</v>
      </c>
      <c r="D15" s="63">
        <v>460453.97</v>
      </c>
      <c r="E15" s="64">
        <v>261234.31267429848</v>
      </c>
      <c r="K15">
        <f>INDEX(OutputValues,11,$J$4)</f>
        <v>261234.31267429848</v>
      </c>
    </row>
    <row r="16" spans="1:11" x14ac:dyDescent="0.55000000000000004">
      <c r="A16" s="57">
        <v>6.75</v>
      </c>
      <c r="B16" s="62">
        <v>223986.9</v>
      </c>
      <c r="C16" s="63">
        <v>385170.96</v>
      </c>
      <c r="D16" s="63">
        <v>446188.38</v>
      </c>
      <c r="E16" s="64">
        <v>261323.06950248437</v>
      </c>
      <c r="K16">
        <f>INDEX(OutputValues,12,$J$4)</f>
        <v>261323.06950248437</v>
      </c>
    </row>
    <row r="17" spans="1:11" x14ac:dyDescent="0.55000000000000004">
      <c r="A17" s="57">
        <v>7</v>
      </c>
      <c r="B17" s="62">
        <v>223986.9</v>
      </c>
      <c r="C17" s="63">
        <v>399436.55</v>
      </c>
      <c r="D17" s="63">
        <v>431922.79</v>
      </c>
      <c r="E17" s="64">
        <v>261411.82633067033</v>
      </c>
      <c r="K17">
        <f>INDEX(OutputValues,13,$J$4)</f>
        <v>261411.82633067033</v>
      </c>
    </row>
    <row r="18" spans="1:11" x14ac:dyDescent="0.55000000000000004">
      <c r="A18" s="57">
        <v>7.25</v>
      </c>
      <c r="B18" s="62">
        <v>223986.9</v>
      </c>
      <c r="C18" s="63">
        <v>413702.14</v>
      </c>
      <c r="D18" s="63">
        <v>417657.2</v>
      </c>
      <c r="E18" s="64">
        <v>261500.58315885623</v>
      </c>
      <c r="K18">
        <f>INDEX(OutputValues,14,$J$4)</f>
        <v>261500.58315885623</v>
      </c>
    </row>
    <row r="19" spans="1:11" x14ac:dyDescent="0.55000000000000004">
      <c r="A19" s="57">
        <v>7.5</v>
      </c>
      <c r="B19" s="62">
        <v>223986.9</v>
      </c>
      <c r="C19" s="63">
        <v>427967.74</v>
      </c>
      <c r="D19" s="63">
        <v>403391.6</v>
      </c>
      <c r="E19" s="64">
        <v>261589.33998704216</v>
      </c>
      <c r="K19">
        <f>INDEX(OutputValues,15,$J$4)</f>
        <v>261589.33998704216</v>
      </c>
    </row>
    <row r="20" spans="1:11" x14ac:dyDescent="0.55000000000000004">
      <c r="A20" s="57">
        <v>7.75</v>
      </c>
      <c r="B20" s="62">
        <v>223986.9</v>
      </c>
      <c r="C20" s="63">
        <v>442233.33</v>
      </c>
      <c r="D20" s="63">
        <v>389126.01</v>
      </c>
      <c r="E20" s="64">
        <v>261678.09681522805</v>
      </c>
      <c r="K20">
        <f>INDEX(OutputValues,16,$J$4)</f>
        <v>261678.09681522805</v>
      </c>
    </row>
    <row r="21" spans="1:11" x14ac:dyDescent="0.55000000000000004">
      <c r="A21" s="57">
        <v>8</v>
      </c>
      <c r="B21" s="62">
        <v>223986.9</v>
      </c>
      <c r="C21" s="63">
        <v>456498.92</v>
      </c>
      <c r="D21" s="63">
        <v>374860.42</v>
      </c>
      <c r="E21" s="64">
        <v>261766.85364341398</v>
      </c>
      <c r="K21">
        <f>INDEX(OutputValues,17,$J$4)</f>
        <v>261766.85364341398</v>
      </c>
    </row>
    <row r="22" spans="1:11" x14ac:dyDescent="0.55000000000000004">
      <c r="A22" s="57">
        <v>8.25</v>
      </c>
      <c r="B22" s="62">
        <v>223986.9</v>
      </c>
      <c r="C22" s="63">
        <v>470764.51</v>
      </c>
      <c r="D22" s="63">
        <v>360594.83</v>
      </c>
      <c r="E22" s="64">
        <v>261855.61047159988</v>
      </c>
      <c r="K22">
        <f>INDEX(OutputValues,18,$J$4)</f>
        <v>261855.61047159988</v>
      </c>
    </row>
    <row r="23" spans="1:11" x14ac:dyDescent="0.55000000000000004">
      <c r="A23" s="57">
        <v>8.5</v>
      </c>
      <c r="B23" s="62">
        <v>223986.9</v>
      </c>
      <c r="C23" s="63">
        <v>485030.1</v>
      </c>
      <c r="D23" s="63">
        <v>346329.24</v>
      </c>
      <c r="E23" s="64">
        <v>261944.36729978578</v>
      </c>
      <c r="K23">
        <f>INDEX(OutputValues,19,$J$4)</f>
        <v>261944.36729978578</v>
      </c>
    </row>
    <row r="24" spans="1:11" x14ac:dyDescent="0.55000000000000004">
      <c r="A24" s="57">
        <v>8.75</v>
      </c>
      <c r="B24" s="62">
        <v>223986.9</v>
      </c>
      <c r="C24" s="63">
        <v>499295.69</v>
      </c>
      <c r="D24" s="63">
        <v>332063.65000000002</v>
      </c>
      <c r="E24" s="64">
        <v>262033.12412797174</v>
      </c>
      <c r="K24">
        <f>INDEX(OutputValues,20,$J$4)</f>
        <v>262033.12412797174</v>
      </c>
    </row>
    <row r="25" spans="1:11" x14ac:dyDescent="0.55000000000000004">
      <c r="A25" s="57">
        <v>9</v>
      </c>
      <c r="B25" s="65">
        <v>223986.9</v>
      </c>
      <c r="C25" s="66">
        <v>513561.28</v>
      </c>
      <c r="D25" s="66">
        <v>317798.06</v>
      </c>
      <c r="E25" s="67">
        <v>262121.88095615763</v>
      </c>
      <c r="K25">
        <f>INDEX(OutputValues,21,$J$4)</f>
        <v>262121.88095615763</v>
      </c>
    </row>
  </sheetData>
  <dataValidations count="1">
    <dataValidation type="list" allowBlank="1" showInputMessage="1" showErrorMessage="1" sqref="K4" xr:uid="{D0AC347F-D2CD-423F-9B51-35AF1607DA45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35</vt:i4>
      </vt:variant>
    </vt:vector>
  </HeadingPairs>
  <TitlesOfParts>
    <vt:vector size="45" baseType="lpstr">
      <vt:lpstr>Oscar Mayer Data</vt:lpstr>
      <vt:lpstr>Influence Chart</vt:lpstr>
      <vt:lpstr>Final Model</vt:lpstr>
      <vt:lpstr>Sensitivity Report</vt:lpstr>
      <vt:lpstr>Comparison</vt:lpstr>
      <vt:lpstr>1 way FB CPM</vt:lpstr>
      <vt:lpstr>1 way Pandora CPM</vt:lpstr>
      <vt:lpstr>1 way Twitter CPM</vt:lpstr>
      <vt:lpstr>Sensitivity 2way FB Pandora</vt:lpstr>
      <vt:lpstr>1 way CR FB</vt:lpstr>
      <vt:lpstr>Allocated_Amount</vt:lpstr>
      <vt:lpstr>Annual_Budget</vt:lpstr>
      <vt:lpstr>'1 way CR FB'!ChartData</vt:lpstr>
      <vt:lpstr>'1 way FB CPM'!ChartData</vt:lpstr>
      <vt:lpstr>'1 way Pandora CPM'!ChartData</vt:lpstr>
      <vt:lpstr>'1 way Twitter CPM'!ChartData</vt:lpstr>
      <vt:lpstr>'Sensitivity 2way FB Pandora'!ChartData1</vt:lpstr>
      <vt:lpstr>'Sensitivity 2way FB Pandora'!ChartData2</vt:lpstr>
      <vt:lpstr>Conversion_Rate</vt:lpstr>
      <vt:lpstr>CPC</vt:lpstr>
      <vt:lpstr>CPMThresh</vt:lpstr>
      <vt:lpstr>Impressions</vt:lpstr>
      <vt:lpstr>'1 way CR FB'!InputValues</vt:lpstr>
      <vt:lpstr>'1 way FB CPM'!InputValues</vt:lpstr>
      <vt:lpstr>'1 way Pandora CPM'!InputValues</vt:lpstr>
      <vt:lpstr>'1 way Twitter CPM'!InputValues</vt:lpstr>
      <vt:lpstr>'Sensitivity 2way FB Pandora'!InputValues1</vt:lpstr>
      <vt:lpstr>'Sensitivity 2way FB Pandora'!InputValues2</vt:lpstr>
      <vt:lpstr>MaxAllowableBudget</vt:lpstr>
      <vt:lpstr>MinAllowableBudget</vt:lpstr>
      <vt:lpstr>'1 way CR FB'!OutputAddresses</vt:lpstr>
      <vt:lpstr>'1 way FB CPM'!OutputAddresses</vt:lpstr>
      <vt:lpstr>'1 way Pandora CPM'!OutputAddresses</vt:lpstr>
      <vt:lpstr>'1 way Twitter CPM'!OutputAddresses</vt:lpstr>
      <vt:lpstr>'Sensitivity 2way FB Pandora'!OutputAddresses</vt:lpstr>
      <vt:lpstr>'1 way CR FB'!OutputValues</vt:lpstr>
      <vt:lpstr>'1 way FB CPM'!OutputValues</vt:lpstr>
      <vt:lpstr>'1 way Pandora CPM'!OutputValues</vt:lpstr>
      <vt:lpstr>'1 way Twitter CPM'!OutputValues</vt:lpstr>
      <vt:lpstr>'Sensitivity 2way FB Pandora'!OutputValues_1</vt:lpstr>
      <vt:lpstr>'Sensitivity 2way FB Pandora'!OutputValues_2</vt:lpstr>
      <vt:lpstr>'Sensitivity 2way FB Pandora'!OutputValues_3</vt:lpstr>
      <vt:lpstr>'Sensitivity 2way FB Pandora'!OutputValues_4</vt:lpstr>
      <vt:lpstr>TotalConversions</vt:lpstr>
      <vt:lpstr>TotAmount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Saltzman</dc:creator>
  <cp:lastModifiedBy>Lakshay Sharma</cp:lastModifiedBy>
  <dcterms:created xsi:type="dcterms:W3CDTF">2016-09-01T02:56:07Z</dcterms:created>
  <dcterms:modified xsi:type="dcterms:W3CDTF">2020-08-25T00:56:52Z</dcterms:modified>
</cp:coreProperties>
</file>