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D Tracking" sheetId="1" r:id="rId3"/>
    <sheet state="visible" name="Control Tracking" sheetId="2" r:id="rId4"/>
    <sheet state="visible" name="Matches" sheetId="3" r:id="rId5"/>
    <sheet state="visible" name="Subject MRI Status" sheetId="4" r:id="rId6"/>
  </sheets>
  <definedNames/>
  <calcPr/>
</workbook>
</file>

<file path=xl/sharedStrings.xml><?xml version="1.0" encoding="utf-8"?>
<sst xmlns="http://schemas.openxmlformats.org/spreadsheetml/2006/main" count="128" uniqueCount="59">
  <si>
    <t>ASD</t>
  </si>
  <si>
    <t>Age</t>
  </si>
  <si>
    <t>Sex</t>
  </si>
  <si>
    <t>Control</t>
  </si>
  <si>
    <t>Difference</t>
  </si>
  <si>
    <t>GABA_215</t>
  </si>
  <si>
    <t>male</t>
  </si>
  <si>
    <t>GABA_431</t>
  </si>
  <si>
    <t>Male</t>
  </si>
  <si>
    <t>GABA_226</t>
  </si>
  <si>
    <t>GABA_405</t>
  </si>
  <si>
    <t>GABA_132</t>
  </si>
  <si>
    <t>GABA_404</t>
  </si>
  <si>
    <t>GABA_136</t>
  </si>
  <si>
    <t>GABA_428</t>
  </si>
  <si>
    <t>GABA_088</t>
  </si>
  <si>
    <t>female</t>
  </si>
  <si>
    <t>GABA_401</t>
  </si>
  <si>
    <t>Female</t>
  </si>
  <si>
    <t>GABA_144</t>
  </si>
  <si>
    <t>GABA_407</t>
  </si>
  <si>
    <t>GABA_038</t>
  </si>
  <si>
    <t>GABA_448</t>
  </si>
  <si>
    <t>GABA_081</t>
  </si>
  <si>
    <t>GABA_440</t>
  </si>
  <si>
    <t>GABA_135</t>
  </si>
  <si>
    <t>GABA_447</t>
  </si>
  <si>
    <t>GABA_110</t>
  </si>
  <si>
    <t>GABA_437</t>
  </si>
  <si>
    <t>GABA_017</t>
  </si>
  <si>
    <t>GABA_442</t>
  </si>
  <si>
    <t>GABA_107</t>
  </si>
  <si>
    <t>GABA_426</t>
  </si>
  <si>
    <t>GABA_007</t>
  </si>
  <si>
    <t>GABA_449</t>
  </si>
  <si>
    <t>GABA_307</t>
  </si>
  <si>
    <t>GABA_451</t>
  </si>
  <si>
    <t>GABA_301</t>
  </si>
  <si>
    <t>GABA_443</t>
  </si>
  <si>
    <t>GABA_317</t>
  </si>
  <si>
    <t>GABA_444</t>
  </si>
  <si>
    <t>GABA_309</t>
  </si>
  <si>
    <t>GABA_427</t>
  </si>
  <si>
    <t>MEG</t>
  </si>
  <si>
    <t>MRI</t>
  </si>
  <si>
    <t>Scheduling</t>
  </si>
  <si>
    <t>Matches</t>
  </si>
  <si>
    <t>1/2/17 @ 1pm</t>
  </si>
  <si>
    <t>in town through xmas, last final on 13th</t>
  </si>
  <si>
    <t>irregular work schedule, 1pm MEG</t>
  </si>
  <si>
    <t>needs 8am start</t>
  </si>
  <si>
    <t>12/28/17 @ 3pm</t>
  </si>
  <si>
    <t>early morning or late afternoon</t>
  </si>
  <si>
    <t>Only available: M,T,W 12:30pm</t>
  </si>
  <si>
    <t>needs M, T, late afternoon, 3pm</t>
  </si>
  <si>
    <t>GABA_434</t>
  </si>
  <si>
    <t>needs 4:30pm start, M, W, F (Mon best)</t>
  </si>
  <si>
    <t>Total: 1 ASD MRI left</t>
  </si>
  <si>
    <t>Total: 7 Matching MRIs left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</si>
</sst>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d/yyyy"/>
    <numFmt numFmtId="166" formatCode="m/d/yy"/>
    <numFmt numFmtId="167" formatCode="0.0%"/>
    <numFmt numFmtId="168" formatCode="h:mm am/pm"/>
    <numFmt numFmtId="169" formatCode="h&quot;:&quot;mm&quot; &quot;am/pm"/>
    <numFmt numFmtId="170" formatCode="m/d"/>
    <numFmt numFmtId="171" formatCode="m&quot;/&quot;d&quot;/&quot;yy"/>
  </numFmts>
  <fonts count="7">
    <font>
      <sz val="10.0"/>
      <color rgb="FF000000"/>
      <name val="Arial"/>
    </font>
    <font>
      <b/>
      <sz val="9.0"/>
      <color rgb="FF000000"/>
      <name val="Calibri"/>
    </font>
    <font>
      <b/>
      <sz val="9.0"/>
      <name val="Calibri"/>
    </font>
    <font>
      <sz val="9.0"/>
      <name val="Calibri"/>
    </font>
    <font>
      <name val="Arial"/>
    </font>
    <font>
      <sz val="12.0"/>
      <color rgb="FF000000"/>
      <name val="Calibri"/>
    </font>
    <font/>
  </fonts>
  <fills count="8">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FF0000"/>
        <bgColor rgb="FFFF0000"/>
      </patternFill>
    </fill>
    <fill>
      <patternFill patternType="solid">
        <fgColor rgb="FFFFF2CC"/>
        <bgColor rgb="FFFFF2CC"/>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0" fontId="1" numFmtId="0" xfId="0" applyAlignment="1" applyBorder="1" applyFont="1">
      <alignment shrinkToFit="0" vertical="top" wrapText="1"/>
    </xf>
    <xf borderId="1" fillId="0" fontId="2" numFmtId="0" xfId="0" applyAlignment="1" applyBorder="1" applyFont="1">
      <alignment shrinkToFit="0" vertical="top" wrapText="1"/>
    </xf>
    <xf borderId="1" fillId="0" fontId="2" numFmtId="164" xfId="0" applyAlignment="1" applyBorder="1" applyFont="1" applyNumberFormat="1">
      <alignment shrinkToFit="0" vertical="top" wrapText="1"/>
    </xf>
    <xf borderId="0" fillId="0" fontId="2" numFmtId="0" xfId="0" applyAlignment="1" applyFont="1">
      <alignment shrinkToFit="0" vertical="top" wrapText="1"/>
    </xf>
    <xf borderId="1" fillId="0" fontId="3" numFmtId="0" xfId="0" applyAlignment="1" applyBorder="1" applyFont="1">
      <alignment shrinkToFit="0" vertical="top" wrapText="1"/>
    </xf>
    <xf borderId="1" fillId="0" fontId="3" numFmtId="165" xfId="0" applyAlignment="1" applyBorder="1" applyFont="1" applyNumberFormat="1">
      <alignment shrinkToFit="0" vertical="top" wrapText="1"/>
    </xf>
    <xf borderId="1" fillId="0" fontId="3" numFmtId="164" xfId="0" applyAlignment="1" applyBorder="1" applyFont="1" applyNumberFormat="1">
      <alignment shrinkToFit="0" vertical="top" wrapText="1"/>
    </xf>
    <xf borderId="1" fillId="0" fontId="3" numFmtId="166" xfId="0" applyAlignment="1" applyBorder="1" applyFont="1" applyNumberFormat="1">
      <alignment shrinkToFit="0" vertical="top" wrapText="1"/>
    </xf>
    <xf borderId="1" fillId="0" fontId="3" numFmtId="167" xfId="0" applyAlignment="1" applyBorder="1" applyFont="1" applyNumberFormat="1">
      <alignment shrinkToFit="0" vertical="top" wrapText="1"/>
    </xf>
    <xf borderId="0" fillId="0" fontId="3" numFmtId="0" xfId="0" applyAlignment="1" applyFont="1">
      <alignment shrinkToFit="0" vertical="top" wrapText="1"/>
    </xf>
    <xf borderId="2" fillId="0" fontId="3" numFmtId="0" xfId="0" applyAlignment="1" applyBorder="1" applyFont="1">
      <alignment shrinkToFit="0" vertical="top" wrapText="1"/>
    </xf>
    <xf borderId="1" fillId="0" fontId="3" numFmtId="168" xfId="0" applyAlignment="1" applyBorder="1" applyFont="1" applyNumberFormat="1">
      <alignment shrinkToFit="0" vertical="top" wrapText="1"/>
    </xf>
    <xf borderId="1" fillId="0" fontId="3" numFmtId="169" xfId="0" applyAlignment="1" applyBorder="1" applyFont="1" applyNumberFormat="1">
      <alignment shrinkToFit="0" vertical="top" wrapText="1"/>
    </xf>
    <xf borderId="1" fillId="2" fontId="3" numFmtId="165" xfId="0" applyAlignment="1" applyBorder="1" applyFill="1" applyFont="1" applyNumberFormat="1">
      <alignment shrinkToFit="0" vertical="top" wrapText="1"/>
    </xf>
    <xf borderId="1" fillId="2" fontId="3" numFmtId="164" xfId="0" applyAlignment="1" applyBorder="1" applyFont="1" applyNumberFormat="1">
      <alignment shrinkToFit="0" vertical="top" wrapText="1"/>
    </xf>
    <xf borderId="1" fillId="2" fontId="3" numFmtId="0" xfId="0" applyAlignment="1" applyBorder="1" applyFont="1">
      <alignment shrinkToFit="0" vertical="top" wrapText="1"/>
    </xf>
    <xf borderId="1" fillId="2" fontId="3" numFmtId="166" xfId="0" applyAlignment="1" applyBorder="1" applyFont="1" applyNumberFormat="1">
      <alignment shrinkToFit="0" vertical="top" wrapText="1"/>
    </xf>
    <xf borderId="1" fillId="2" fontId="3" numFmtId="167" xfId="0" applyAlignment="1" applyBorder="1" applyFont="1" applyNumberFormat="1">
      <alignment shrinkToFit="0" vertical="top" wrapText="1"/>
    </xf>
    <xf borderId="1" fillId="2" fontId="3" numFmtId="169" xfId="0" applyAlignment="1" applyBorder="1" applyFont="1" applyNumberFormat="1">
      <alignment shrinkToFit="0" vertical="top" wrapText="1"/>
    </xf>
    <xf borderId="1" fillId="2" fontId="3" numFmtId="169" xfId="0" applyAlignment="1" applyBorder="1" applyFont="1" applyNumberFormat="1">
      <alignment shrinkToFit="0" vertical="top" wrapText="1"/>
    </xf>
    <xf borderId="1" fillId="0" fontId="3" numFmtId="9" xfId="0" applyAlignment="1" applyBorder="1" applyFont="1" applyNumberFormat="1">
      <alignment shrinkToFit="0" vertical="top" wrapText="1"/>
    </xf>
    <xf borderId="1" fillId="0" fontId="3" numFmtId="170" xfId="0" applyAlignment="1" applyBorder="1" applyFont="1" applyNumberFormat="1">
      <alignment shrinkToFit="0" vertical="top" wrapText="1"/>
    </xf>
    <xf borderId="1" fillId="0" fontId="3" numFmtId="10" xfId="0" applyAlignment="1" applyBorder="1" applyFont="1" applyNumberFormat="1">
      <alignment shrinkToFit="0" vertical="top" wrapText="1"/>
    </xf>
    <xf borderId="2" fillId="3" fontId="3" numFmtId="0" xfId="0" applyAlignment="1" applyBorder="1" applyFill="1" applyFont="1">
      <alignment shrinkToFit="0" vertical="top" wrapText="1"/>
    </xf>
    <xf borderId="2" fillId="4" fontId="3" numFmtId="0" xfId="0" applyAlignment="1" applyBorder="1" applyFill="1" applyFont="1">
      <alignment shrinkToFit="0" vertical="top" wrapText="1"/>
    </xf>
    <xf borderId="1" fillId="4" fontId="3" numFmtId="165" xfId="0" applyAlignment="1" applyBorder="1" applyFont="1" applyNumberFormat="1">
      <alignment shrinkToFit="0" vertical="top" wrapText="1"/>
    </xf>
    <xf borderId="1" fillId="4" fontId="3" numFmtId="164" xfId="0" applyAlignment="1" applyBorder="1" applyFont="1" applyNumberFormat="1">
      <alignment shrinkToFit="0" vertical="top" wrapText="1"/>
    </xf>
    <xf borderId="1" fillId="4" fontId="3" numFmtId="0" xfId="0" applyAlignment="1" applyBorder="1" applyFont="1">
      <alignment shrinkToFit="0" vertical="top" wrapText="1"/>
    </xf>
    <xf borderId="1" fillId="4" fontId="3" numFmtId="166" xfId="0" applyAlignment="1" applyBorder="1" applyFont="1" applyNumberFormat="1">
      <alignment shrinkToFit="0" vertical="top" wrapText="1"/>
    </xf>
    <xf borderId="1" fillId="4" fontId="3" numFmtId="10" xfId="0" applyAlignment="1" applyBorder="1" applyFont="1" applyNumberFormat="1">
      <alignment shrinkToFit="0" vertical="top" wrapText="1"/>
    </xf>
    <xf borderId="1" fillId="4" fontId="3" numFmtId="168" xfId="0" applyAlignment="1" applyBorder="1" applyFont="1" applyNumberFormat="1">
      <alignment shrinkToFit="0" vertical="top" wrapText="1"/>
    </xf>
    <xf borderId="2" fillId="0" fontId="4" numFmtId="0" xfId="0" applyAlignment="1" applyBorder="1" applyFont="1">
      <alignment vertical="top"/>
    </xf>
    <xf borderId="1" fillId="0" fontId="1" numFmtId="0" xfId="0" applyAlignment="1" applyBorder="1" applyFont="1">
      <alignment shrinkToFit="0" vertical="bottom" wrapText="1"/>
    </xf>
    <xf borderId="1" fillId="0" fontId="1" numFmtId="164" xfId="0" applyAlignment="1" applyBorder="1" applyFont="1" applyNumberFormat="1">
      <alignment shrinkToFit="0" vertical="bottom" wrapText="1"/>
    </xf>
    <xf borderId="0" fillId="0" fontId="1" numFmtId="0" xfId="0" applyAlignment="1" applyFont="1">
      <alignment shrinkToFit="0" vertical="bottom" wrapText="1"/>
    </xf>
    <xf borderId="1" fillId="0" fontId="3" numFmtId="0" xfId="0" applyAlignment="1" applyBorder="1" applyFont="1">
      <alignment shrinkToFit="0" vertical="bottom" wrapText="1"/>
    </xf>
    <xf borderId="1" fillId="0" fontId="3" numFmtId="165" xfId="0" applyAlignment="1" applyBorder="1" applyFont="1" applyNumberFormat="1">
      <alignment shrinkToFit="0" wrapText="1"/>
    </xf>
    <xf borderId="1" fillId="0" fontId="3" numFmtId="164" xfId="0" applyAlignment="1" applyBorder="1" applyFont="1" applyNumberFormat="1">
      <alignment shrinkToFit="0" wrapText="1"/>
    </xf>
    <xf borderId="1" fillId="0" fontId="3" numFmtId="0" xfId="0" applyAlignment="1" applyBorder="1" applyFont="1">
      <alignment shrinkToFit="0" wrapText="1"/>
    </xf>
    <xf borderId="1" fillId="0" fontId="3" numFmtId="166" xfId="0" applyAlignment="1" applyBorder="1" applyFont="1" applyNumberFormat="1">
      <alignment shrinkToFit="0" wrapText="1"/>
    </xf>
    <xf borderId="1" fillId="0" fontId="3" numFmtId="167" xfId="0" applyAlignment="1" applyBorder="1" applyFont="1" applyNumberFormat="1">
      <alignment shrinkToFit="0" wrapText="1"/>
    </xf>
    <xf borderId="1" fillId="0" fontId="3" numFmtId="168" xfId="0" applyAlignment="1" applyBorder="1" applyFont="1" applyNumberFormat="1">
      <alignment shrinkToFit="0" wrapText="1"/>
    </xf>
    <xf borderId="0" fillId="0" fontId="3" numFmtId="0" xfId="0" applyAlignment="1" applyFont="1">
      <alignment shrinkToFit="0" wrapText="1"/>
    </xf>
    <xf borderId="2" fillId="4" fontId="3" numFmtId="0" xfId="0" applyAlignment="1" applyBorder="1" applyFont="1">
      <alignment shrinkToFit="0" vertical="bottom" wrapText="1"/>
    </xf>
    <xf borderId="1" fillId="4" fontId="3" numFmtId="165" xfId="0" applyAlignment="1" applyBorder="1" applyFont="1" applyNumberFormat="1">
      <alignment shrinkToFit="0" vertical="bottom" wrapText="1"/>
    </xf>
    <xf borderId="1" fillId="4" fontId="3" numFmtId="164" xfId="0" applyAlignment="1" applyBorder="1" applyFont="1" applyNumberFormat="1">
      <alignment shrinkToFit="0" vertical="bottom" wrapText="1"/>
    </xf>
    <xf borderId="1" fillId="4" fontId="3" numFmtId="0" xfId="0" applyAlignment="1" applyBorder="1" applyFont="1">
      <alignment shrinkToFit="0" vertical="bottom" wrapText="1"/>
    </xf>
    <xf borderId="1" fillId="4" fontId="3" numFmtId="166" xfId="0" applyAlignment="1" applyBorder="1" applyFont="1" applyNumberFormat="1">
      <alignment shrinkToFit="0" vertical="bottom" wrapText="1"/>
    </xf>
    <xf borderId="1" fillId="4" fontId="3" numFmtId="167" xfId="0" applyAlignment="1" applyBorder="1" applyFont="1" applyNumberFormat="1">
      <alignment shrinkToFit="0" vertical="bottom" wrapText="1"/>
    </xf>
    <xf borderId="2" fillId="0" fontId="3" numFmtId="0" xfId="0" applyAlignment="1" applyBorder="1" applyFont="1">
      <alignment shrinkToFit="0" vertical="bottom" wrapText="1"/>
    </xf>
    <xf borderId="1" fillId="0" fontId="3" numFmtId="10" xfId="0" applyAlignment="1" applyBorder="1" applyFont="1" applyNumberFormat="1">
      <alignment shrinkToFit="0" wrapText="1"/>
    </xf>
    <xf borderId="1" fillId="0" fontId="3" numFmtId="9" xfId="0" applyAlignment="1" applyBorder="1" applyFont="1" applyNumberFormat="1">
      <alignment shrinkToFit="0" wrapText="1"/>
    </xf>
    <xf borderId="2" fillId="5" fontId="3" numFmtId="0" xfId="0" applyAlignment="1" applyBorder="1" applyFill="1" applyFont="1">
      <alignment shrinkToFit="0" vertical="bottom" wrapText="1"/>
    </xf>
    <xf borderId="2" fillId="2" fontId="3" numFmtId="0" xfId="0" applyAlignment="1" applyBorder="1" applyFont="1">
      <alignment shrinkToFit="0" vertical="bottom" wrapText="1"/>
    </xf>
    <xf borderId="2" fillId="0" fontId="3" numFmtId="0" xfId="0" applyAlignment="1" applyBorder="1" applyFont="1">
      <alignment shrinkToFit="0" vertical="bottom" wrapText="1"/>
    </xf>
    <xf borderId="1" fillId="0" fontId="3" numFmtId="20" xfId="0" applyAlignment="1" applyBorder="1" applyFont="1" applyNumberFormat="1">
      <alignment shrinkToFit="0" wrapText="1"/>
    </xf>
    <xf borderId="1" fillId="0" fontId="3" numFmtId="171" xfId="0" applyAlignment="1" applyBorder="1" applyFont="1" applyNumberFormat="1">
      <alignment shrinkToFit="0" wrapText="1"/>
    </xf>
    <xf borderId="1" fillId="0" fontId="3" numFmtId="169" xfId="0" applyAlignment="1" applyBorder="1" applyFont="1" applyNumberFormat="1">
      <alignment shrinkToFit="0" wrapText="1"/>
    </xf>
    <xf borderId="1" fillId="0" fontId="5" numFmtId="0" xfId="0" applyAlignment="1" applyBorder="1" applyFont="1">
      <alignment vertical="bottom"/>
    </xf>
    <xf borderId="0" fillId="0" fontId="5" numFmtId="0" xfId="0" applyAlignment="1" applyFont="1">
      <alignment shrinkToFit="0" vertical="bottom" wrapText="0"/>
    </xf>
    <xf borderId="1" fillId="0" fontId="5" numFmtId="0" xfId="0" applyAlignment="1" applyBorder="1" applyFont="1">
      <alignment horizontal="right" vertical="bottom"/>
    </xf>
    <xf borderId="1" fillId="6" fontId="5" numFmtId="0" xfId="0" applyAlignment="1" applyBorder="1" applyFill="1" applyFont="1">
      <alignment horizontal="right" vertical="bottom"/>
    </xf>
    <xf borderId="1" fillId="0" fontId="4" numFmtId="0" xfId="0" applyAlignment="1" applyBorder="1" applyFont="1">
      <alignment vertical="bottom"/>
    </xf>
    <xf borderId="1" fillId="0" fontId="4" numFmtId="0" xfId="0" applyAlignment="1" applyBorder="1" applyFont="1">
      <alignment vertical="bottom"/>
    </xf>
    <xf borderId="1" fillId="0" fontId="5" numFmtId="0" xfId="0" applyAlignment="1" applyBorder="1" applyFont="1">
      <alignment readingOrder="0" shrinkToFit="0" vertical="bottom" wrapText="0"/>
    </xf>
    <xf borderId="1" fillId="0" fontId="5" numFmtId="166" xfId="0" applyAlignment="1" applyBorder="1" applyFont="1" applyNumberFormat="1">
      <alignment horizontal="right" readingOrder="0" shrinkToFit="0" vertical="bottom" wrapText="0"/>
    </xf>
    <xf borderId="1" fillId="0" fontId="5" numFmtId="0" xfId="0" applyAlignment="1" applyBorder="1" applyFont="1">
      <alignment shrinkToFit="0" vertical="bottom" wrapText="0"/>
    </xf>
    <xf borderId="1" fillId="7" fontId="5" numFmtId="0" xfId="0" applyAlignment="1" applyBorder="1" applyFill="1" applyFont="1">
      <alignment readingOrder="0" shrinkToFit="0" vertical="bottom" wrapText="0"/>
    </xf>
    <xf borderId="1" fillId="7" fontId="5" numFmtId="166" xfId="0" applyAlignment="1" applyBorder="1" applyFont="1" applyNumberFormat="1">
      <alignment horizontal="right" readingOrder="0" shrinkToFit="0" vertical="bottom" wrapText="0"/>
    </xf>
    <xf borderId="1" fillId="7" fontId="5" numFmtId="0" xfId="0" applyAlignment="1" applyBorder="1" applyFont="1">
      <alignment shrinkToFit="0" vertical="bottom" wrapText="0"/>
    </xf>
    <xf borderId="1" fillId="2" fontId="5" numFmtId="0" xfId="0" applyAlignment="1" applyBorder="1" applyFont="1">
      <alignment readingOrder="0" shrinkToFit="0" vertical="bottom" wrapText="0"/>
    </xf>
    <xf borderId="1" fillId="2" fontId="5" numFmtId="166" xfId="0" applyAlignment="1" applyBorder="1" applyFont="1" applyNumberFormat="1">
      <alignment horizontal="right" readingOrder="0" shrinkToFit="0" vertical="bottom" wrapText="0"/>
    </xf>
    <xf borderId="1" fillId="2" fontId="5" numFmtId="166" xfId="0" applyAlignment="1" applyBorder="1" applyFont="1" applyNumberFormat="1">
      <alignment readingOrder="0" shrinkToFit="0" vertical="bottom" wrapText="0"/>
    </xf>
    <xf borderId="3" fillId="0" fontId="5" numFmtId="0" xfId="0" applyAlignment="1" applyBorder="1" applyFont="1">
      <alignment readingOrder="0" shrinkToFit="0" vertical="bottom" wrapText="0"/>
    </xf>
    <xf borderId="3"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 width="10.0"/>
    <col customWidth="1" min="3" max="3" width="10.43"/>
    <col customWidth="1" min="4" max="4" width="5.71"/>
    <col customWidth="1" min="5" max="5" width="5.86"/>
    <col customWidth="1" min="6" max="6" width="7.71"/>
    <col customWidth="1" min="7" max="7" width="9.57"/>
    <col customWidth="1" min="8" max="8" width="26.29"/>
    <col customWidth="1" min="9" max="9" width="55.0"/>
    <col customWidth="1" min="10" max="10" width="21.0"/>
    <col customWidth="1" min="11" max="11" width="15.14"/>
    <col customWidth="1" min="12" max="12" width="19.86"/>
    <col customWidth="1" min="13" max="13" width="12.57"/>
    <col customWidth="1" min="14" max="14" width="7.71"/>
    <col customWidth="1" min="15" max="15" width="9.86"/>
    <col customWidth="1" min="16" max="17" width="11.29"/>
    <col customWidth="1" min="18" max="18" width="13.43"/>
    <col customWidth="1" min="19" max="20" width="8.57"/>
    <col customWidth="1" min="21" max="21" width="9.0"/>
    <col customWidth="1" min="22" max="22" width="6.29"/>
    <col customWidth="1" min="23" max="23" width="9.29"/>
    <col customWidth="1" min="24" max="24" width="6.29"/>
    <col customWidth="1" min="25" max="25" width="9.57"/>
    <col customWidth="1" min="26" max="26" width="6.29"/>
    <col customWidth="1" min="27" max="27" width="8.86"/>
    <col customWidth="1" min="28" max="28" width="11.71"/>
    <col customWidth="1" min="29" max="29" width="12.14"/>
    <col customWidth="1" min="30" max="30" width="17.43"/>
    <col customWidth="1" min="31" max="31" width="20.86"/>
    <col customWidth="1" min="32" max="32" width="22.57"/>
    <col customWidth="1" min="33" max="33" width="24.43"/>
    <col customWidth="1" min="34" max="34" width="14.71"/>
    <col customWidth="1" min="35" max="35" width="14.57"/>
    <col customWidth="1" min="36" max="36" width="25.57"/>
    <col customWidth="1" min="37" max="37" width="22.43"/>
    <col customWidth="1" min="38" max="38" width="16.86"/>
    <col customWidth="1" min="39" max="39" width="17.43"/>
    <col customWidth="1" min="40" max="40" width="41.14"/>
    <col customWidth="1" min="41" max="41" width="12.29"/>
    <col customWidth="1" min="42" max="43" width="4.14"/>
    <col customWidth="1" min="44" max="44" width="4.57"/>
    <col customWidth="1" min="45" max="45" width="8.71"/>
    <col customWidth="1" min="46" max="46" width="9.14"/>
    <col customWidth="1" min="47" max="47" width="11.86"/>
    <col customWidth="1" min="48" max="48" width="13.71"/>
    <col customWidth="1" min="49" max="49" width="5.57"/>
    <col customWidth="1" min="50" max="50" width="3.71"/>
    <col customWidth="1" min="51" max="51" width="3.86"/>
    <col customWidth="1" min="52" max="52" width="47.43"/>
    <col customWidth="1" min="53" max="53" width="23.29"/>
    <col customWidth="1" min="54" max="54" width="14.86"/>
    <col customWidth="1" min="55" max="55" width="16.14"/>
    <col customWidth="1" min="56" max="56" width="11.0"/>
    <col customWidth="1" min="57" max="57" width="10.86"/>
    <col customWidth="1" min="58" max="58" width="17.57"/>
    <col customWidth="1" min="59" max="59" width="11.14"/>
    <col customWidth="1" min="60" max="60" width="8.0"/>
    <col customWidth="1" min="61" max="61" width="7.71"/>
    <col customWidth="1" min="62" max="63" width="6.43"/>
    <col customWidth="1" min="64" max="64" width="77.0"/>
    <col customWidth="1" min="65" max="65" width="8.43"/>
    <col customWidth="1" min="66" max="67" width="7.57"/>
    <col customWidth="1" min="68" max="68" width="4.0"/>
    <col customWidth="1" min="69" max="73" width="6.86"/>
    <col customWidth="1" min="74" max="74" width="5.14"/>
  </cols>
  <sheetData>
    <row r="1" ht="36.75" customHeight="1">
      <c r="A1" s="1" t="str">
        <f>IFERROR(__xludf.DUMMYFUNCTION("IMPORTRANGE(""https://docs.google.com/spreadsheets/d/17j-pgvBRwY78QIetPsCKIJlokCavkBGxzW23Rmmhde4/edit?ts=59441a2c#gid=2099907267"", ""ASD tracking!A1:A23"")"),"Subject")</f>
        <v>Subject</v>
      </c>
      <c r="B1" s="2" t="str">
        <f>IFERROR(__xludf.DUMMYFUNCTION("IMPORTRANGE(""https://docs.google.com/spreadsheets/d/17j-pgvBRwY78QIetPsCKIJlokCavkBGxzW23Rmmhde4/edit?ts=59441a2c#gid=2099907267"", ""ASD tracking!H1:BW23"")"),"Date of birth")</f>
        <v>Date of birth</v>
      </c>
      <c r="C1" s="3" t="str">
        <f>IFERROR(__xludf.DUMMYFUNCTION("""COMPUTED_VALUE"""),"Age @ appt 1")</f>
        <v>Age @ appt 1</v>
      </c>
      <c r="D1" s="2" t="str">
        <f>IFERROR(__xludf.DUMMYFUNCTION("""COMPUTED_VALUE"""),"Sex")</f>
        <v>Sex</v>
      </c>
      <c r="E1" s="2" t="str">
        <f>IFERROR(__xludf.DUMMYFUNCTION("""COMPUTED_VALUE"""),"Phone screening date")</f>
        <v>Phone screening date</v>
      </c>
      <c r="F1" s="2" t="str">
        <f>IFERROR(__xludf.DUMMYFUNCTION("""COMPUTED_VALUE"""),"recruited by")</f>
        <v>recruited by</v>
      </c>
      <c r="G1" s="2" t="str">
        <f>IFERROR(__xludf.DUMMYFUNCTION("""COMPUTED_VALUE"""),"medications (from phone screening)")</f>
        <v>medications (from phone screening)</v>
      </c>
      <c r="H1" s="2" t="str">
        <f>IFERROR(__xludf.DUMMYFUNCTION("""COMPUTED_VALUE"""),"Additional Compensation?")</f>
        <v>Additional Compensation?</v>
      </c>
      <c r="I1" s="2" t="str">
        <f>IFERROR(__xludf.DUMMYFUNCTION("""COMPUTED_VALUE"""),"recruitment notes")</f>
        <v>recruitment notes</v>
      </c>
      <c r="J1" s="2" t="str">
        <f>IFERROR(__xludf.DUMMYFUNCTION("""COMPUTED_VALUE"""),"Appointment 1 date &amp; time")</f>
        <v>Appointment 1 date &amp; time</v>
      </c>
      <c r="K1" s="2" t="str">
        <f>IFERROR(__xludf.DUMMYFUNCTION("""COMPUTED_VALUE"""),"Appointment 1 staff")</f>
        <v>Appointment 1 staff</v>
      </c>
      <c r="L1" s="2" t="str">
        <f>IFERROR(__xludf.DUMMYFUNCTION("""COMPUTED_VALUE"""),"Guests @ appt 1")</f>
        <v>Guests @ appt 1</v>
      </c>
      <c r="M1" s="2" t="str">
        <f>IFERROR(__xludf.DUMMYFUNCTION("""COMPUTED_VALUE"""),"WASI-II Examiner")</f>
        <v>WASI-II Examiner</v>
      </c>
      <c r="N1" s="2" t="str">
        <f>IFERROR(__xludf.DUMMYFUNCTION("""COMPUTED_VALUE"""),"WASI-II date")</f>
        <v>WASI-II date</v>
      </c>
      <c r="O1" s="2" t="str">
        <f>IFERROR(__xludf.DUMMYFUNCTION("""COMPUTED_VALUE"""),"VCI Composite")</f>
        <v>VCI Composite</v>
      </c>
      <c r="P1" s="2" t="str">
        <f>IFERROR(__xludf.DUMMYFUNCTION("""COMPUTED_VALUE"""),"PRI Composite")</f>
        <v>PRI Composite</v>
      </c>
      <c r="Q1" s="2" t="str">
        <f>IFERROR(__xludf.DUMMYFUNCTION("""COMPUTED_VALUE"""),"FSIQ-4 Composite")</f>
        <v>FSIQ-4 Composite</v>
      </c>
      <c r="R1" s="2" t="str">
        <f>IFERROR(__xludf.DUMMYFUNCTION("""COMPUTED_VALUE"""),"FSIQ-2 Composite")</f>
        <v>FSIQ-2 Composite</v>
      </c>
      <c r="S1" s="2" t="str">
        <f>IFERROR(__xludf.DUMMYFUNCTION("""COMPUTED_VALUE"""),"SRS-2 date")</f>
        <v>SRS-2 date</v>
      </c>
      <c r="T1" s="2" t="str">
        <f>IFERROR(__xludf.DUMMYFUNCTION("""COMPUTED_VALUE"""),"SRS-2 Total T-Score")</f>
        <v>SRS-2 Total T-Score</v>
      </c>
      <c r="U1" s="2" t="str">
        <f>IFERROR(__xludf.DUMMYFUNCTION("""COMPUTED_VALUE"""),"Awr T-Score")</f>
        <v>Awr T-Score</v>
      </c>
      <c r="V1" s="2" t="str">
        <f>IFERROR(__xludf.DUMMYFUNCTION("""COMPUTED_VALUE"""),"Cog T-Score")</f>
        <v>Cog T-Score</v>
      </c>
      <c r="W1" s="2" t="str">
        <f>IFERROR(__xludf.DUMMYFUNCTION("""COMPUTED_VALUE"""),"Com T-Score")</f>
        <v>Com T-Score</v>
      </c>
      <c r="X1" s="2" t="str">
        <f>IFERROR(__xludf.DUMMYFUNCTION("""COMPUTED_VALUE"""),"Mot T-Score")</f>
        <v>Mot T-Score</v>
      </c>
      <c r="Y1" s="2" t="str">
        <f>IFERROR(__xludf.DUMMYFUNCTION("""COMPUTED_VALUE"""),"RRB T-Score")</f>
        <v>RRB T-Score</v>
      </c>
      <c r="Z1" s="2" t="str">
        <f>IFERROR(__xludf.DUMMYFUNCTION("""COMPUTED_VALUE"""),"SCI T-Score")</f>
        <v>SCI T-Score</v>
      </c>
      <c r="AA1" s="2" t="str">
        <f>IFERROR(__xludf.DUMMYFUNCTION("""COMPUTED_VALUE"""),"Edinburgh date")</f>
        <v>Edinburgh date</v>
      </c>
      <c r="AB1" s="2" t="str">
        <f>IFERROR(__xludf.DUMMYFUNCTION("""COMPUTED_VALUE"""),"% Right Handed")</f>
        <v>% Right Handed</v>
      </c>
      <c r="AC1" s="2" t="str">
        <f>IFERROR(__xludf.DUMMYFUNCTION("""COMPUTED_VALUE"""),"Hearing Screening Date")</f>
        <v>Hearing Screening Date</v>
      </c>
      <c r="AD1" s="2" t="str">
        <f>IFERROR(__xludf.DUMMYFUNCTION("""COMPUTED_VALUE"""),"Hearing loss @ 20dB")</f>
        <v>Hearing loss @ 20dB</v>
      </c>
      <c r="AE1" s="2" t="str">
        <f>IFERROR(__xludf.DUMMYFUNCTION("""COMPUTED_VALUE"""),"Demographic Questionnaire ID")</f>
        <v>Demographic Questionnaire ID</v>
      </c>
      <c r="AF1" s="2" t="str">
        <f>IFERROR(__xludf.DUMMYFUNCTION("""COMPUTED_VALUE"""),"Demographic Questionnaire Date")</f>
        <v>Demographic Questionnaire Date</v>
      </c>
      <c r="AG1" s="2" t="str">
        <f>IFERROR(__xludf.DUMMYFUNCTION("""COMPUTED_VALUE"""),"Ethnicity")</f>
        <v>Ethnicity</v>
      </c>
      <c r="AH1" s="2" t="str">
        <f>IFERROR(__xludf.DUMMYFUNCTION("""COMPUTED_VALUE"""),"Medications (Demographic Q)")</f>
        <v>Medications (Demographic Q)</v>
      </c>
      <c r="AI1" s="2" t="str">
        <f>IFERROR(__xludf.DUMMYFUNCTION("""COMPUTED_VALUE"""),"MRI screening date")</f>
        <v>MRI screening date</v>
      </c>
      <c r="AJ1" s="2" t="str">
        <f>IFERROR(__xludf.DUMMYFUNCTION("""COMPUTED_VALUE"""),"Metal in body?")</f>
        <v>Metal in body?</v>
      </c>
      <c r="AK1" s="2" t="str">
        <f>IFERROR(__xludf.DUMMYFUNCTION("""COMPUTED_VALUE"""),"Appointment 1 notes")</f>
        <v>Appointment 1 notes</v>
      </c>
      <c r="AL1" s="2" t="str">
        <f>IFERROR(__xludf.DUMMYFUNCTION("""COMPUTED_VALUE"""),"MEG appt date &amp; time")</f>
        <v>MEG appt date &amp; time</v>
      </c>
      <c r="AM1" s="2" t="str">
        <f>IFERROR(__xludf.DUMMYFUNCTION("""COMPUTED_VALUE"""),"MEG appointment staff")</f>
        <v>MEG appointment staff</v>
      </c>
      <c r="AN1" s="2" t="str">
        <f>IFERROR(__xludf.DUMMYFUNCTION("""COMPUTED_VALUE"""),"Guests @ MEG appt")</f>
        <v>Guests @ MEG appt</v>
      </c>
      <c r="AO1" s="2" t="str">
        <f>IFERROR(__xludf.DUMMYFUNCTION("""COMPUTED_VALUE"""),"MEG file name")</f>
        <v>MEG file name</v>
      </c>
      <c r="AP1" s="2" t="str">
        <f>IFERROR(__xludf.DUMMYFUNCTION("""COMPUTED_VALUE"""),"Record Average")</f>
        <v>Record Average</v>
      </c>
      <c r="AQ1" s="2" t="str">
        <f>IFERROR(__xludf.DUMMYFUNCTION("""COMPUTED_VALUE"""),"RPA")</f>
        <v>RPA</v>
      </c>
      <c r="AR1" s="2" t="str">
        <f>IFERROR(__xludf.DUMMYFUNCTION("""COMPUTED_VALUE"""),"LPA")</f>
        <v>LPA</v>
      </c>
      <c r="AS1" s="2" t="str">
        <f>IFERROR(__xludf.DUMMYFUNCTION("""COMPUTED_VALUE"""),"# Averages")</f>
        <v># Averages</v>
      </c>
      <c r="AT1" s="2" t="str">
        <f>IFERROR(__xludf.DUMMYFUNCTION("""COMPUTED_VALUE"""),"Technician")</f>
        <v>Technician</v>
      </c>
      <c r="AU1" s="2" t="str">
        <f>IFERROR(__xludf.DUMMYFUNCTION("""COMPUTED_VALUE"""),"Researcher")</f>
        <v>Researcher</v>
      </c>
      <c r="AV1" s="2" t="str">
        <f>IFERROR(__xludf.DUMMYFUNCTION("""COMPUTED_VALUE"""),"cHPI Accept")</f>
        <v>cHPI Accept</v>
      </c>
      <c r="AW1" s="2" t="str">
        <f>IFERROR(__xludf.DUMMYFUNCTION("""COMPUTED_VALUE"""),"Channels")</f>
        <v>Channels</v>
      </c>
      <c r="AX1" s="2" t="str">
        <f>IFERROR(__xludf.DUMMYFUNCTION("""COMPUTED_VALUE"""),"EOG")</f>
        <v>EOG</v>
      </c>
      <c r="AY1" s="2" t="str">
        <f>IFERROR(__xludf.DUMMYFUNCTION("""COMPUTED_VALUE"""),"ECG")</f>
        <v>ECG</v>
      </c>
      <c r="AZ1" s="2" t="str">
        <f>IFERROR(__xludf.DUMMYFUNCTION("""COMPUTED_VALUE"""),"MEG notes")</f>
        <v>MEG notes</v>
      </c>
      <c r="BA1" s="2" t="str">
        <f>IFERROR(__xludf.DUMMYFUNCTION("""COMPUTED_VALUE"""),"MRI appt date &amp; time")</f>
        <v>MRI appt date &amp; time</v>
      </c>
      <c r="BB1" s="2" t="str">
        <f>IFERROR(__xludf.DUMMYFUNCTION("""COMPUTED_VALUE"""),"MRI appt staff")</f>
        <v>MRI appt staff</v>
      </c>
      <c r="BC1" s="2" t="str">
        <f>IFERROR(__xludf.DUMMYFUNCTION("""COMPUTED_VALUE"""),"MRI operators")</f>
        <v>MRI operators</v>
      </c>
      <c r="BD1" s="2" t="str">
        <f>IFERROR(__xludf.DUMMYFUNCTION("""COMPUTED_VALUE"""),"Guests @ MRI appt")</f>
        <v>Guests @ MRI appt</v>
      </c>
      <c r="BE1" s="2" t="str">
        <f>IFERROR(__xludf.DUMMYFUNCTION("""COMPUTED_VALUE"""),"MRI file name")</f>
        <v>MRI file name</v>
      </c>
      <c r="BF1" s="2" t="str">
        <f>IFERROR(__xludf.DUMMYFUNCTION("""COMPUTED_VALUE"""),"Phantom file name")</f>
        <v>Phantom file name</v>
      </c>
      <c r="BG1" s="2" t="str">
        <f>IFERROR(__xludf.DUMMYFUNCTION("""COMPUTED_VALUE"""),"Phantom Date")</f>
        <v>Phantom Date</v>
      </c>
      <c r="BH1" s="2" t="str">
        <f>IFERROR(__xludf.DUMMYFUNCTION("""COMPUTED_VALUE"""),"Pre-Phantom temperature time")</f>
        <v>Pre-Phantom temperature time</v>
      </c>
      <c r="BI1" s="2" t="str">
        <f>IFERROR(__xludf.DUMMYFUNCTION("""COMPUTED_VALUE"""),"Pre-Phantom temperature")</f>
        <v>Pre-Phantom temperature</v>
      </c>
      <c r="BJ1" s="2" t="str">
        <f>IFERROR(__xludf.DUMMYFUNCTION("""COMPUTED_VALUE"""),"Post-Phantom temperature time")</f>
        <v>Post-Phantom temperature time</v>
      </c>
      <c r="BK1" s="2" t="str">
        <f>IFERROR(__xludf.DUMMYFUNCTION("""COMPUTED_VALUE"""),"Post-Phantom temperature")</f>
        <v>Post-Phantom temperature</v>
      </c>
      <c r="BL1" s="2" t="str">
        <f>IFERROR(__xludf.DUMMYFUNCTION("""COMPUTED_VALUE"""),"MRI notes")</f>
        <v>MRI notes</v>
      </c>
      <c r="BM1" s="2" t="str">
        <f>IFERROR(__xludf.DUMMYFUNCTION("""COMPUTED_VALUE"""),"Zip File Location on XNAT")</f>
        <v>Zip File Location on XNAT</v>
      </c>
      <c r="BN1" s="2" t="str">
        <f>IFERROR(__xludf.DUMMYFUNCTION("""COMPUTED_VALUE"""),"Appointment 1 date")</f>
        <v>Appointment 1 date</v>
      </c>
      <c r="BO1" s="2" t="str">
        <f>IFERROR(__xludf.DUMMYFUNCTION("""COMPUTED_VALUE"""),"MEG date")</f>
        <v>MEG date</v>
      </c>
      <c r="BP1" s="2" t="str">
        <f>IFERROR(__xludf.DUMMYFUNCTION("""COMPUTED_VALUE"""),"MRI date")</f>
        <v>MRI date</v>
      </c>
      <c r="BQ1" s="4"/>
      <c r="BR1" s="4"/>
      <c r="BS1" s="4"/>
      <c r="BT1" s="4"/>
      <c r="BU1" s="4"/>
      <c r="BV1" s="4"/>
      <c r="BW1" s="4"/>
      <c r="BX1" s="4"/>
      <c r="BY1" s="4"/>
      <c r="BZ1" s="4"/>
    </row>
    <row r="2">
      <c r="A2" s="5" t="str">
        <f>IFERROR(__xludf.DUMMYFUNCTION("""COMPUTED_VALUE"""),"GABA_144")</f>
        <v>GABA_144</v>
      </c>
      <c r="B2" s="6">
        <f>IFERROR(__xludf.DUMMYFUNCTION("""COMPUTED_VALUE"""),35033.0)</f>
        <v>35033</v>
      </c>
      <c r="C2" s="7">
        <f>IFERROR(__xludf.DUMMYFUNCTION("""COMPUTED_VALUE"""),21.55068493150685)</f>
        <v>21.55068493</v>
      </c>
      <c r="D2" s="5" t="str">
        <f>IFERROR(__xludf.DUMMYFUNCTION("""COMPUTED_VALUE"""),"male")</f>
        <v>male</v>
      </c>
      <c r="E2" s="8">
        <f>IFERROR(__xludf.DUMMYFUNCTION("""COMPUTED_VALUE"""),42895.0)</f>
        <v>42895</v>
      </c>
      <c r="F2" s="5" t="str">
        <f>IFERROR(__xludf.DUMMYFUNCTION("""COMPUTED_VALUE"""),"Julia")</f>
        <v>Julia</v>
      </c>
      <c r="G2" s="5" t="str">
        <f>IFERROR(__xludf.DUMMYFUNCTION("""COMPUTED_VALUE"""),"none")</f>
        <v>none</v>
      </c>
      <c r="H2" s="5" t="str">
        <f>IFERROR(__xludf.DUMMYFUNCTION("""COMPUTED_VALUE"""),"not sure")</f>
        <v>not sure</v>
      </c>
      <c r="I2" s="5" t="str">
        <f>IFERROR(__xludf.DUMMYFUNCTION("""COMPUTED_VALUE"""),"eager to participate. Has permanent retainer. Will test @ appt 1 in MEG")</f>
        <v>eager to participate. Has permanent retainer. Will test @ appt 1 in MEG</v>
      </c>
      <c r="J2" s="5" t="str">
        <f>IFERROR(__xludf.DUMMYFUNCTION("""COMPUTED_VALUE"""),"Tuesday 6/13/17 @ 12pm")</f>
        <v>Tuesday 6/13/17 @ 12pm</v>
      </c>
      <c r="K2" s="5" t="str">
        <f>IFERROR(__xludf.DUMMYFUNCTION("""COMPUTED_VALUE"""),"Julia &amp; Bo")</f>
        <v>Julia &amp; Bo</v>
      </c>
      <c r="L2" s="5" t="str">
        <f>IFERROR(__xludf.DUMMYFUNCTION("""COMPUTED_VALUE"""),"subject's mom")</f>
        <v>subject's mom</v>
      </c>
      <c r="M2" s="5" t="str">
        <f>IFERROR(__xludf.DUMMYFUNCTION("""COMPUTED_VALUE"""),"Julia")</f>
        <v>Julia</v>
      </c>
      <c r="N2" s="8">
        <f>IFERROR(__xludf.DUMMYFUNCTION("""COMPUTED_VALUE"""),42899.0)</f>
        <v>42899</v>
      </c>
      <c r="O2" s="5">
        <f>IFERROR(__xludf.DUMMYFUNCTION("""COMPUTED_VALUE"""),126.0)</f>
        <v>126</v>
      </c>
      <c r="P2" s="5">
        <f>IFERROR(__xludf.DUMMYFUNCTION("""COMPUTED_VALUE"""),101.0)</f>
        <v>101</v>
      </c>
      <c r="Q2" s="5">
        <f>IFERROR(__xludf.DUMMYFUNCTION("""COMPUTED_VALUE"""),117.0)</f>
        <v>117</v>
      </c>
      <c r="R2" s="5">
        <f>IFERROR(__xludf.DUMMYFUNCTION("""COMPUTED_VALUE"""),117.0)</f>
        <v>117</v>
      </c>
      <c r="S2" s="8">
        <f>IFERROR(__xludf.DUMMYFUNCTION("""COMPUTED_VALUE"""),42899.0)</f>
        <v>42899</v>
      </c>
      <c r="T2" s="5">
        <f>IFERROR(__xludf.DUMMYFUNCTION("""COMPUTED_VALUE"""),47.0)</f>
        <v>47</v>
      </c>
      <c r="U2" s="5">
        <f>IFERROR(__xludf.DUMMYFUNCTION("""COMPUTED_VALUE"""),38.0)</f>
        <v>38</v>
      </c>
      <c r="V2" s="5">
        <f>IFERROR(__xludf.DUMMYFUNCTION("""COMPUTED_VALUE"""),46.0)</f>
        <v>46</v>
      </c>
      <c r="W2" s="5">
        <f>IFERROR(__xludf.DUMMYFUNCTION("""COMPUTED_VALUE"""),47.0)</f>
        <v>47</v>
      </c>
      <c r="X2" s="5">
        <f>IFERROR(__xludf.DUMMYFUNCTION("""COMPUTED_VALUE"""),52.0)</f>
        <v>52</v>
      </c>
      <c r="Y2" s="5">
        <f>IFERROR(__xludf.DUMMYFUNCTION("""COMPUTED_VALUE"""),50.0)</f>
        <v>50</v>
      </c>
      <c r="Z2" s="5">
        <f>IFERROR(__xludf.DUMMYFUNCTION("""COMPUTED_VALUE"""),46.0)</f>
        <v>46</v>
      </c>
      <c r="AA2" s="8">
        <f>IFERROR(__xludf.DUMMYFUNCTION("""COMPUTED_VALUE"""),42899.0)</f>
        <v>42899</v>
      </c>
      <c r="AB2" s="9">
        <f>IFERROR(__xludf.DUMMYFUNCTION("""COMPUTED_VALUE"""),0.8182)</f>
        <v>0.8182</v>
      </c>
      <c r="AC2" s="5" t="str">
        <f>IFERROR(__xludf.DUMMYFUNCTION("""COMPUTED_VALUE"""),"Not done (forgot)")</f>
        <v>Not done (forgot)</v>
      </c>
      <c r="AD2" s="5" t="str">
        <f>IFERROR(__xludf.DUMMYFUNCTION("""COMPUTED_VALUE"""),"none reported")</f>
        <v>none reported</v>
      </c>
      <c r="AE2" s="5" t="str">
        <f>IFERROR(__xludf.DUMMYFUNCTION("""COMPUTED_VALUE"""),"A243HG (17055054)")</f>
        <v>A243HG (17055054)</v>
      </c>
      <c r="AF2" s="8">
        <f>IFERROR(__xludf.DUMMYFUNCTION("""COMPUTED_VALUE"""),42970.0)</f>
        <v>42970</v>
      </c>
      <c r="AG2" s="5" t="str">
        <f>IFERROR(__xludf.DUMMYFUNCTION("""COMPUTED_VALUE"""),"White")</f>
        <v>White</v>
      </c>
      <c r="AH2" s="5" t="str">
        <f>IFERROR(__xludf.DUMMYFUNCTION("""COMPUTED_VALUE"""),"none")</f>
        <v>none</v>
      </c>
      <c r="AI2" s="8">
        <f>IFERROR(__xludf.DUMMYFUNCTION("""COMPUTED_VALUE"""),42899.0)</f>
        <v>42899</v>
      </c>
      <c r="AJ2" s="5" t="str">
        <f>IFERROR(__xludf.DUMMYFUNCTION("""COMPUTED_VALUE"""),"titanium in jaw, permanent retainer")</f>
        <v>titanium in jaw, permanent retainer</v>
      </c>
      <c r="AK2" s="5" t="str">
        <f>IFERROR(__xludf.DUMMYFUNCTION("""COMPUTED_VALUE"""),"arrived a few minutes late- went to CHDD first. Took a very long time on parts of WASI. Seemed socially typical. Permanent retainer caused no signal in MEG")</f>
        <v>arrived a few minutes late- went to CHDD first. Took a very long time on parts of WASI. Seemed socially typical. Permanent retainer caused no signal in MEG</v>
      </c>
      <c r="AL2" s="5" t="str">
        <f>IFERROR(__xludf.DUMMYFUNCTION("""COMPUTED_VALUE"""),"Tuesday 6/20/17 @ 9am")</f>
        <v>Tuesday 6/20/17 @ 9am</v>
      </c>
      <c r="AM2" s="5" t="str">
        <f>IFERROR(__xludf.DUMMYFUNCTION("""COMPUTED_VALUE"""),"Julia &amp; Bo")</f>
        <v>Julia &amp; Bo</v>
      </c>
      <c r="AN2" s="5" t="str">
        <f>IFERROR(__xludf.DUMMYFUNCTION("""COMPUTED_VALUE"""),"subject's mom")</f>
        <v>subject's mom</v>
      </c>
      <c r="AO2" s="5" t="str">
        <f>IFERROR(__xludf.DUMMYFUNCTION("""COMPUTED_VALUE"""),"Gaba_144_raw.fif")</f>
        <v>Gaba_144_raw.fif</v>
      </c>
      <c r="AP2" s="5"/>
      <c r="AQ2" s="5">
        <f>IFERROR(__xludf.DUMMYFUNCTION("""COMPUTED_VALUE"""),75.0)</f>
        <v>75</v>
      </c>
      <c r="AR2" s="5">
        <f>IFERROR(__xludf.DUMMYFUNCTION("""COMPUTED_VALUE"""),-70.0)</f>
        <v>-70</v>
      </c>
      <c r="AS2" s="5"/>
      <c r="AT2" s="5" t="str">
        <f>IFERROR(__xludf.DUMMYFUNCTION("""COMPUTED_VALUE"""),"Maggie")</f>
        <v>Maggie</v>
      </c>
      <c r="AU2" s="5" t="str">
        <f>IFERROR(__xludf.DUMMYFUNCTION("""COMPUTED_VALUE"""),"Kam")</f>
        <v>Kam</v>
      </c>
      <c r="AV2" s="5" t="str">
        <f>IFERROR(__xludf.DUMMYFUNCTION("""COMPUTED_VALUE"""),"yes")</f>
        <v>yes</v>
      </c>
      <c r="AW2" s="5" t="str">
        <f>IFERROR(__xludf.DUMMYFUNCTION("""COMPUTED_VALUE"""),"5/5 coils, no bad channels")</f>
        <v>5/5 coils, no bad channels</v>
      </c>
      <c r="AX2" s="5" t="str">
        <f>IFERROR(__xludf.DUMMYFUNCTION("""COMPUTED_VALUE"""),"61/62")</f>
        <v>61/62</v>
      </c>
      <c r="AY2" s="5">
        <f>IFERROR(__xludf.DUMMYFUNCTION("""COMPUTED_VALUE"""),63.0)</f>
        <v>63</v>
      </c>
      <c r="AZ2" s="5"/>
      <c r="BA2" s="5" t="str">
        <f>IFERROR(__xludf.DUMMYFUNCTION("""COMPUTED_VALUE"""),"Monday 7/10/17 @ 8am")</f>
        <v>Monday 7/10/17 @ 8am</v>
      </c>
      <c r="BB2" s="5" t="str">
        <f>IFERROR(__xludf.DUMMYFUNCTION("""COMPUTED_VALUE"""),"Julia &amp; Bo")</f>
        <v>Julia &amp; Bo</v>
      </c>
      <c r="BC2" s="5" t="str">
        <f>IFERROR(__xludf.DUMMYFUNCTION("""COMPUTED_VALUE"""),"Todd, Jeff, Kam")</f>
        <v>Todd, Jeff, Kam</v>
      </c>
      <c r="BD2" s="5" t="str">
        <f>IFERROR(__xludf.DUMMYFUNCTION("""COMPUTED_VALUE"""),"subject's mom")</f>
        <v>subject's mom</v>
      </c>
      <c r="BE2" s="5" t="str">
        <f>IFERROR(__xludf.DUMMYFUNCTION("""COMPUTED_VALUE"""),"sub-nbwr144
NBWR144")</f>
        <v>sub-nbwr144
NBWR144</v>
      </c>
      <c r="BF2" s="5" t="str">
        <f>IFERROR(__xludf.DUMMYFUNCTION("""COMPUTED_VALUE"""),"NBWR144_PHANTOM")</f>
        <v>NBWR144_PHANTOM</v>
      </c>
      <c r="BG2" s="8">
        <f>IFERROR(__xludf.DUMMYFUNCTION("""COMPUTED_VALUE"""),42926.0)</f>
        <v>42926</v>
      </c>
      <c r="BH2" s="5" t="str">
        <f>IFERROR(__xludf.DUMMYFUNCTION("""COMPUTED_VALUE"""),"N/A")</f>
        <v>N/A</v>
      </c>
      <c r="BI2" s="5" t="str">
        <f>IFERROR(__xludf.DUMMYFUNCTION("""COMPUTED_VALUE"""),"N/A")</f>
        <v>N/A</v>
      </c>
      <c r="BJ2" s="5" t="str">
        <f>IFERROR(__xludf.DUMMYFUNCTION("""COMPUTED_VALUE"""),"N/A")</f>
        <v>N/A</v>
      </c>
      <c r="BK2" s="5" t="str">
        <f>IFERROR(__xludf.DUMMYFUNCTION("""COMPUTED_VALUE"""),"N/A")</f>
        <v>N/A</v>
      </c>
      <c r="BL2" s="5" t="str">
        <f>IFERROR(__xludf.DUMMYFUNCTION("""COMPUTED_VALUE"""),"MRS LT FWHM=16.5 Hz RT FWHM=21.5 Hz. qT1 all 5 flips done")</f>
        <v>MRS LT FWHM=16.5 Hz RT FWHM=21.5 Hz. qT1 all 5 flips done</v>
      </c>
      <c r="BM2" s="5" t="str">
        <f>IFERROR(__xludf.DUMMYFUNCTION("""COMPUTED_VALUE"""),"NBWR144")</f>
        <v>NBWR144</v>
      </c>
      <c r="BN2" s="6">
        <f>IFERROR(__xludf.DUMMYFUNCTION("""COMPUTED_VALUE"""),42899.0)</f>
        <v>42899</v>
      </c>
      <c r="BO2" s="8">
        <f>IFERROR(__xludf.DUMMYFUNCTION("""COMPUTED_VALUE"""),42906.0)</f>
        <v>42906</v>
      </c>
      <c r="BP2" s="8">
        <f>IFERROR(__xludf.DUMMYFUNCTION("""COMPUTED_VALUE"""),42926.0)</f>
        <v>42926</v>
      </c>
      <c r="BQ2" s="10"/>
      <c r="BR2" s="10"/>
      <c r="BS2" s="10"/>
      <c r="BT2" s="10"/>
      <c r="BU2" s="10"/>
      <c r="BV2" s="10"/>
      <c r="BW2" s="10"/>
      <c r="BX2" s="10"/>
      <c r="BY2" s="10"/>
      <c r="BZ2" s="10"/>
    </row>
    <row r="3">
      <c r="A3" s="11" t="str">
        <f>IFERROR(__xludf.DUMMYFUNCTION("""COMPUTED_VALUE"""),"GABA_317")</f>
        <v>GABA_317</v>
      </c>
      <c r="B3" s="6">
        <f>IFERROR(__xludf.DUMMYFUNCTION("""COMPUTED_VALUE"""),34024.0)</f>
        <v>34024</v>
      </c>
      <c r="C3" s="7">
        <f>IFERROR(__xludf.DUMMYFUNCTION("""COMPUTED_VALUE"""),24.361643835616437)</f>
        <v>24.36164384</v>
      </c>
      <c r="D3" s="5" t="str">
        <f>IFERROR(__xludf.DUMMYFUNCTION("""COMPUTED_VALUE"""),"male")</f>
        <v>male</v>
      </c>
      <c r="E3" s="8">
        <f>IFERROR(__xludf.DUMMYFUNCTION("""COMPUTED_VALUE"""),42916.0)</f>
        <v>42916</v>
      </c>
      <c r="F3" s="5" t="str">
        <f>IFERROR(__xludf.DUMMYFUNCTION("""COMPUTED_VALUE"""),"Bo")</f>
        <v>Bo</v>
      </c>
      <c r="G3" s="5" t="str">
        <f>IFERROR(__xludf.DUMMYFUNCTION("""COMPUTED_VALUE"""),"yes")</f>
        <v>yes</v>
      </c>
      <c r="H3" s="5" t="str">
        <f>IFERROR(__xludf.DUMMYFUNCTION("""COMPUTED_VALUE"""),"$10 (Demo Q)
$30 (Eastside toll)")</f>
        <v>$10 (Demo Q)
$30 (Eastside toll)</v>
      </c>
      <c r="I3" s="5" t="str">
        <f>IFERROR(__xludf.DUMMYFUNCTION("""COMPUTED_VALUE"""),"disq from CLOUDS (hearning screening), has nervous tic, list of medication, email went to junk folder")</f>
        <v>disq from CLOUDS (hearning screening), has nervous tic, list of medication, email went to junk folder</v>
      </c>
      <c r="J3" s="5" t="str">
        <f>IFERROR(__xludf.DUMMYFUNCTION("""COMPUTED_VALUE"""),"Friday 6/30/17 @ 3pm")</f>
        <v>Friday 6/30/17 @ 3pm</v>
      </c>
      <c r="K3" s="5" t="str">
        <f>IFERROR(__xludf.DUMMYFUNCTION("""COMPUTED_VALUE"""),"Julia &amp; Bo")</f>
        <v>Julia &amp; Bo</v>
      </c>
      <c r="L3" s="5" t="str">
        <f>IFERROR(__xludf.DUMMYFUNCTION("""COMPUTED_VALUE"""),"none")</f>
        <v>none</v>
      </c>
      <c r="M3" s="5" t="str">
        <f>IFERROR(__xludf.DUMMYFUNCTION("""COMPUTED_VALUE"""),"Julia")</f>
        <v>Julia</v>
      </c>
      <c r="N3" s="8">
        <f>IFERROR(__xludf.DUMMYFUNCTION("""COMPUTED_VALUE"""),42916.0)</f>
        <v>42916</v>
      </c>
      <c r="O3" s="5">
        <f>IFERROR(__xludf.DUMMYFUNCTION("""COMPUTED_VALUE"""),134.0)</f>
        <v>134</v>
      </c>
      <c r="P3" s="5">
        <f>IFERROR(__xludf.DUMMYFUNCTION("""COMPUTED_VALUE"""),115.0)</f>
        <v>115</v>
      </c>
      <c r="Q3" s="5">
        <f>IFERROR(__xludf.DUMMYFUNCTION("""COMPUTED_VALUE"""),129.0)</f>
        <v>129</v>
      </c>
      <c r="R3" s="5">
        <f>IFERROR(__xludf.DUMMYFUNCTION("""COMPUTED_VALUE"""),125.0)</f>
        <v>125</v>
      </c>
      <c r="S3" s="8">
        <f>IFERROR(__xludf.DUMMYFUNCTION("""COMPUTED_VALUE"""),42916.0)</f>
        <v>42916</v>
      </c>
      <c r="T3" s="5">
        <f>IFERROR(__xludf.DUMMYFUNCTION("""COMPUTED_VALUE"""),72.0)</f>
        <v>72</v>
      </c>
      <c r="U3" s="5">
        <f>IFERROR(__xludf.DUMMYFUNCTION("""COMPUTED_VALUE"""),66.0)</f>
        <v>66</v>
      </c>
      <c r="V3" s="5">
        <f>IFERROR(__xludf.DUMMYFUNCTION("""COMPUTED_VALUE"""),63.0)</f>
        <v>63</v>
      </c>
      <c r="W3" s="5">
        <f>IFERROR(__xludf.DUMMYFUNCTION("""COMPUTED_VALUE"""),74.0)</f>
        <v>74</v>
      </c>
      <c r="X3" s="5">
        <f>IFERROR(__xludf.DUMMYFUNCTION("""COMPUTED_VALUE"""),59.0)</f>
        <v>59</v>
      </c>
      <c r="Y3" s="5">
        <f>IFERROR(__xludf.DUMMYFUNCTION("""COMPUTED_VALUE"""),87.0)</f>
        <v>87</v>
      </c>
      <c r="Z3" s="5">
        <f>IFERROR(__xludf.DUMMYFUNCTION("""COMPUTED_VALUE"""),68.0)</f>
        <v>68</v>
      </c>
      <c r="AA3" s="8">
        <f>IFERROR(__xludf.DUMMYFUNCTION("""COMPUTED_VALUE"""),42916.0)</f>
        <v>42916</v>
      </c>
      <c r="AB3" s="9">
        <f>IFERROR(__xludf.DUMMYFUNCTION("""COMPUTED_VALUE"""),0.7727)</f>
        <v>0.7727</v>
      </c>
      <c r="AC3" s="8">
        <f>IFERROR(__xludf.DUMMYFUNCTION("""COMPUTED_VALUE"""),42916.0)</f>
        <v>42916</v>
      </c>
      <c r="AD3" s="5" t="str">
        <f>IFERROR(__xludf.DUMMYFUNCTION("""COMPUTED_VALUE"""),"Left: 2KHz, 4KHz")</f>
        <v>Left: 2KHz, 4KHz</v>
      </c>
      <c r="AE3" s="5" t="str">
        <f>IFERROR(__xludf.DUMMYFUNCTION("""COMPUTED_VALUE"""),"B648NR (17065744)")</f>
        <v>B648NR (17065744)</v>
      </c>
      <c r="AF3" s="8">
        <f>IFERROR(__xludf.DUMMYFUNCTION("""COMPUTED_VALUE"""),42976.0)</f>
        <v>42976</v>
      </c>
      <c r="AG3" s="5" t="str">
        <f>IFERROR(__xludf.DUMMYFUNCTION("""COMPUTED_VALUE"""),"White")</f>
        <v>White</v>
      </c>
      <c r="AH3" s="5" t="str">
        <f>IFERROR(__xludf.DUMMYFUNCTION("""COMPUTED_VALUE"""),"
Buproprion/150 mg/1 per day/mood stabilizer/2016 
Risperodone/2 mg/ 1 per night/sleep assistance/2015")</f>
        <v>
Buproprion/150 mg/1 per day/mood stabilizer/2016 
Risperodone/2 mg/ 1 per night/sleep assistance/2015</v>
      </c>
      <c r="AI3" s="8">
        <f>IFERROR(__xludf.DUMMYFUNCTION("""COMPUTED_VALUE"""),42916.0)</f>
        <v>42916</v>
      </c>
      <c r="AJ3" s="5" t="str">
        <f>IFERROR(__xludf.DUMMYFUNCTION("""COMPUTED_VALUE"""),"none")</f>
        <v>none</v>
      </c>
      <c r="AK3" s="5" t="str">
        <f>IFERROR(__xludf.DUMMYFUNCTION("""COMPUTED_VALUE"""),"subject has a rocking tic, seems to happen more in social situations &amp; when speaking. TBD if an issue in MEG &amp; MRI")</f>
        <v>subject has a rocking tic, seems to happen more in social situations &amp; when speaking. TBD if an issue in MEG &amp; MRI</v>
      </c>
      <c r="AL3" s="5" t="str">
        <f>IFERROR(__xludf.DUMMYFUNCTION("""COMPUTED_VALUE"""),"Friday 7/14/17 @ 3pm")</f>
        <v>Friday 7/14/17 @ 3pm</v>
      </c>
      <c r="AM3" s="5" t="str">
        <f>IFERROR(__xludf.DUMMYFUNCTION("""COMPUTED_VALUE"""),"Julia")</f>
        <v>Julia</v>
      </c>
      <c r="AN3" s="5" t="str">
        <f>IFERROR(__xludf.DUMMYFUNCTION("""COMPUTED_VALUE"""),"none")</f>
        <v>none</v>
      </c>
      <c r="AO3" s="5" t="str">
        <f>IFERROR(__xludf.DUMMYFUNCTION("""COMPUTED_VALUE"""),"Sub_gaba317_lexicaldecisions_01_raw.fif")</f>
        <v>Sub_gaba317_lexicaldecisions_01_raw.fif</v>
      </c>
      <c r="AP3" s="5" t="str">
        <f>IFERROR(__xludf.DUMMYFUNCTION("""COMPUTED_VALUE"""),"yes")</f>
        <v>yes</v>
      </c>
      <c r="AQ3" s="5">
        <f>IFERROR(__xludf.DUMMYFUNCTION("""COMPUTED_VALUE"""),66.4)</f>
        <v>66.4</v>
      </c>
      <c r="AR3" s="7">
        <f>IFERROR(__xludf.DUMMYFUNCTION("""COMPUTED_VALUE"""),-72.0)</f>
        <v>-72</v>
      </c>
      <c r="AS3" s="5">
        <f>IFERROR(__xludf.DUMMYFUNCTION("""COMPUTED_VALUE"""),240.0)</f>
        <v>240</v>
      </c>
      <c r="AT3" s="5" t="str">
        <f>IFERROR(__xludf.DUMMYFUNCTION("""COMPUTED_VALUE"""),"Myles")</f>
        <v>Myles</v>
      </c>
      <c r="AU3" s="5" t="str">
        <f>IFERROR(__xludf.DUMMYFUNCTION("""COMPUTED_VALUE"""),"Kam")</f>
        <v>Kam</v>
      </c>
      <c r="AV3" s="5" t="str">
        <f>IFERROR(__xludf.DUMMYFUNCTION("""COMPUTED_VALUE"""),"yes
4/50k")</f>
        <v>yes
4/50k</v>
      </c>
      <c r="AW3" s="5" t="str">
        <f>IFERROR(__xludf.DUMMYFUNCTION("""COMPUTED_VALUE"""),"Bad 1743")</f>
        <v>Bad 1743</v>
      </c>
      <c r="AX3" s="5" t="str">
        <f>IFERROR(__xludf.DUMMYFUNCTION("""COMPUTED_VALUE"""),"61/62")</f>
        <v>61/62</v>
      </c>
      <c r="AY3" s="5">
        <f>IFERROR(__xludf.DUMMYFUNCTION("""COMPUTED_VALUE"""),63.0)</f>
        <v>63</v>
      </c>
      <c r="AZ3" s="5" t="str">
        <f>IFERROR(__xludf.DUMMYFUNCTION("""COMPUTED_VALUE"""),"subject watched Ratatouille during capping")</f>
        <v>subject watched Ratatouille during capping</v>
      </c>
      <c r="BA3" s="5" t="str">
        <f>IFERROR(__xludf.DUMMYFUNCTION("""COMPUTED_VALUE"""),"Tuesday 7/25/17 @ 2:15pm")</f>
        <v>Tuesday 7/25/17 @ 2:15pm</v>
      </c>
      <c r="BB3" s="5" t="str">
        <f>IFERROR(__xludf.DUMMYFUNCTION("""COMPUTED_VALUE"""),"Julia &amp; Bo")</f>
        <v>Julia &amp; Bo</v>
      </c>
      <c r="BC3" s="5" t="str">
        <f>IFERROR(__xludf.DUMMYFUNCTION("""COMPUTED_VALUE"""),"Todd, Jeff, Kam")</f>
        <v>Todd, Jeff, Kam</v>
      </c>
      <c r="BD3" s="5" t="str">
        <f>IFERROR(__xludf.DUMMYFUNCTION("""COMPUTED_VALUE"""),"none")</f>
        <v>none</v>
      </c>
      <c r="BE3" s="5" t="str">
        <f>IFERROR(__xludf.DUMMYFUNCTION("""COMPUTED_VALUE"""),"sub-nbwr317
NBWR317")</f>
        <v>sub-nbwr317
NBWR317</v>
      </c>
      <c r="BF3" s="5" t="str">
        <f>IFERROR(__xludf.DUMMYFUNCTION("""COMPUTED_VALUE"""),"sub_nbwr317_phantom")</f>
        <v>sub_nbwr317_phantom</v>
      </c>
      <c r="BG3" s="5" t="str">
        <f>IFERROR(__xludf.DUMMYFUNCTION("""COMPUTED_VALUE"""),"7/25/17 @ 4:03 pm")</f>
        <v>7/25/17 @ 4:03 pm</v>
      </c>
      <c r="BH3" s="12">
        <f>IFERROR(__xludf.DUMMYFUNCTION("""COMPUTED_VALUE"""),0.6666666666666666)</f>
        <v>0.6666666667</v>
      </c>
      <c r="BI3" s="5">
        <f>IFERROR(__xludf.DUMMYFUNCTION("""COMPUTED_VALUE"""),23.9)</f>
        <v>23.9</v>
      </c>
      <c r="BJ3" s="12">
        <f>IFERROR(__xludf.DUMMYFUNCTION("""COMPUTED_VALUE"""),0.6944444444444444)</f>
        <v>0.6944444444</v>
      </c>
      <c r="BK3" s="5">
        <f>IFERROR(__xludf.DUMMYFUNCTION("""COMPUTED_VALUE"""),25.0)</f>
        <v>25</v>
      </c>
      <c r="BL3" s="5" t="str">
        <f>IFERROR(__xludf.DUMMYFUNCTION("""COMPUTED_VALUE"""),"14t5 Hz FWHM on left side MRS voxel. 18 Hz FWHM right side MRS voxel")</f>
        <v>14t5 Hz FWHM on left side MRS voxel. 18 Hz FWHM right side MRS voxel</v>
      </c>
      <c r="BM3" s="5" t="str">
        <f>IFERROR(__xludf.DUMMYFUNCTION("""COMPUTED_VALUE"""),"NBWR317")</f>
        <v>NBWR317</v>
      </c>
      <c r="BN3" s="6">
        <f>IFERROR(__xludf.DUMMYFUNCTION("""COMPUTED_VALUE"""),42916.0)</f>
        <v>42916</v>
      </c>
      <c r="BO3" s="8">
        <f>IFERROR(__xludf.DUMMYFUNCTION("""COMPUTED_VALUE"""),42930.0)</f>
        <v>42930</v>
      </c>
      <c r="BP3" s="8">
        <f>IFERROR(__xludf.DUMMYFUNCTION("""COMPUTED_VALUE"""),42941.0)</f>
        <v>42941</v>
      </c>
      <c r="BQ3" s="10"/>
      <c r="BR3" s="10"/>
      <c r="BS3" s="10"/>
      <c r="BT3" s="10"/>
      <c r="BU3" s="10"/>
      <c r="BV3" s="10"/>
      <c r="BW3" s="10"/>
      <c r="BX3" s="10"/>
      <c r="BY3" s="10"/>
      <c r="BZ3" s="10"/>
    </row>
    <row r="4">
      <c r="A4" s="11" t="str">
        <f>IFERROR(__xludf.DUMMYFUNCTION("""COMPUTED_VALUE"""),"GABA_088")</f>
        <v>GABA_088</v>
      </c>
      <c r="B4" s="6">
        <f>IFERROR(__xludf.DUMMYFUNCTION("""COMPUTED_VALUE"""),35085.0)</f>
        <v>35085</v>
      </c>
      <c r="C4" s="7">
        <f>IFERROR(__xludf.DUMMYFUNCTION("""COMPUTED_VALUE"""),21.482191780821918)</f>
        <v>21.48219178</v>
      </c>
      <c r="D4" s="5" t="str">
        <f>IFERROR(__xludf.DUMMYFUNCTION("""COMPUTED_VALUE"""),"female")</f>
        <v>female</v>
      </c>
      <c r="E4" s="8">
        <f>IFERROR(__xludf.DUMMYFUNCTION("""COMPUTED_VALUE"""),42919.0)</f>
        <v>42919</v>
      </c>
      <c r="F4" s="5" t="str">
        <f>IFERROR(__xludf.DUMMYFUNCTION("""COMPUTED_VALUE"""),"Bo")</f>
        <v>Bo</v>
      </c>
      <c r="G4" s="5" t="str">
        <f>IFERROR(__xludf.DUMMYFUNCTION("""COMPUTED_VALUE"""),"none")</f>
        <v>none</v>
      </c>
      <c r="H4" s="5" t="str">
        <f>IFERROR(__xludf.DUMMYFUNCTION("""COMPUTED_VALUE"""),"$10 (Demo Q)
$30 (Eastside toll)")</f>
        <v>$10 (Demo Q)
$30 (Eastside toll)</v>
      </c>
      <c r="I4" s="5" t="str">
        <f>IFERROR(__xludf.DUMMYFUNCTION("""COMPUTED_VALUE"""),"mother &amp; subject were on phone together for recruitment and screening")</f>
        <v>mother &amp; subject were on phone together for recruitment and screening</v>
      </c>
      <c r="J4" s="5" t="str">
        <f>IFERROR(__xludf.DUMMYFUNCTION("""COMPUTED_VALUE"""),"Monday 7/10/17 @ 1pm")</f>
        <v>Monday 7/10/17 @ 1pm</v>
      </c>
      <c r="K4" s="5" t="str">
        <f>IFERROR(__xludf.DUMMYFUNCTION("""COMPUTED_VALUE"""),"Julia &amp; Bo")</f>
        <v>Julia &amp; Bo</v>
      </c>
      <c r="L4" s="5" t="str">
        <f>IFERROR(__xludf.DUMMYFUNCTION("""COMPUTED_VALUE"""),"subject's parents &amp; neighbor's child (~4yo)")</f>
        <v>subject's parents &amp; neighbor's child (~4yo)</v>
      </c>
      <c r="M4" s="5" t="str">
        <f>IFERROR(__xludf.DUMMYFUNCTION("""COMPUTED_VALUE"""),"Julia")</f>
        <v>Julia</v>
      </c>
      <c r="N4" s="8">
        <f>IFERROR(__xludf.DUMMYFUNCTION("""COMPUTED_VALUE"""),42926.0)</f>
        <v>42926</v>
      </c>
      <c r="O4" s="5">
        <f>IFERROR(__xludf.DUMMYFUNCTION("""COMPUTED_VALUE"""),93.0)</f>
        <v>93</v>
      </c>
      <c r="P4" s="5">
        <f>IFERROR(__xludf.DUMMYFUNCTION("""COMPUTED_VALUE"""),102.0)</f>
        <v>102</v>
      </c>
      <c r="Q4" s="5">
        <f>IFERROR(__xludf.DUMMYFUNCTION("""COMPUTED_VALUE"""),97.0)</f>
        <v>97</v>
      </c>
      <c r="R4" s="5">
        <f>IFERROR(__xludf.DUMMYFUNCTION("""COMPUTED_VALUE"""),96.0)</f>
        <v>96</v>
      </c>
      <c r="S4" s="8">
        <f>IFERROR(__xludf.DUMMYFUNCTION("""COMPUTED_VALUE"""),42926.0)</f>
        <v>42926</v>
      </c>
      <c r="T4" s="5">
        <f>IFERROR(__xludf.DUMMYFUNCTION("""COMPUTED_VALUE"""),55.0)</f>
        <v>55</v>
      </c>
      <c r="U4" s="5">
        <f>IFERROR(__xludf.DUMMYFUNCTION("""COMPUTED_VALUE"""),32.0)</f>
        <v>32</v>
      </c>
      <c r="V4" s="5">
        <f>IFERROR(__xludf.DUMMYFUNCTION("""COMPUTED_VALUE"""),48.0)</f>
        <v>48</v>
      </c>
      <c r="W4" s="5">
        <f>IFERROR(__xludf.DUMMYFUNCTION("""COMPUTED_VALUE"""),62.0)</f>
        <v>62</v>
      </c>
      <c r="X4" s="5">
        <f>IFERROR(__xludf.DUMMYFUNCTION("""COMPUTED_VALUE"""),66.0)</f>
        <v>66</v>
      </c>
      <c r="Y4" s="5">
        <f>IFERROR(__xludf.DUMMYFUNCTION("""COMPUTED_VALUE"""),53.0)</f>
        <v>53</v>
      </c>
      <c r="Z4" s="5">
        <f>IFERROR(__xludf.DUMMYFUNCTION("""COMPUTED_VALUE"""),56.0)</f>
        <v>56</v>
      </c>
      <c r="AA4" s="8">
        <f>IFERROR(__xludf.DUMMYFUNCTION("""COMPUTED_VALUE"""),42926.0)</f>
        <v>42926</v>
      </c>
      <c r="AB4" s="9">
        <f>IFERROR(__xludf.DUMMYFUNCTION("""COMPUTED_VALUE"""),0.682)</f>
        <v>0.682</v>
      </c>
      <c r="AC4" s="8">
        <f>IFERROR(__xludf.DUMMYFUNCTION("""COMPUTED_VALUE"""),42926.0)</f>
        <v>42926</v>
      </c>
      <c r="AD4" s="5" t="str">
        <f>IFERROR(__xludf.DUMMYFUNCTION("""COMPUTED_VALUE"""),"no loss")</f>
        <v>no loss</v>
      </c>
      <c r="AE4" s="5" t="str">
        <f>IFERROR(__xludf.DUMMYFUNCTION("""COMPUTED_VALUE"""),"C795KT (17048776)")</f>
        <v>C795KT (17048776)</v>
      </c>
      <c r="AF4" s="8">
        <f>IFERROR(__xludf.DUMMYFUNCTION("""COMPUTED_VALUE"""),42966.0)</f>
        <v>42966</v>
      </c>
      <c r="AG4" s="5" t="str">
        <f>IFERROR(__xludf.DUMMYFUNCTION("""COMPUTED_VALUE"""),"White")</f>
        <v>White</v>
      </c>
      <c r="AH4" s="5" t="str">
        <f>IFERROR(__xludf.DUMMYFUNCTION("""COMPUTED_VALUE"""),"none")</f>
        <v>none</v>
      </c>
      <c r="AI4" s="8">
        <f>IFERROR(__xludf.DUMMYFUNCTION("""COMPUTED_VALUE"""),42926.0)</f>
        <v>42926</v>
      </c>
      <c r="AJ4" s="5" t="str">
        <f>IFERROR(__xludf.DUMMYFUNCTION("""COMPUTED_VALUE"""),"none")</f>
        <v>none</v>
      </c>
      <c r="AK4" s="5" t="str">
        <f>IFERROR(__xludf.DUMMYFUNCTION("""COMPUTED_VALUE"""),"Tried MEG &amp; MRI simulator. SRS-2 &amp; Edinburgh may not be very accurate. Mom noted that subj. isn't very good w/ self-reported measures.")</f>
        <v>Tried MEG &amp; MRI simulator. SRS-2 &amp; Edinburgh may not be very accurate. Mom noted that subj. isn't very good w/ self-reported measures.</v>
      </c>
      <c r="AL4" s="5" t="str">
        <f>IFERROR(__xludf.DUMMYFUNCTION("""COMPUTED_VALUE"""),"Monday 7/24/17 @ 11am")</f>
        <v>Monday 7/24/17 @ 11am</v>
      </c>
      <c r="AM4" s="5" t="str">
        <f>IFERROR(__xludf.DUMMYFUNCTION("""COMPUTED_VALUE"""),"Julia")</f>
        <v>Julia</v>
      </c>
      <c r="AN4" s="5" t="str">
        <f>IFERROR(__xludf.DUMMYFUNCTION("""COMPUTED_VALUE"""),"dad")</f>
        <v>dad</v>
      </c>
      <c r="AO4" s="5" t="str">
        <f>IFERROR(__xludf.DUMMYFUNCTION("""COMPUTED_VALUE"""),"sub-gaba088-lexicaldecision_01")</f>
        <v>sub-gaba088-lexicaldecision_01</v>
      </c>
      <c r="AP4" s="5" t="str">
        <f>IFERROR(__xludf.DUMMYFUNCTION("""COMPUTED_VALUE"""),"yes")</f>
        <v>yes</v>
      </c>
      <c r="AQ4" s="5">
        <f>IFERROR(__xludf.DUMMYFUNCTION("""COMPUTED_VALUE"""),70.2)</f>
        <v>70.2</v>
      </c>
      <c r="AR4" s="5">
        <f>IFERROR(__xludf.DUMMYFUNCTION("""COMPUTED_VALUE"""),-74.6)</f>
        <v>-74.6</v>
      </c>
      <c r="AS4" s="5">
        <f>IFERROR(__xludf.DUMMYFUNCTION("""COMPUTED_VALUE"""),240.0)</f>
        <v>240</v>
      </c>
      <c r="AT4" s="5" t="str">
        <f>IFERROR(__xludf.DUMMYFUNCTION("""COMPUTED_VALUE"""),"Maggie")</f>
        <v>Maggie</v>
      </c>
      <c r="AU4" s="5" t="str">
        <f>IFERROR(__xludf.DUMMYFUNCTION("""COMPUTED_VALUE"""),"Kam")</f>
        <v>Kam</v>
      </c>
      <c r="AV4" s="5" t="str">
        <f>IFERROR(__xludf.DUMMYFUNCTION("""COMPUTED_VALUE"""),"5/5 yes no too lg.")</f>
        <v>5/5 yes no too lg.</v>
      </c>
      <c r="AW4" s="5" t="str">
        <f>IFERROR(__xludf.DUMMYFUNCTION("""COMPUTED_VALUE"""),"2611 (flat)")</f>
        <v>2611 (flat)</v>
      </c>
      <c r="AX4" s="5" t="str">
        <f>IFERROR(__xludf.DUMMYFUNCTION("""COMPUTED_VALUE"""),"61+62")</f>
        <v>61+62</v>
      </c>
      <c r="AY4" s="5">
        <f>IFERROR(__xludf.DUMMYFUNCTION("""COMPUTED_VALUE"""),63.0)</f>
        <v>63</v>
      </c>
      <c r="AZ4" s="5" t="str">
        <f>IFERROR(__xludf.DUMMYFUNCTION("""COMPUTED_VALUE"""),"triggers_buttons seen on Acq. sinusoidal artifact on mostly right channels this is probably from Julia who we put in the room with the subject because she was very nervous (artifact should come out with TSSS)")</f>
        <v>triggers_buttons seen on Acq. sinusoidal artifact on mostly right channels this is probably from Julia who we put in the room with the subject because she was very nervous (artifact should come out with TSSS)</v>
      </c>
      <c r="BA4" s="5" t="str">
        <f>IFERROR(__xludf.DUMMYFUNCTION("""COMPUTED_VALUE"""),"Monday 8/7/17 @ 10am")</f>
        <v>Monday 8/7/17 @ 10am</v>
      </c>
      <c r="BB4" s="5" t="str">
        <f>IFERROR(__xludf.DUMMYFUNCTION("""COMPUTED_VALUE"""),"Julia &amp; Bo")</f>
        <v>Julia &amp; Bo</v>
      </c>
      <c r="BC4" s="5" t="str">
        <f>IFERROR(__xludf.DUMMYFUNCTION("""COMPUTED_VALUE"""),"Todd, Jeff, Kam")</f>
        <v>Todd, Jeff, Kam</v>
      </c>
      <c r="BD4" s="5" t="str">
        <f>IFERROR(__xludf.DUMMYFUNCTION("""COMPUTED_VALUE"""),"subject's dad")</f>
        <v>subject's dad</v>
      </c>
      <c r="BE4" s="5" t="str">
        <f>IFERROR(__xludf.DUMMYFUNCTION("""COMPUTED_VALUE"""),"sub-nbwr088")</f>
        <v>sub-nbwr088</v>
      </c>
      <c r="BF4" s="5" t="str">
        <f>IFERROR(__xludf.DUMMYFUNCTION("""COMPUTED_VALUE"""),"sub_nbwr088_phantom")</f>
        <v>sub_nbwr088_phantom</v>
      </c>
      <c r="BG4" s="5" t="str">
        <f>IFERROR(__xludf.DUMMYFUNCTION("""COMPUTED_VALUE"""),"8/7/17 @ 8:00 am")</f>
        <v>8/7/17 @ 8:00 am</v>
      </c>
      <c r="BH4" s="13">
        <f>IFERROR(__xludf.DUMMYFUNCTION("""COMPUTED_VALUE"""),0.34375)</f>
        <v>0.34375</v>
      </c>
      <c r="BI4" s="5">
        <f>IFERROR(__xludf.DUMMYFUNCTION("""COMPUTED_VALUE"""),22.4)</f>
        <v>22.4</v>
      </c>
      <c r="BJ4" s="13">
        <f>IFERROR(__xludf.DUMMYFUNCTION("""COMPUTED_VALUE"""),0.3645833333333333)</f>
        <v>0.3645833333</v>
      </c>
      <c r="BK4" s="5">
        <f>IFERROR(__xludf.DUMMYFUNCTION("""COMPUTED_VALUE"""),23.1)</f>
        <v>23.1</v>
      </c>
      <c r="BL4" s="5" t="str">
        <f>IFERROR(__xludf.DUMMYFUNCTION("""COMPUTED_VALUE"""),"LT FWHM=18Hg RT FWHM=13Hg")</f>
        <v>LT FWHM=18Hg RT FWHM=13Hg</v>
      </c>
      <c r="BM4" s="5" t="str">
        <f>IFERROR(__xludf.DUMMYFUNCTION("""COMPUTED_VALUE"""),"sub-nbwr088")</f>
        <v>sub-nbwr088</v>
      </c>
      <c r="BN4" s="6">
        <f>IFERROR(__xludf.DUMMYFUNCTION("""COMPUTED_VALUE"""),42926.0)</f>
        <v>42926</v>
      </c>
      <c r="BO4" s="8">
        <f>IFERROR(__xludf.DUMMYFUNCTION("""COMPUTED_VALUE"""),42940.0)</f>
        <v>42940</v>
      </c>
      <c r="BP4" s="8">
        <f>IFERROR(__xludf.DUMMYFUNCTION("""COMPUTED_VALUE"""),42954.0)</f>
        <v>42954</v>
      </c>
      <c r="BQ4" s="10"/>
      <c r="BR4" s="10"/>
      <c r="BS4" s="10"/>
      <c r="BT4" s="10"/>
      <c r="BU4" s="10"/>
      <c r="BV4" s="10"/>
      <c r="BW4" s="10"/>
      <c r="BX4" s="10"/>
      <c r="BY4" s="10"/>
      <c r="BZ4" s="10"/>
    </row>
    <row r="5">
      <c r="A5" s="11" t="str">
        <f>IFERROR(__xludf.DUMMYFUNCTION("""COMPUTED_VALUE"""),"GABA_132")</f>
        <v>GABA_132</v>
      </c>
      <c r="B5" s="14">
        <f>IFERROR(__xludf.DUMMYFUNCTION("""COMPUTED_VALUE"""),35243.0)</f>
        <v>35243</v>
      </c>
      <c r="C5" s="15">
        <f>IFERROR(__xludf.DUMMYFUNCTION("""COMPUTED_VALUE"""),21.052054794520547)</f>
        <v>21.05205479</v>
      </c>
      <c r="D5" s="16" t="str">
        <f>IFERROR(__xludf.DUMMYFUNCTION("""COMPUTED_VALUE"""),"male")</f>
        <v>male</v>
      </c>
      <c r="E5" s="17">
        <f>IFERROR(__xludf.DUMMYFUNCTION("""COMPUTED_VALUE"""),42921.0)</f>
        <v>42921</v>
      </c>
      <c r="F5" s="16" t="str">
        <f>IFERROR(__xludf.DUMMYFUNCTION("""COMPUTED_VALUE"""),"Bo")</f>
        <v>Bo</v>
      </c>
      <c r="G5" s="16" t="str">
        <f>IFERROR(__xludf.DUMMYFUNCTION("""COMPUTED_VALUE"""),"none")</f>
        <v>none</v>
      </c>
      <c r="H5" s="16" t="str">
        <f>IFERROR(__xludf.DUMMYFUNCTION("""COMPUTED_VALUE"""),"none")</f>
        <v>none</v>
      </c>
      <c r="I5" s="16" t="str">
        <f>IFERROR(__xludf.DUMMYFUNCTION("""COMPUTED_VALUE"""),"participated in CLOUDS 2017. Recruited him after completion")</f>
        <v>participated in CLOUDS 2017. Recruited him after completion</v>
      </c>
      <c r="J5" s="16" t="str">
        <f>IFERROR(__xludf.DUMMYFUNCTION("""COMPUTED_VALUE"""),"Tuesday 7/11/17 @ 1pm")</f>
        <v>Tuesday 7/11/17 @ 1pm</v>
      </c>
      <c r="K5" s="16" t="str">
        <f>IFERROR(__xludf.DUMMYFUNCTION("""COMPUTED_VALUE"""),"Julia &amp; Bo")</f>
        <v>Julia &amp; Bo</v>
      </c>
      <c r="L5" s="16" t="str">
        <f>IFERROR(__xludf.DUMMYFUNCTION("""COMPUTED_VALUE"""),"none")</f>
        <v>none</v>
      </c>
      <c r="M5" s="16" t="str">
        <f>IFERROR(__xludf.DUMMYFUNCTION("""COMPUTED_VALUE"""),"Julia")</f>
        <v>Julia</v>
      </c>
      <c r="N5" s="17">
        <f>IFERROR(__xludf.DUMMYFUNCTION("""COMPUTED_VALUE"""),42927.0)</f>
        <v>42927</v>
      </c>
      <c r="O5" s="16">
        <f>IFERROR(__xludf.DUMMYFUNCTION("""COMPUTED_VALUE"""),129.0)</f>
        <v>129</v>
      </c>
      <c r="P5" s="16">
        <f>IFERROR(__xludf.DUMMYFUNCTION("""COMPUTED_VALUE"""),125.0)</f>
        <v>125</v>
      </c>
      <c r="Q5" s="16">
        <f>IFERROR(__xludf.DUMMYFUNCTION("""COMPUTED_VALUE"""),131.0)</f>
        <v>131</v>
      </c>
      <c r="R5" s="16">
        <f>IFERROR(__xludf.DUMMYFUNCTION("""COMPUTED_VALUE"""),120.0)</f>
        <v>120</v>
      </c>
      <c r="S5" s="17">
        <f>IFERROR(__xludf.DUMMYFUNCTION("""COMPUTED_VALUE"""),42927.0)</f>
        <v>42927</v>
      </c>
      <c r="T5" s="16">
        <f>IFERROR(__xludf.DUMMYFUNCTION("""COMPUTED_VALUE"""),62.0)</f>
        <v>62</v>
      </c>
      <c r="U5" s="16">
        <f>IFERROR(__xludf.DUMMYFUNCTION("""COMPUTED_VALUE"""),58.0)</f>
        <v>58</v>
      </c>
      <c r="V5" s="16">
        <f>IFERROR(__xludf.DUMMYFUNCTION("""COMPUTED_VALUE"""),60.0)</f>
        <v>60</v>
      </c>
      <c r="W5" s="16">
        <f>IFERROR(__xludf.DUMMYFUNCTION("""COMPUTED_VALUE"""),67.0)</f>
        <v>67</v>
      </c>
      <c r="X5" s="16">
        <f>IFERROR(__xludf.DUMMYFUNCTION("""COMPUTED_VALUE"""),56.0)</f>
        <v>56</v>
      </c>
      <c r="Y5" s="16">
        <f>IFERROR(__xludf.DUMMYFUNCTION("""COMPUTED_VALUE"""),60.0)</f>
        <v>60</v>
      </c>
      <c r="Z5" s="16">
        <f>IFERROR(__xludf.DUMMYFUNCTION("""COMPUTED_VALUE"""),62.0)</f>
        <v>62</v>
      </c>
      <c r="AA5" s="17">
        <f>IFERROR(__xludf.DUMMYFUNCTION("""COMPUTED_VALUE"""),42927.0)</f>
        <v>42927</v>
      </c>
      <c r="AB5" s="18">
        <f>IFERROR(__xludf.DUMMYFUNCTION("""COMPUTED_VALUE"""),0.955)</f>
        <v>0.955</v>
      </c>
      <c r="AC5" s="17">
        <f>IFERROR(__xludf.DUMMYFUNCTION("""COMPUTED_VALUE"""),42927.0)</f>
        <v>42927</v>
      </c>
      <c r="AD5" s="16" t="str">
        <f>IFERROR(__xludf.DUMMYFUNCTION("""COMPUTED_VALUE"""),"Left: 6KHz")</f>
        <v>Left: 6KHz</v>
      </c>
      <c r="AE5" s="16" t="str">
        <f>IFERROR(__xludf.DUMMYFUNCTION("""COMPUTED_VALUE"""),"D988PF (17049493)")</f>
        <v>D988PF (17049493)</v>
      </c>
      <c r="AF5" s="17">
        <f>IFERROR(__xludf.DUMMYFUNCTION("""COMPUTED_VALUE"""),42967.0)</f>
        <v>42967</v>
      </c>
      <c r="AG5" s="16" t="str">
        <f>IFERROR(__xludf.DUMMYFUNCTION("""COMPUTED_VALUE"""),"White")</f>
        <v>White</v>
      </c>
      <c r="AH5" s="16" t="str">
        <f>IFERROR(__xludf.DUMMYFUNCTION("""COMPUTED_VALUE"""),"none")</f>
        <v>none</v>
      </c>
      <c r="AI5" s="17">
        <f>IFERROR(__xludf.DUMMYFUNCTION("""COMPUTED_VALUE"""),42927.0)</f>
        <v>42927</v>
      </c>
      <c r="AJ5" s="16" t="str">
        <f>IFERROR(__xludf.DUMMYFUNCTION("""COMPUTED_VALUE"""),"none")</f>
        <v>none</v>
      </c>
      <c r="AK5" s="16" t="str">
        <f>IFERROR(__xludf.DUMMYFUNCTION("""COMPUTED_VALUE"""),"Subject recently had MEG &amp; MRI w/ CLOUDS, so no need for tour. Confusion day-of appt because CLOUDS scheduled him for pilot appt that overlapped")</f>
        <v>Subject recently had MEG &amp; MRI w/ CLOUDS, so no need for tour. Confusion day-of appt because CLOUDS scheduled him for pilot appt that overlapped</v>
      </c>
      <c r="AL5" s="16" t="str">
        <f>IFERROR(__xludf.DUMMYFUNCTION("""COMPUTED_VALUE"""),"Thursday 7/20/17 @ 1pm")</f>
        <v>Thursday 7/20/17 @ 1pm</v>
      </c>
      <c r="AM5" s="16" t="str">
        <f>IFERROR(__xludf.DUMMYFUNCTION("""COMPUTED_VALUE"""),"Bo")</f>
        <v>Bo</v>
      </c>
      <c r="AN5" s="16" t="str">
        <f>IFERROR(__xludf.DUMMYFUNCTION("""COMPUTED_VALUE"""),"none")</f>
        <v>none</v>
      </c>
      <c r="AO5" s="16" t="str">
        <f>IFERROR(__xludf.DUMMYFUNCTION("""COMPUTED_VALUE"""),"Sub_gaba132_lexicaldecision_01_raw")</f>
        <v>Sub_gaba132_lexicaldecision_01_raw</v>
      </c>
      <c r="AP5" s="16" t="str">
        <f>IFERROR(__xludf.DUMMYFUNCTION("""COMPUTED_VALUE"""),"yes")</f>
        <v>yes</v>
      </c>
      <c r="AQ5" s="16">
        <f>IFERROR(__xludf.DUMMYFUNCTION("""COMPUTED_VALUE"""),70.3)</f>
        <v>70.3</v>
      </c>
      <c r="AR5" s="16">
        <f>IFERROR(__xludf.DUMMYFUNCTION("""COMPUTED_VALUE"""),-65.3)</f>
        <v>-65.3</v>
      </c>
      <c r="AS5" s="16">
        <f>IFERROR(__xludf.DUMMYFUNCTION("""COMPUTED_VALUE"""),240.0)</f>
        <v>240</v>
      </c>
      <c r="AT5" s="16" t="str">
        <f>IFERROR(__xludf.DUMMYFUNCTION("""COMPUTED_VALUE"""),"Mggie")</f>
        <v>Mggie</v>
      </c>
      <c r="AU5" s="16" t="str">
        <f>IFERROR(__xludf.DUMMYFUNCTION("""COMPUTED_VALUE"""),"Kam")</f>
        <v>Kam</v>
      </c>
      <c r="AV5" s="16" t="str">
        <f>IFERROR(__xludf.DUMMYFUNCTION("""COMPUTED_VALUE"""),"5/5 yes")</f>
        <v>5/5 yes</v>
      </c>
      <c r="AW5" s="16" t="str">
        <f>IFERROR(__xludf.DUMMYFUNCTION("""COMPUTED_VALUE"""),"none documented")</f>
        <v>none documented</v>
      </c>
      <c r="AX5" s="16" t="str">
        <f>IFERROR(__xludf.DUMMYFUNCTION("""COMPUTED_VALUE"""),"61/62")</f>
        <v>61/62</v>
      </c>
      <c r="AY5" s="16">
        <f>IFERROR(__xludf.DUMMYFUNCTION("""COMPUTED_VALUE"""),63.0)</f>
        <v>63</v>
      </c>
      <c r="AZ5" s="16" t="str">
        <f>IFERROR(__xludf.DUMMYFUNCTION("""COMPUTED_VALUE"""),"buttons+triggers seen on Acq. EOG signal good. ECG signal weak- didnt want to redo due to time. Some head movements. Online avgs look very nice. Acq error: ""did not find variable Gantry Position""- channel is good")</f>
        <v>buttons+triggers seen on Acq. EOG signal good. ECG signal weak- didnt want to redo due to time. Some head movements. Online avgs look very nice. Acq error: "did not find variable Gantry Position"- channel is good</v>
      </c>
      <c r="BA5" s="16" t="str">
        <f>IFERROR(__xludf.DUMMYFUNCTION("""COMPUTED_VALUE"""),"Monday 7/24/17 @ 1:30pm")</f>
        <v>Monday 7/24/17 @ 1:30pm</v>
      </c>
      <c r="BB5" s="16" t="str">
        <f>IFERROR(__xludf.DUMMYFUNCTION("""COMPUTED_VALUE"""),"Bo")</f>
        <v>Bo</v>
      </c>
      <c r="BC5" s="16" t="str">
        <f>IFERROR(__xludf.DUMMYFUNCTION("""COMPUTED_VALUE"""),"Jeff, Kam")</f>
        <v>Jeff, Kam</v>
      </c>
      <c r="BD5" s="16" t="str">
        <f>IFERROR(__xludf.DUMMYFUNCTION("""COMPUTED_VALUE"""),"none")</f>
        <v>none</v>
      </c>
      <c r="BE5" s="16" t="str">
        <f>IFERROR(__xludf.DUMMYFUNCTION("""COMPUTED_VALUE"""),"sub-nbwr132
NBWR132")</f>
        <v>sub-nbwr132
NBWR132</v>
      </c>
      <c r="BF5" s="16" t="str">
        <f>IFERROR(__xludf.DUMMYFUNCTION("""COMPUTED_VALUE"""),"sub-nbwr132_phantom")</f>
        <v>sub-nbwr132_phantom</v>
      </c>
      <c r="BG5" s="16" t="str">
        <f>IFERROR(__xludf.DUMMYFUNCTION("""COMPUTED_VALUE"""),"7/24/17 @1:30 pm")</f>
        <v>7/24/17 @1:30 pm</v>
      </c>
      <c r="BH5" s="19">
        <f>IFERROR(__xludf.DUMMYFUNCTION("""COMPUTED_VALUE"""),0.5625)</f>
        <v>0.5625</v>
      </c>
      <c r="BI5" s="16">
        <f>IFERROR(__xludf.DUMMYFUNCTION("""COMPUTED_VALUE"""),24.0)</f>
        <v>24</v>
      </c>
      <c r="BJ5" s="20">
        <f>IFERROR(__xludf.DUMMYFUNCTION("""COMPUTED_VALUE"""),0.5902777777777778)</f>
        <v>0.5902777778</v>
      </c>
      <c r="BK5" s="16">
        <f>IFERROR(__xludf.DUMMYFUNCTION("""COMPUTED_VALUE"""),24.3)</f>
        <v>24.3</v>
      </c>
      <c r="BL5" s="16" t="str">
        <f>IFERROR(__xludf.DUMMYFUNCTION("""COMPUTED_VALUE"""),"started 1.5 hr late, subject picked up from bus stop by Bo")</f>
        <v>started 1.5 hr late, subject picked up from bus stop by Bo</v>
      </c>
      <c r="BM5" s="16" t="str">
        <f>IFERROR(__xludf.DUMMYFUNCTION("""COMPUTED_VALUE"""),"NBWR132")</f>
        <v>NBWR132</v>
      </c>
      <c r="BN5" s="14">
        <f>IFERROR(__xludf.DUMMYFUNCTION("""COMPUTED_VALUE"""),42927.0)</f>
        <v>42927</v>
      </c>
      <c r="BO5" s="17">
        <f>IFERROR(__xludf.DUMMYFUNCTION("""COMPUTED_VALUE"""),42936.0)</f>
        <v>42936</v>
      </c>
      <c r="BP5" s="17">
        <f>IFERROR(__xludf.DUMMYFUNCTION("""COMPUTED_VALUE"""),42940.0)</f>
        <v>42940</v>
      </c>
      <c r="BQ5" s="10"/>
      <c r="BR5" s="10"/>
      <c r="BS5" s="10"/>
      <c r="BT5" s="10"/>
      <c r="BU5" s="10"/>
      <c r="BV5" s="10"/>
      <c r="BW5" s="10"/>
      <c r="BX5" s="10"/>
      <c r="BY5" s="10"/>
      <c r="BZ5" s="10"/>
    </row>
    <row r="6">
      <c r="A6" s="11" t="str">
        <f>IFERROR(__xludf.DUMMYFUNCTION("""COMPUTED_VALUE"""),"GABA_007")</f>
        <v>GABA_007</v>
      </c>
      <c r="B6" s="6">
        <f>IFERROR(__xludf.DUMMYFUNCTION("""COMPUTED_VALUE"""),34550.0)</f>
        <v>34550</v>
      </c>
      <c r="C6" s="7">
        <f>IFERROR(__xludf.DUMMYFUNCTION("""COMPUTED_VALUE"""),22.991780821917807)</f>
        <v>22.99178082</v>
      </c>
      <c r="D6" s="5" t="str">
        <f>IFERROR(__xludf.DUMMYFUNCTION("""COMPUTED_VALUE"""),"female")</f>
        <v>female</v>
      </c>
      <c r="E6" s="8">
        <f>IFERROR(__xludf.DUMMYFUNCTION("""COMPUTED_VALUE"""),42921.0)</f>
        <v>42921</v>
      </c>
      <c r="F6" s="5" t="str">
        <f>IFERROR(__xludf.DUMMYFUNCTION("""COMPUTED_VALUE"""),"Bo")</f>
        <v>Bo</v>
      </c>
      <c r="G6" s="5" t="str">
        <f>IFERROR(__xludf.DUMMYFUNCTION("""COMPUTED_VALUE"""),"Prozac, Clantan")</f>
        <v>Prozac, Clantan</v>
      </c>
      <c r="H6" s="5" t="str">
        <f>IFERROR(__xludf.DUMMYFUNCTION("""COMPUTED_VALUE"""),"none")</f>
        <v>none</v>
      </c>
      <c r="I6" s="5" t="str">
        <f>IFERROR(__xludf.DUMMYFUNCTION("""COMPUTED_VALUE"""),"participated in CLOUDS 2016. Mother will be attending appointment")</f>
        <v>participated in CLOUDS 2016. Mother will be attending appointment</v>
      </c>
      <c r="J6" s="5" t="str">
        <f>IFERROR(__xludf.DUMMYFUNCTION("""COMPUTED_VALUE"""),"Wednesday 7/26/17 @ 1pm")</f>
        <v>Wednesday 7/26/17 @ 1pm</v>
      </c>
      <c r="K6" s="5" t="str">
        <f>IFERROR(__xludf.DUMMYFUNCTION("""COMPUTED_VALUE"""),"Julia &amp; Bo")</f>
        <v>Julia &amp; Bo</v>
      </c>
      <c r="L6" s="5" t="str">
        <f>IFERROR(__xludf.DUMMYFUNCTION("""COMPUTED_VALUE"""),"subject's mom")</f>
        <v>subject's mom</v>
      </c>
      <c r="M6" s="5" t="str">
        <f>IFERROR(__xludf.DUMMYFUNCTION("""COMPUTED_VALUE"""),"Julia")</f>
        <v>Julia</v>
      </c>
      <c r="N6" s="8">
        <f>IFERROR(__xludf.DUMMYFUNCTION("""COMPUTED_VALUE"""),42942.0)</f>
        <v>42942</v>
      </c>
      <c r="O6" s="5">
        <f>IFERROR(__xludf.DUMMYFUNCTION("""COMPUTED_VALUE"""),116.0)</f>
        <v>116</v>
      </c>
      <c r="P6" s="5">
        <f>IFERROR(__xludf.DUMMYFUNCTION("""COMPUTED_VALUE"""),109.0)</f>
        <v>109</v>
      </c>
      <c r="Q6" s="5">
        <f>IFERROR(__xludf.DUMMYFUNCTION("""COMPUTED_VALUE"""),115.0)</f>
        <v>115</v>
      </c>
      <c r="R6" s="5">
        <f>IFERROR(__xludf.DUMMYFUNCTION("""COMPUTED_VALUE"""),108.0)</f>
        <v>108</v>
      </c>
      <c r="S6" s="8">
        <f>IFERROR(__xludf.DUMMYFUNCTION("""COMPUTED_VALUE"""),42942.0)</f>
        <v>42942</v>
      </c>
      <c r="T6" s="5">
        <f>IFERROR(__xludf.DUMMYFUNCTION("""COMPUTED_VALUE"""),50.0)</f>
        <v>50</v>
      </c>
      <c r="U6" s="5">
        <f>IFERROR(__xludf.DUMMYFUNCTION("""COMPUTED_VALUE"""),44.0)</f>
        <v>44</v>
      </c>
      <c r="V6" s="5">
        <f>IFERROR(__xludf.DUMMYFUNCTION("""COMPUTED_VALUE"""),42.0)</f>
        <v>42</v>
      </c>
      <c r="W6" s="5">
        <f>IFERROR(__xludf.DUMMYFUNCTION("""COMPUTED_VALUE"""),44.0)</f>
        <v>44</v>
      </c>
      <c r="X6" s="5">
        <f>IFERROR(__xludf.DUMMYFUNCTION("""COMPUTED_VALUE"""),64.0)</f>
        <v>64</v>
      </c>
      <c r="Y6" s="5">
        <f>IFERROR(__xludf.DUMMYFUNCTION("""COMPUTED_VALUE"""),58.0)</f>
        <v>58</v>
      </c>
      <c r="Z6" s="5">
        <f>IFERROR(__xludf.DUMMYFUNCTION("""COMPUTED_VALUE"""),48.0)</f>
        <v>48</v>
      </c>
      <c r="AA6" s="8">
        <f>IFERROR(__xludf.DUMMYFUNCTION("""COMPUTED_VALUE"""),42942.0)</f>
        <v>42942</v>
      </c>
      <c r="AB6" s="21">
        <f>IFERROR(__xludf.DUMMYFUNCTION("""COMPUTED_VALUE"""),1.0)</f>
        <v>1</v>
      </c>
      <c r="AC6" s="8">
        <f>IFERROR(__xludf.DUMMYFUNCTION("""COMPUTED_VALUE"""),42942.0)</f>
        <v>42942</v>
      </c>
      <c r="AD6" s="5" t="str">
        <f>IFERROR(__xludf.DUMMYFUNCTION("""COMPUTED_VALUE"""),"Left: 6KHz")</f>
        <v>Left: 6KHz</v>
      </c>
      <c r="AE6" s="5" t="str">
        <f>IFERROR(__xludf.DUMMYFUNCTION("""COMPUTED_VALUE"""),"n/a")</f>
        <v>n/a</v>
      </c>
      <c r="AF6" s="8">
        <f>IFERROR(__xludf.DUMMYFUNCTION("""COMPUTED_VALUE"""),42979.0)</f>
        <v>42979</v>
      </c>
      <c r="AG6" s="5" t="str">
        <f>IFERROR(__xludf.DUMMYFUNCTION("""COMPUTED_VALUE"""),"White")</f>
        <v>White</v>
      </c>
      <c r="AH6" s="5" t="str">
        <f>IFERROR(__xludf.DUMMYFUNCTION("""COMPUTED_VALUE"""),"clanipan/2-3 pills per day/ anxiety/ Nov 2011; prozac/3 pills per day/ anxiety/ Nov 2011")</f>
        <v>clanipan/2-3 pills per day/ anxiety/ Nov 2011; prozac/3 pills per day/ anxiety/ Nov 2011</v>
      </c>
      <c r="AI6" s="8">
        <f>IFERROR(__xludf.DUMMYFUNCTION("""COMPUTED_VALUE"""),42942.0)</f>
        <v>42942</v>
      </c>
      <c r="AJ6" s="5" t="str">
        <f>IFERROR(__xludf.DUMMYFUNCTION("""COMPUTED_VALUE"""),"none")</f>
        <v>none</v>
      </c>
      <c r="AK6" s="5" t="str">
        <f>IFERROR(__xludf.DUMMYFUNCTION("""COMPUTED_VALUE"""),"subject took extra long to fill out SRS-2 and MRI screening form. Appointment ran ~15min long.")</f>
        <v>subject took extra long to fill out SRS-2 and MRI screening form. Appointment ran ~15min long.</v>
      </c>
      <c r="AL6" s="5" t="str">
        <f>IFERROR(__xludf.DUMMYFUNCTION("""COMPUTED_VALUE"""),"Wednesday 8/9/17 @ 9:30am")</f>
        <v>Wednesday 8/9/17 @ 9:30am</v>
      </c>
      <c r="AM6" s="5" t="str">
        <f>IFERROR(__xludf.DUMMYFUNCTION("""COMPUTED_VALUE"""),"Julia &amp; Bo")</f>
        <v>Julia &amp; Bo</v>
      </c>
      <c r="AN6" s="5" t="str">
        <f>IFERROR(__xludf.DUMMYFUNCTION("""COMPUTED_VALUE"""),"subject's mom")</f>
        <v>subject's mom</v>
      </c>
      <c r="AO6" s="5" t="str">
        <f>IFERROR(__xludf.DUMMYFUNCTION("""COMPUTED_VALUE"""),"sub_nbwr007raw.fif")</f>
        <v>sub_nbwr007raw.fif</v>
      </c>
      <c r="AP6" s="5" t="str">
        <f>IFERROR(__xludf.DUMMYFUNCTION("""COMPUTED_VALUE"""),"yes")</f>
        <v>yes</v>
      </c>
      <c r="AQ6" s="5">
        <f>IFERROR(__xludf.DUMMYFUNCTION("""COMPUTED_VALUE"""),72.2)</f>
        <v>72.2</v>
      </c>
      <c r="AR6" s="5">
        <f>IFERROR(__xludf.DUMMYFUNCTION("""COMPUTED_VALUE"""),-70.4)</f>
        <v>-70.4</v>
      </c>
      <c r="AS6" s="5">
        <f>IFERROR(__xludf.DUMMYFUNCTION("""COMPUTED_VALUE"""),240.0)</f>
        <v>240</v>
      </c>
      <c r="AT6" s="5" t="str">
        <f>IFERROR(__xludf.DUMMYFUNCTION("""COMPUTED_VALUE"""),"Maggie and Myles")</f>
        <v>Maggie and Myles</v>
      </c>
      <c r="AU6" s="5" t="str">
        <f>IFERROR(__xludf.DUMMYFUNCTION("""COMPUTED_VALUE"""),"Kam out")</f>
        <v>Kam out</v>
      </c>
      <c r="AV6" s="5"/>
      <c r="AW6" s="5" t="str">
        <f>IFERROR(__xludf.DUMMYFUNCTION("""COMPUTED_VALUE"""),"1811, 2611,1743 (flat)")</f>
        <v>1811, 2611,1743 (flat)</v>
      </c>
      <c r="AX6" s="5" t="str">
        <f>IFERROR(__xludf.DUMMYFUNCTION("""COMPUTED_VALUE"""),"61/62")</f>
        <v>61/62</v>
      </c>
      <c r="AY6" s="5">
        <f>IFERROR(__xludf.DUMMYFUNCTION("""COMPUTED_VALUE"""),63.0)</f>
        <v>63</v>
      </c>
      <c r="AZ6" s="5" t="str">
        <f>IFERROR(__xludf.DUMMYFUNCTION("""COMPUTED_VALUE"""),"Kam out, but we called to get password, we gave instructions to push blue #1 button w/ left index finger. check button presses + triggers on Acq. stopped @ 6:10 because we realized button press wasn't plugged in, Told subject we did 1st half, and then we "&amp;"restarted w/ session 2")</f>
        <v>Kam out, but we called to get password, we gave instructions to push blue #1 button w/ left index finger. check button presses + triggers on Acq. stopped @ 6:10 because we realized button press wasn't plugged in, Told subject we did 1st half, and then we restarted w/ session 2</v>
      </c>
      <c r="BA6" s="5" t="str">
        <f>IFERROR(__xludf.DUMMYFUNCTION("""COMPUTED_VALUE"""),"Friday 9/1/17 @ 10am")</f>
        <v>Friday 9/1/17 @ 10am</v>
      </c>
      <c r="BB6" s="5" t="str">
        <f>IFERROR(__xludf.DUMMYFUNCTION("""COMPUTED_VALUE"""),"Bo")</f>
        <v>Bo</v>
      </c>
      <c r="BC6" s="5" t="str">
        <f>IFERROR(__xludf.DUMMYFUNCTION("""COMPUTED_VALUE"""),"Jeff, Todd, Kam")</f>
        <v>Jeff, Todd, Kam</v>
      </c>
      <c r="BD6" s="5" t="str">
        <f>IFERROR(__xludf.DUMMYFUNCTION("""COMPUTED_VALUE"""),"subject's mom dropped off @ I-LABS (went to Burke Museum)")</f>
        <v>subject's mom dropped off @ I-LABS (went to Burke Museum)</v>
      </c>
      <c r="BE6" s="5" t="str">
        <f>IFERROR(__xludf.DUMMYFUNCTION("""COMPUTED_VALUE"""),"sub-nbwr007")</f>
        <v>sub-nbwr007</v>
      </c>
      <c r="BF6" s="5" t="str">
        <f>IFERROR(__xludf.DUMMYFUNCTION("""COMPUTED_VALUE"""),"sub-nbwr007_phantom")</f>
        <v>sub-nbwr007_phantom</v>
      </c>
      <c r="BG6" s="22">
        <f>IFERROR(__xludf.DUMMYFUNCTION("""COMPUTED_VALUE"""),42948.0)</f>
        <v>42948</v>
      </c>
      <c r="BH6" s="13">
        <f>IFERROR(__xludf.DUMMYFUNCTION("""COMPUTED_VALUE"""),0.4791666666666667)</f>
        <v>0.4791666667</v>
      </c>
      <c r="BI6" s="5">
        <f>IFERROR(__xludf.DUMMYFUNCTION("""COMPUTED_VALUE"""),23.0)</f>
        <v>23</v>
      </c>
      <c r="BJ6" s="13">
        <f>IFERROR(__xludf.DUMMYFUNCTION("""COMPUTED_VALUE"""),0.5)</f>
        <v>0.5</v>
      </c>
      <c r="BK6" s="5">
        <f>IFERROR(__xludf.DUMMYFUNCTION("""COMPUTED_VALUE"""),23.2)</f>
        <v>23.2</v>
      </c>
      <c r="BL6" s="5" t="str">
        <f>IFERROR(__xludf.DUMMYFUNCTION("""COMPUTED_VALUE"""),"FWHM 16Hg, LT/18, BMIC staff doing M,FU, delayed 15 min")</f>
        <v>FWHM 16Hg, LT/18, BMIC staff doing M,FU, delayed 15 min</v>
      </c>
      <c r="BM6" s="5" t="str">
        <f>IFERROR(__xludf.DUMMYFUNCTION("""COMPUTED_VALUE"""),"sub-nbwr007")</f>
        <v>sub-nbwr007</v>
      </c>
      <c r="BN6" s="8">
        <f>IFERROR(__xludf.DUMMYFUNCTION("""COMPUTED_VALUE"""),42942.0)</f>
        <v>42942</v>
      </c>
      <c r="BO6" s="8">
        <f>IFERROR(__xludf.DUMMYFUNCTION("""COMPUTED_VALUE"""),42956.0)</f>
        <v>42956</v>
      </c>
      <c r="BP6" s="8">
        <f>IFERROR(__xludf.DUMMYFUNCTION("""COMPUTED_VALUE"""),42979.0)</f>
        <v>42979</v>
      </c>
      <c r="BQ6" s="10"/>
      <c r="BR6" s="10"/>
      <c r="BS6" s="10"/>
      <c r="BT6" s="10"/>
      <c r="BU6" s="10"/>
      <c r="BV6" s="10"/>
      <c r="BW6" s="10"/>
      <c r="BX6" s="10"/>
      <c r="BY6" s="10"/>
      <c r="BZ6" s="10"/>
    </row>
    <row r="7">
      <c r="A7" s="11" t="str">
        <f>IFERROR(__xludf.DUMMYFUNCTION("""COMPUTED_VALUE"""),"GABA_107")</f>
        <v>GABA_107</v>
      </c>
      <c r="B7" s="8">
        <f>IFERROR(__xludf.DUMMYFUNCTION("""COMPUTED_VALUE"""),34781.0)</f>
        <v>34781</v>
      </c>
      <c r="C7" s="7">
        <f>IFERROR(__xludf.DUMMYFUNCTION("""COMPUTED_VALUE"""),22.383561643835616)</f>
        <v>22.38356164</v>
      </c>
      <c r="D7" s="5" t="str">
        <f>IFERROR(__xludf.DUMMYFUNCTION("""COMPUTED_VALUE"""),"female")</f>
        <v>female</v>
      </c>
      <c r="E7" s="8">
        <f>IFERROR(__xludf.DUMMYFUNCTION("""COMPUTED_VALUE"""),42942.0)</f>
        <v>42942</v>
      </c>
      <c r="F7" s="5" t="str">
        <f>IFERROR(__xludf.DUMMYFUNCTION("""COMPUTED_VALUE"""),"Bo")</f>
        <v>Bo</v>
      </c>
      <c r="G7" s="5" t="str">
        <f>IFERROR(__xludf.DUMMYFUNCTION("""COMPUTED_VALUE"""),"none (antibiotic for athlete's foot)")</f>
        <v>none (antibiotic for athlete's foot)</v>
      </c>
      <c r="H7" s="5" t="str">
        <f>IFERROR(__xludf.DUMMYFUNCTION("""COMPUTED_VALUE"""),"$30 (gas)
$20 (toll)")</f>
        <v>$30 (gas)
$20 (toll)</v>
      </c>
      <c r="I7" s="5" t="str">
        <f>IFERROR(__xludf.DUMMYFUNCTION("""COMPUTED_VALUE"""),"test metal in mouth at 1st appointment")</f>
        <v>test metal in mouth at 1st appointment</v>
      </c>
      <c r="J7" s="5" t="str">
        <f>IFERROR(__xludf.DUMMYFUNCTION("""COMPUTED_VALUE"""),"Friday 8/4/17 @ 1pm")</f>
        <v>Friday 8/4/17 @ 1pm</v>
      </c>
      <c r="K7" s="5" t="str">
        <f>IFERROR(__xludf.DUMMYFUNCTION("""COMPUTED_VALUE"""),"Julia &amp; Bo")</f>
        <v>Julia &amp; Bo</v>
      </c>
      <c r="L7" s="5" t="str">
        <f>IFERROR(__xludf.DUMMYFUNCTION("""COMPUTED_VALUE"""),"subject's mom")</f>
        <v>subject's mom</v>
      </c>
      <c r="M7" s="5" t="str">
        <f>IFERROR(__xludf.DUMMYFUNCTION("""COMPUTED_VALUE"""),"Julia")</f>
        <v>Julia</v>
      </c>
      <c r="N7" s="8">
        <f>IFERROR(__xludf.DUMMYFUNCTION("""COMPUTED_VALUE"""),42951.0)</f>
        <v>42951</v>
      </c>
      <c r="O7" s="5">
        <f>IFERROR(__xludf.DUMMYFUNCTION("""COMPUTED_VALUE"""),96.0)</f>
        <v>96</v>
      </c>
      <c r="P7" s="5">
        <f>IFERROR(__xludf.DUMMYFUNCTION("""COMPUTED_VALUE"""),94.0)</f>
        <v>94</v>
      </c>
      <c r="Q7" s="5">
        <f>IFERROR(__xludf.DUMMYFUNCTION("""COMPUTED_VALUE"""),94.0)</f>
        <v>94</v>
      </c>
      <c r="R7" s="5">
        <f>IFERROR(__xludf.DUMMYFUNCTION("""COMPUTED_VALUE"""),96.0)</f>
        <v>96</v>
      </c>
      <c r="S7" s="8">
        <f>IFERROR(__xludf.DUMMYFUNCTION("""COMPUTED_VALUE"""),42951.0)</f>
        <v>42951</v>
      </c>
      <c r="T7" s="5">
        <f>IFERROR(__xludf.DUMMYFUNCTION("""COMPUTED_VALUE"""),63.0)</f>
        <v>63</v>
      </c>
      <c r="U7" s="5">
        <f>IFERROR(__xludf.DUMMYFUNCTION("""COMPUTED_VALUE"""),55.0)</f>
        <v>55</v>
      </c>
      <c r="V7" s="5">
        <f>IFERROR(__xludf.DUMMYFUNCTION("""COMPUTED_VALUE"""),62.0)</f>
        <v>62</v>
      </c>
      <c r="W7" s="5">
        <f>IFERROR(__xludf.DUMMYFUNCTION("""COMPUTED_VALUE"""),63.0)</f>
        <v>63</v>
      </c>
      <c r="X7" s="5">
        <f>IFERROR(__xludf.DUMMYFUNCTION("""COMPUTED_VALUE"""),66.0)</f>
        <v>66</v>
      </c>
      <c r="Y7" s="5">
        <f>IFERROR(__xludf.DUMMYFUNCTION("""COMPUTED_VALUE"""),58.0)</f>
        <v>58</v>
      </c>
      <c r="Z7" s="5">
        <f>IFERROR(__xludf.DUMMYFUNCTION("""COMPUTED_VALUE"""),63.0)</f>
        <v>63</v>
      </c>
      <c r="AA7" s="8">
        <f>IFERROR(__xludf.DUMMYFUNCTION("""COMPUTED_VALUE"""),42951.0)</f>
        <v>42951</v>
      </c>
      <c r="AB7" s="23">
        <f>IFERROR(__xludf.DUMMYFUNCTION("""COMPUTED_VALUE"""),0.818)</f>
        <v>0.818</v>
      </c>
      <c r="AC7" s="8">
        <f>IFERROR(__xludf.DUMMYFUNCTION("""COMPUTED_VALUE"""),42951.0)</f>
        <v>42951</v>
      </c>
      <c r="AD7" s="5" t="str">
        <f>IFERROR(__xludf.DUMMYFUNCTION("""COMPUTED_VALUE"""),"Right: 500Hz")</f>
        <v>Right: 500Hz</v>
      </c>
      <c r="AE7" s="5" t="str">
        <f>IFERROR(__xludf.DUMMYFUNCTION("""COMPUTED_VALUE"""),"E765NY (17319558)")</f>
        <v>E765NY (17319558)</v>
      </c>
      <c r="AF7" s="8">
        <f>IFERROR(__xludf.DUMMYFUNCTION("""COMPUTED_VALUE"""),43054.0)</f>
        <v>43054</v>
      </c>
      <c r="AG7" s="5" t="str">
        <f>IFERROR(__xludf.DUMMYFUNCTION("""COMPUTED_VALUE"""),"White")</f>
        <v>White</v>
      </c>
      <c r="AH7" s="5"/>
      <c r="AI7" s="8">
        <f>IFERROR(__xludf.DUMMYFUNCTION("""COMPUTED_VALUE"""),42951.0)</f>
        <v>42951</v>
      </c>
      <c r="AJ7" s="5" t="str">
        <f>IFERROR(__xludf.DUMMYFUNCTION("""COMPUTED_VALUE"""),"4 titanium plates in front of mouth")</f>
        <v>4 titanium plates in front of mouth</v>
      </c>
      <c r="AK7" s="5" t="str">
        <f>IFERROR(__xludf.DUMMYFUNCTION("""COMPUTED_VALUE"""),"tested in MEG, okay to proceed, mom asked about company that helps people with disabilities find jobs and for gas money reimbursement (will give $15 each appt)")</f>
        <v>tested in MEG, okay to proceed, mom asked about company that helps people with disabilities find jobs and for gas money reimbursement (will give $15 each appt)</v>
      </c>
      <c r="AL7" s="5" t="str">
        <f>IFERROR(__xludf.DUMMYFUNCTION("""COMPUTED_VALUE"""),"Monday 8/14/17 @ 10am")</f>
        <v>Monday 8/14/17 @ 10am</v>
      </c>
      <c r="AM7" s="5" t="str">
        <f>IFERROR(__xludf.DUMMYFUNCTION("""COMPUTED_VALUE"""),"Bo")</f>
        <v>Bo</v>
      </c>
      <c r="AN7" s="5" t="str">
        <f>IFERROR(__xludf.DUMMYFUNCTION("""COMPUTED_VALUE"""),"subject's mom (stayed in lobby)")</f>
        <v>subject's mom (stayed in lobby)</v>
      </c>
      <c r="AO7" s="5" t="str">
        <f>IFERROR(__xludf.DUMMYFUNCTION("""COMPUTED_VALUE"""),"sub-nbwr107_ses001_tas_lexicaldecision_run_01_meg_raw.fif")</f>
        <v>sub-nbwr107_ses001_tas_lexicaldecision_run_01_meg_raw.fif</v>
      </c>
      <c r="AP7" s="5" t="str">
        <f>IFERROR(__xludf.DUMMYFUNCTION("""COMPUTED_VALUE"""),"yes")</f>
        <v>yes</v>
      </c>
      <c r="AQ7" s="5">
        <f>IFERROR(__xludf.DUMMYFUNCTION("""COMPUTED_VALUE"""),73.3)</f>
        <v>73.3</v>
      </c>
      <c r="AR7" s="5">
        <f>IFERROR(__xludf.DUMMYFUNCTION("""COMPUTED_VALUE"""),-72.8)</f>
        <v>-72.8</v>
      </c>
      <c r="AS7" s="5">
        <f>IFERROR(__xludf.DUMMYFUNCTION("""COMPUTED_VALUE"""),240.0)</f>
        <v>240</v>
      </c>
      <c r="AT7" s="5" t="str">
        <f>IFERROR(__xludf.DUMMYFUNCTION("""COMPUTED_VALUE"""),"Maggie")</f>
        <v>Maggie</v>
      </c>
      <c r="AU7" s="5" t="str">
        <f>IFERROR(__xludf.DUMMYFUNCTION("""COMPUTED_VALUE"""),"Kam")</f>
        <v>Kam</v>
      </c>
      <c r="AV7" s="5" t="str">
        <f>IFERROR(__xludf.DUMMYFUNCTION("""COMPUTED_VALUE"""),"yes")</f>
        <v>yes</v>
      </c>
      <c r="AW7" s="5" t="str">
        <f>IFERROR(__xludf.DUMMYFUNCTION("""COMPUTED_VALUE"""),"1811, 1743 (flat)")</f>
        <v>1811, 1743 (flat)</v>
      </c>
      <c r="AX7" s="5" t="str">
        <f>IFERROR(__xludf.DUMMYFUNCTION("""COMPUTED_VALUE"""),"61/62")</f>
        <v>61/62</v>
      </c>
      <c r="AY7" s="5">
        <f>IFERROR(__xludf.DUMMYFUNCTION("""COMPUTED_VALUE"""),63.0)</f>
        <v>63</v>
      </c>
      <c r="AZ7" s="5" t="str">
        <f>IFERROR(__xludf.DUMMYFUNCTION("""COMPUTED_VALUE"""),"triggers+buttons seen on Acq, EOG=good, ECF=weak (re-did), mom asked for toll reimbursement for both appointments")</f>
        <v>triggers+buttons seen on Acq, EOG=good, ECF=weak (re-did), mom asked for toll reimbursement for both appointments</v>
      </c>
      <c r="BA7" s="5" t="str">
        <f>IFERROR(__xludf.DUMMYFUNCTION("""COMPUTED_VALUE"""),"Monday 8/14/17 @ 1pm")</f>
        <v>Monday 8/14/17 @ 1pm</v>
      </c>
      <c r="BB7" s="5" t="str">
        <f>IFERROR(__xludf.DUMMYFUNCTION("""COMPUTED_VALUE"""),"Bo")</f>
        <v>Bo</v>
      </c>
      <c r="BC7" s="5" t="str">
        <f>IFERROR(__xludf.DUMMYFUNCTION("""COMPUTED_VALUE"""),"Jeff, Kam, Todd (later)")</f>
        <v>Jeff, Kam, Todd (later)</v>
      </c>
      <c r="BD7" s="5" t="str">
        <f>IFERROR(__xludf.DUMMYFUNCTION("""COMPUTED_VALUE"""),"subject's mom (stayed upstairs)")</f>
        <v>subject's mom (stayed upstairs)</v>
      </c>
      <c r="BE7" s="5" t="str">
        <f>IFERROR(__xludf.DUMMYFUNCTION("""COMPUTED_VALUE"""),"sub-nbwr107")</f>
        <v>sub-nbwr107</v>
      </c>
      <c r="BF7" s="5" t="str">
        <f>IFERROR(__xludf.DUMMYFUNCTION("""COMPUTED_VALUE"""),"sub_nbwr107_phantom")</f>
        <v>sub_nbwr107_phantom</v>
      </c>
      <c r="BG7" s="5" t="str">
        <f>IFERROR(__xludf.DUMMYFUNCTION("""COMPUTED_VALUE"""),"8/11/17 @12:00 pm")</f>
        <v>8/11/17 @12:00 pm</v>
      </c>
      <c r="BH7" s="13">
        <f>IFERROR(__xludf.DUMMYFUNCTION("""COMPUTED_VALUE"""),0.5104166666666666)</f>
        <v>0.5104166667</v>
      </c>
      <c r="BI7" s="5">
        <f>IFERROR(__xludf.DUMMYFUNCTION("""COMPUTED_VALUE"""),22.8)</f>
        <v>22.8</v>
      </c>
      <c r="BJ7" s="12">
        <f>IFERROR(__xludf.DUMMYFUNCTION("""COMPUTED_VALUE"""),0.5416666666666666)</f>
        <v>0.5416666667</v>
      </c>
      <c r="BK7" s="5">
        <f>IFERROR(__xludf.DUMMYFUNCTION("""COMPUTED_VALUE"""),23.1)</f>
        <v>23.1</v>
      </c>
      <c r="BL7" s="5" t="str">
        <f>IFERROR(__xludf.DUMMYFUNCTION("""COMPUTED_VALUE"""),"Todd unavailable for first part of scan (conflicting scan at DISC begins at 12:15pm). LT FWHM=17Mg, RT FWHM=14Hg. subject had to come out, pony tail bunched up under head. Motion on DTI, repeat DTI, much better IQ.")</f>
        <v>Todd unavailable for first part of scan (conflicting scan at DISC begins at 12:15pm). LT FWHM=17Mg, RT FWHM=14Hg. subject had to come out, pony tail bunched up under head. Motion on DTI, repeat DTI, much better IQ.</v>
      </c>
      <c r="BM7" s="5" t="str">
        <f>IFERROR(__xludf.DUMMYFUNCTION("""COMPUTED_VALUE"""),"sub-nbwr107")</f>
        <v>sub-nbwr107</v>
      </c>
      <c r="BN7" s="8">
        <f>IFERROR(__xludf.DUMMYFUNCTION("""COMPUTED_VALUE"""),42951.0)</f>
        <v>42951</v>
      </c>
      <c r="BO7" s="8">
        <f>IFERROR(__xludf.DUMMYFUNCTION("""COMPUTED_VALUE"""),42961.0)</f>
        <v>42961</v>
      </c>
      <c r="BP7" s="8">
        <f>IFERROR(__xludf.DUMMYFUNCTION("""COMPUTED_VALUE"""),43056.0)</f>
        <v>43056</v>
      </c>
      <c r="BQ7" s="10"/>
      <c r="BR7" s="10"/>
      <c r="BS7" s="10"/>
      <c r="BT7" s="10"/>
      <c r="BU7" s="10"/>
      <c r="BV7" s="10"/>
      <c r="BW7" s="10"/>
      <c r="BX7" s="10"/>
      <c r="BY7" s="10"/>
      <c r="BZ7" s="10"/>
    </row>
    <row r="8">
      <c r="A8" s="11" t="str">
        <f>IFERROR(__xludf.DUMMYFUNCTION("""COMPUTED_VALUE"""),"GABA_080")</f>
        <v>GABA_080</v>
      </c>
      <c r="B8" s="8">
        <f>IFERROR(__xludf.DUMMYFUNCTION("""COMPUTED_VALUE"""),34909.0)</f>
        <v>34909</v>
      </c>
      <c r="C8" s="7">
        <f>IFERROR(__xludf.DUMMYFUNCTION("""COMPUTED_VALUE"""),22.046575342465754)</f>
        <v>22.04657534</v>
      </c>
      <c r="D8" s="5" t="str">
        <f>IFERROR(__xludf.DUMMYFUNCTION("""COMPUTED_VALUE"""),"female")</f>
        <v>female</v>
      </c>
      <c r="E8" s="8">
        <f>IFERROR(__xludf.DUMMYFUNCTION("""COMPUTED_VALUE"""),42923.0)</f>
        <v>42923</v>
      </c>
      <c r="F8" s="5" t="str">
        <f>IFERROR(__xludf.DUMMYFUNCTION("""COMPUTED_VALUE"""),"Bo")</f>
        <v>Bo</v>
      </c>
      <c r="G8" s="5" t="str">
        <f>IFERROR(__xludf.DUMMYFUNCTION("""COMPUTED_VALUE"""),"citallpran")</f>
        <v>citallpran</v>
      </c>
      <c r="H8" s="5" t="str">
        <f>IFERROR(__xludf.DUMMYFUNCTION("""COMPUTED_VALUE"""),"none")</f>
        <v>none</v>
      </c>
      <c r="I8" s="5" t="str">
        <f>IFERROR(__xludf.DUMMYFUNCTION("""COMPUTED_VALUE"""),"participated in CLOUDS 2016 ")</f>
        <v>participated in CLOUDS 2016 </v>
      </c>
      <c r="J8" s="5" t="str">
        <f>IFERROR(__xludf.DUMMYFUNCTION("""COMPUTED_VALUE"""),"Wednesday 8/9/17 @ 11am")</f>
        <v>Wednesday 8/9/17 @ 11am</v>
      </c>
      <c r="K8" s="5" t="str">
        <f>IFERROR(__xludf.DUMMYFUNCTION("""COMPUTED_VALUE"""),"Julia &amp; Bo")</f>
        <v>Julia &amp; Bo</v>
      </c>
      <c r="L8" s="5" t="str">
        <f>IFERROR(__xludf.DUMMYFUNCTION("""COMPUTED_VALUE"""),"none")</f>
        <v>none</v>
      </c>
      <c r="M8" s="5" t="str">
        <f>IFERROR(__xludf.DUMMYFUNCTION("""COMPUTED_VALUE"""),"Julia")</f>
        <v>Julia</v>
      </c>
      <c r="N8" s="8">
        <f>IFERROR(__xludf.DUMMYFUNCTION("""COMPUTED_VALUE"""),42956.0)</f>
        <v>42956</v>
      </c>
      <c r="O8" s="5">
        <f>IFERROR(__xludf.DUMMYFUNCTION("""COMPUTED_VALUE"""),113.0)</f>
        <v>113</v>
      </c>
      <c r="P8" s="5">
        <f>IFERROR(__xludf.DUMMYFUNCTION("""COMPUTED_VALUE"""),92.0)</f>
        <v>92</v>
      </c>
      <c r="Q8" s="5">
        <f>IFERROR(__xludf.DUMMYFUNCTION("""COMPUTED_VALUE"""),103.0)</f>
        <v>103</v>
      </c>
      <c r="R8" s="5">
        <f>IFERROR(__xludf.DUMMYFUNCTION("""COMPUTED_VALUE"""),102.0)</f>
        <v>102</v>
      </c>
      <c r="S8" s="8">
        <f>IFERROR(__xludf.DUMMYFUNCTION("""COMPUTED_VALUE"""),42956.0)</f>
        <v>42956</v>
      </c>
      <c r="T8" s="5">
        <f>IFERROR(__xludf.DUMMYFUNCTION("""COMPUTED_VALUE"""),64.0)</f>
        <v>64</v>
      </c>
      <c r="U8" s="5">
        <f>IFERROR(__xludf.DUMMYFUNCTION("""COMPUTED_VALUE"""),55.0)</f>
        <v>55</v>
      </c>
      <c r="V8" s="5">
        <f>IFERROR(__xludf.DUMMYFUNCTION("""COMPUTED_VALUE"""),60.0)</f>
        <v>60</v>
      </c>
      <c r="W8" s="5">
        <f>IFERROR(__xludf.DUMMYFUNCTION("""COMPUTED_VALUE"""),65.0)</f>
        <v>65</v>
      </c>
      <c r="X8" s="5">
        <f>IFERROR(__xludf.DUMMYFUNCTION("""COMPUTED_VALUE"""),67.0)</f>
        <v>67</v>
      </c>
      <c r="Y8" s="5">
        <f>IFERROR(__xludf.DUMMYFUNCTION("""COMPUTED_VALUE"""),65.0)</f>
        <v>65</v>
      </c>
      <c r="Z8" s="5">
        <f>IFERROR(__xludf.DUMMYFUNCTION("""COMPUTED_VALUE"""),63.0)</f>
        <v>63</v>
      </c>
      <c r="AA8" s="8">
        <f>IFERROR(__xludf.DUMMYFUNCTION("""COMPUTED_VALUE"""),42956.0)</f>
        <v>42956</v>
      </c>
      <c r="AB8" s="5" t="str">
        <f>IFERROR(__xludf.DUMMYFUNCTION("""COMPUTED_VALUE"""),"95.5.%")</f>
        <v>95.5.%</v>
      </c>
      <c r="AC8" s="8">
        <f>IFERROR(__xludf.DUMMYFUNCTION("""COMPUTED_VALUE"""),42956.0)</f>
        <v>42956</v>
      </c>
      <c r="AD8" s="5" t="str">
        <f>IFERROR(__xludf.DUMMYFUNCTION("""COMPUTED_VALUE"""),"no loss")</f>
        <v>no loss</v>
      </c>
      <c r="AE8" s="5" t="str">
        <f>IFERROR(__xludf.DUMMYFUNCTION("""COMPUTED_VALUE"""),"n/a")</f>
        <v>n/a</v>
      </c>
      <c r="AF8" s="5"/>
      <c r="AG8" s="5" t="str">
        <f>IFERROR(__xludf.DUMMYFUNCTION("""COMPUTED_VALUE"""),"n/a")</f>
        <v>n/a</v>
      </c>
      <c r="AH8" s="5"/>
      <c r="AI8" s="8">
        <f>IFERROR(__xludf.DUMMYFUNCTION("""COMPUTED_VALUE"""),42956.0)</f>
        <v>42956</v>
      </c>
      <c r="AJ8" s="5" t="str">
        <f>IFERROR(__xludf.DUMMYFUNCTION("""COMPUTED_VALUE"""),"small permanent retainer")</f>
        <v>small permanent retainer</v>
      </c>
      <c r="AK8" s="5" t="str">
        <f>IFERROR(__xludf.DUMMYFUNCTION("""COMPUTED_VALUE"""),"did not test MEG for permanent retainer (completed MEG and MRI in past with the permanent retainer)")</f>
        <v>did not test MEG for permanent retainer (completed MEG and MRI in past with the permanent retainer)</v>
      </c>
      <c r="AL8" s="5"/>
      <c r="AM8" s="5"/>
      <c r="AN8" s="5"/>
      <c r="AO8" s="5"/>
      <c r="AP8" s="5"/>
      <c r="AQ8" s="5"/>
      <c r="AR8" s="5"/>
      <c r="AS8" s="5"/>
      <c r="AT8" s="5"/>
      <c r="AU8" s="5"/>
      <c r="AV8" s="5"/>
      <c r="AW8" s="5"/>
      <c r="AX8" s="5"/>
      <c r="AY8" s="5"/>
      <c r="AZ8" s="5" t="str">
        <f>IFERROR(__xludf.DUMMYFUNCTION("""COMPUTED_VALUE"""),"Subject emailed 8/10/17, going back to school in Chicago for school newspaper job (will be back in Seattle around mid December). TRY TO RECONTACT EARLY DECEMBER 2017")</f>
        <v>Subject emailed 8/10/17, going back to school in Chicago for school newspaper job (will be back in Seattle around mid December). TRY TO RECONTACT EARLY DECEMBER 2017</v>
      </c>
      <c r="BA8" s="5"/>
      <c r="BB8" s="5"/>
      <c r="BC8" s="5"/>
      <c r="BD8" s="5"/>
      <c r="BE8" s="5"/>
      <c r="BF8" s="5"/>
      <c r="BG8" s="5"/>
      <c r="BH8" s="5"/>
      <c r="BI8" s="5"/>
      <c r="BJ8" s="5"/>
      <c r="BK8" s="5"/>
      <c r="BL8" s="5"/>
      <c r="BM8" s="5"/>
      <c r="BN8" s="8">
        <f>IFERROR(__xludf.DUMMYFUNCTION("""COMPUTED_VALUE"""),42956.0)</f>
        <v>42956</v>
      </c>
      <c r="BO8" s="5"/>
      <c r="BP8" s="5"/>
      <c r="BQ8" s="10"/>
      <c r="BR8" s="10"/>
      <c r="BS8" s="10"/>
      <c r="BT8" s="10"/>
      <c r="BU8" s="10"/>
      <c r="BV8" s="10"/>
      <c r="BW8" s="10"/>
      <c r="BX8" s="10"/>
      <c r="BY8" s="10"/>
      <c r="BZ8" s="10"/>
    </row>
    <row r="9">
      <c r="A9" s="24" t="str">
        <f>IFERROR(__xludf.DUMMYFUNCTION("""COMPUTED_VALUE"""),"GABA_307")</f>
        <v>GABA_307</v>
      </c>
      <c r="B9" s="6">
        <f>IFERROR(__xludf.DUMMYFUNCTION("""COMPUTED_VALUE"""),34452.0)</f>
        <v>34452</v>
      </c>
      <c r="C9" s="7">
        <f>IFERROR(__xludf.DUMMYFUNCTION("""COMPUTED_VALUE"""),23.304109589041097)</f>
        <v>23.30410959</v>
      </c>
      <c r="D9" s="5" t="str">
        <f>IFERROR(__xludf.DUMMYFUNCTION("""COMPUTED_VALUE"""),"male")</f>
        <v>male</v>
      </c>
      <c r="E9" s="8">
        <f>IFERROR(__xludf.DUMMYFUNCTION("""COMPUTED_VALUE"""),42950.0)</f>
        <v>42950</v>
      </c>
      <c r="F9" s="5" t="str">
        <f>IFERROR(__xludf.DUMMYFUNCTION("""COMPUTED_VALUE"""),"Bo")</f>
        <v>Bo</v>
      </c>
      <c r="G9" s="5" t="str">
        <f>IFERROR(__xludf.DUMMYFUNCTION("""COMPUTED_VALUE"""),"none")</f>
        <v>none</v>
      </c>
      <c r="H9" s="5" t="str">
        <f>IFERROR(__xludf.DUMMYFUNCTION("""COMPUTED_VALUE"""),"none")</f>
        <v>none</v>
      </c>
      <c r="I9" s="5" t="str">
        <f>IFERROR(__xludf.DUMMYFUNCTION("""COMPUTED_VALUE"""),"disq from CLOUDS (hearing screening)")</f>
        <v>disq from CLOUDS (hearing screening)</v>
      </c>
      <c r="J9" s="5" t="str">
        <f>IFERROR(__xludf.DUMMYFUNCTION("""COMPUTED_VALUE"""),"Friday 8/11/17 @ 10am")</f>
        <v>Friday 8/11/17 @ 10am</v>
      </c>
      <c r="K9" s="5" t="str">
        <f>IFERROR(__xludf.DUMMYFUNCTION("""COMPUTED_VALUE"""),"Julia &amp; Bo")</f>
        <v>Julia &amp; Bo</v>
      </c>
      <c r="L9" s="5" t="str">
        <f>IFERROR(__xludf.DUMMYFUNCTION("""COMPUTED_VALUE"""),"subject's mom")</f>
        <v>subject's mom</v>
      </c>
      <c r="M9" s="5" t="str">
        <f>IFERROR(__xludf.DUMMYFUNCTION("""COMPUTED_VALUE"""),"Julia")</f>
        <v>Julia</v>
      </c>
      <c r="N9" s="8">
        <f>IFERROR(__xludf.DUMMYFUNCTION("""COMPUTED_VALUE"""),42958.0)</f>
        <v>42958</v>
      </c>
      <c r="O9" s="5">
        <f>IFERROR(__xludf.DUMMYFUNCTION("""COMPUTED_VALUE"""),96.0)</f>
        <v>96</v>
      </c>
      <c r="P9" s="5">
        <f>IFERROR(__xludf.DUMMYFUNCTION("""COMPUTED_VALUE"""),100.0)</f>
        <v>100</v>
      </c>
      <c r="Q9" s="5">
        <f>IFERROR(__xludf.DUMMYFUNCTION("""COMPUTED_VALUE"""),98.0)</f>
        <v>98</v>
      </c>
      <c r="R9" s="5">
        <f>IFERROR(__xludf.DUMMYFUNCTION("""COMPUTED_VALUE"""),96.0)</f>
        <v>96</v>
      </c>
      <c r="S9" s="8">
        <f>IFERROR(__xludf.DUMMYFUNCTION("""COMPUTED_VALUE"""),42958.0)</f>
        <v>42958</v>
      </c>
      <c r="T9" s="5">
        <f>IFERROR(__xludf.DUMMYFUNCTION("""COMPUTED_VALUE"""),44.0)</f>
        <v>44</v>
      </c>
      <c r="U9" s="5">
        <f>IFERROR(__xludf.DUMMYFUNCTION("""COMPUTED_VALUE"""),41.0)</f>
        <v>41</v>
      </c>
      <c r="V9" s="5">
        <f>IFERROR(__xludf.DUMMYFUNCTION("""COMPUTED_VALUE"""),42.0)</f>
        <v>42</v>
      </c>
      <c r="W9" s="5">
        <f>IFERROR(__xludf.DUMMYFUNCTION("""COMPUTED_VALUE"""),40.0)</f>
        <v>40</v>
      </c>
      <c r="X9" s="5">
        <f>IFERROR(__xludf.DUMMYFUNCTION("""COMPUTED_VALUE"""),54.0)</f>
        <v>54</v>
      </c>
      <c r="Y9" s="5">
        <f>IFERROR(__xludf.DUMMYFUNCTION("""COMPUTED_VALUE"""),45.0)</f>
        <v>45</v>
      </c>
      <c r="Z9" s="5">
        <f>IFERROR(__xludf.DUMMYFUNCTION("""COMPUTED_VALUE"""),43.0)</f>
        <v>43</v>
      </c>
      <c r="AA9" s="8">
        <f>IFERROR(__xludf.DUMMYFUNCTION("""COMPUTED_VALUE"""),42958.0)</f>
        <v>42958</v>
      </c>
      <c r="AB9" s="21">
        <f>IFERROR(__xludf.DUMMYFUNCTION("""COMPUTED_VALUE"""),1.0)</f>
        <v>1</v>
      </c>
      <c r="AC9" s="8">
        <f>IFERROR(__xludf.DUMMYFUNCTION("""COMPUTED_VALUE"""),42958.0)</f>
        <v>42958</v>
      </c>
      <c r="AD9" s="5" t="str">
        <f>IFERROR(__xludf.DUMMYFUNCTION("""COMPUTED_VALUE"""),"would say right side on some left side frequencies")</f>
        <v>would say right side on some left side frequencies</v>
      </c>
      <c r="AE9" s="5" t="str">
        <f>IFERROR(__xludf.DUMMYFUNCTION("""COMPUTED_VALUE"""),"n/a")</f>
        <v>n/a</v>
      </c>
      <c r="AF9" s="8">
        <f>IFERROR(__xludf.DUMMYFUNCTION("""COMPUTED_VALUE"""),42977.0)</f>
        <v>42977</v>
      </c>
      <c r="AG9" s="5" t="str">
        <f>IFERROR(__xludf.DUMMYFUNCTION("""COMPUTED_VALUE"""),"White")</f>
        <v>White</v>
      </c>
      <c r="AH9" s="5" t="str">
        <f>IFERROR(__xludf.DUMMYFUNCTION("""COMPUTED_VALUE"""),"none")</f>
        <v>none</v>
      </c>
      <c r="AI9" s="8">
        <f>IFERROR(__xludf.DUMMYFUNCTION("""COMPUTED_VALUE"""),42958.0)</f>
        <v>42958</v>
      </c>
      <c r="AJ9" s="5" t="str">
        <f>IFERROR(__xludf.DUMMYFUNCTION("""COMPUTED_VALUE"""),"none")</f>
        <v>none</v>
      </c>
      <c r="AK9" s="5" t="str">
        <f>IFERROR(__xludf.DUMMYFUNCTION("""COMPUTED_VALUE"""),"gave a pack of LILO goldfish at the end, subject will call to schedule MEG (left message saturday afternoon to confirm scheduling)")</f>
        <v>gave a pack of LILO goldfish at the end, subject will call to schedule MEG (left message saturday afternoon to confirm scheduling)</v>
      </c>
      <c r="AL9" s="5" t="str">
        <f>IFERROR(__xludf.DUMMYFUNCTION("""COMPUTED_VALUE"""),"Tuesday 8/15/17 @ 10am")</f>
        <v>Tuesday 8/15/17 @ 10am</v>
      </c>
      <c r="AM9" s="5" t="str">
        <f>IFERROR(__xludf.DUMMYFUNCTION("""COMPUTED_VALUE"""),"Bo")</f>
        <v>Bo</v>
      </c>
      <c r="AN9" s="5" t="str">
        <f>IFERROR(__xludf.DUMMYFUNCTION("""COMPUTED_VALUE"""),"subject's dad (stayed in lobby)")</f>
        <v>subject's dad (stayed in lobby)</v>
      </c>
      <c r="AO9" s="5" t="str">
        <f>IFERROR(__xludf.DUMMYFUNCTION("""COMPUTED_VALUE"""),"sub-nbwr")</f>
        <v>sub-nbwr</v>
      </c>
      <c r="AP9" s="5" t="str">
        <f>IFERROR(__xludf.DUMMYFUNCTION("""COMPUTED_VALUE"""),"yes")</f>
        <v>yes</v>
      </c>
      <c r="AQ9" s="5">
        <f>IFERROR(__xludf.DUMMYFUNCTION("""COMPUTED_VALUE"""),73.2)</f>
        <v>73.2</v>
      </c>
      <c r="AR9" s="5">
        <f>IFERROR(__xludf.DUMMYFUNCTION("""COMPUTED_VALUE"""),-68.8)</f>
        <v>-68.8</v>
      </c>
      <c r="AS9" s="5">
        <f>IFERROR(__xludf.DUMMYFUNCTION("""COMPUTED_VALUE"""),240.0)</f>
        <v>240</v>
      </c>
      <c r="AT9" s="5" t="str">
        <f>IFERROR(__xludf.DUMMYFUNCTION("""COMPUTED_VALUE"""),"Maggie")</f>
        <v>Maggie</v>
      </c>
      <c r="AU9" s="5" t="str">
        <f>IFERROR(__xludf.DUMMYFUNCTION("""COMPUTED_VALUE"""),"Kam")</f>
        <v>Kam</v>
      </c>
      <c r="AV9" s="5" t="str">
        <f>IFERROR(__xludf.DUMMYFUNCTION("""COMPUTED_VALUE"""),"yes 5/5")</f>
        <v>yes 5/5</v>
      </c>
      <c r="AW9" s="5" t="str">
        <f>IFERROR(__xludf.DUMMYFUNCTION("""COMPUTED_VALUE"""),"1811, 1743 (flat)")</f>
        <v>1811, 1743 (flat)</v>
      </c>
      <c r="AX9" s="5" t="str">
        <f>IFERROR(__xludf.DUMMYFUNCTION("""COMPUTED_VALUE"""),"61/62")</f>
        <v>61/62</v>
      </c>
      <c r="AY9" s="5">
        <f>IFERROR(__xludf.DUMMYFUNCTION("""COMPUTED_VALUE"""),63.0)</f>
        <v>63</v>
      </c>
      <c r="AZ9" s="5" t="str">
        <f>IFERROR(__xludf.DUMMYFUNCTION("""COMPUTED_VALUE"""),"triggers and button press seen on Acq, low freq noise on frontal-temporal channels, doesn't saturate, should come out with tSSS. EOG=good, ECG=weak")</f>
        <v>triggers and button press seen on Acq, low freq noise on frontal-temporal channels, doesn't saturate, should come out with tSSS. EOG=good, ECG=weak</v>
      </c>
      <c r="BA9" s="5" t="str">
        <f>IFERROR(__xludf.DUMMYFUNCTION("""COMPUTED_VALUE"""),"Wednesday 8/30/17 @12:30pm")</f>
        <v>Wednesday 8/30/17 @12:30pm</v>
      </c>
      <c r="BB9" s="5" t="str">
        <f>IFERROR(__xludf.DUMMYFUNCTION("""COMPUTED_VALUE"""),"Bo")</f>
        <v>Bo</v>
      </c>
      <c r="BC9" s="5" t="str">
        <f>IFERROR(__xludf.DUMMYFUNCTION("""COMPUTED_VALUE"""),"Jeff, Kam, Todd")</f>
        <v>Jeff, Kam, Todd</v>
      </c>
      <c r="BD9" s="5" t="str">
        <f>IFERROR(__xludf.DUMMYFUNCTION("""COMPUTED_VALUE"""),"subject's dad (stayed upstairs)")</f>
        <v>subject's dad (stayed upstairs)</v>
      </c>
      <c r="BE9" s="5" t="str">
        <f>IFERROR(__xludf.DUMMYFUNCTION("""COMPUTED_VALUE"""),"sub-nbwr307")</f>
        <v>sub-nbwr307</v>
      </c>
      <c r="BF9" s="5" t="str">
        <f>IFERROR(__xludf.DUMMYFUNCTION("""COMPUTED_VALUE"""),"sub-nbwr409_phantom")</f>
        <v>sub-nbwr409_phantom</v>
      </c>
      <c r="BG9" s="5" t="str">
        <f>IFERROR(__xludf.DUMMYFUNCTION("""COMPUTED_VALUE"""),"8/20/17 @ 9:45-10:15 am")</f>
        <v>8/20/17 @ 9:45-10:15 am</v>
      </c>
      <c r="BH9" s="5" t="str">
        <f>IFERROR(__xludf.DUMMYFUNCTION("""COMPUTED_VALUE"""),"N/A")</f>
        <v>N/A</v>
      </c>
      <c r="BI9" s="5" t="str">
        <f>IFERROR(__xludf.DUMMYFUNCTION("""COMPUTED_VALUE"""),"N/A")</f>
        <v>N/A</v>
      </c>
      <c r="BJ9" s="5" t="str">
        <f>IFERROR(__xludf.DUMMYFUNCTION("""COMPUTED_VALUE"""),"N/A")</f>
        <v>N/A</v>
      </c>
      <c r="BK9" s="5" t="str">
        <f>IFERROR(__xludf.DUMMYFUNCTION("""COMPUTED_VALUE"""),"N/A")</f>
        <v>N/A</v>
      </c>
      <c r="BL9" s="5" t="str">
        <f>IFERROR(__xludf.DUMMYFUNCTION("""COMPUTED_VALUE"""),"incidental finding on scan, refferred for follow up, emailed to Denise, FWHM LT- 20Hg, RT= 20Hg")</f>
        <v>incidental finding on scan, refferred for follow up, emailed to Denise, FWHM LT- 20Hg, RT= 20Hg</v>
      </c>
      <c r="BM9" s="5" t="str">
        <f>IFERROR(__xludf.DUMMYFUNCTION("""COMPUTED_VALUE"""),"sub-nbwr307")</f>
        <v>sub-nbwr307</v>
      </c>
      <c r="BN9" s="8">
        <f>IFERROR(__xludf.DUMMYFUNCTION("""COMPUTED_VALUE"""),42958.0)</f>
        <v>42958</v>
      </c>
      <c r="BO9" s="8">
        <f>IFERROR(__xludf.DUMMYFUNCTION("""COMPUTED_VALUE"""),42962.0)</f>
        <v>42962</v>
      </c>
      <c r="BP9" s="8">
        <f>IFERROR(__xludf.DUMMYFUNCTION("""COMPUTED_VALUE"""),42977.0)</f>
        <v>42977</v>
      </c>
      <c r="BQ9" s="10"/>
      <c r="BR9" s="10"/>
      <c r="BS9" s="10"/>
      <c r="BT9" s="10"/>
      <c r="BU9" s="10"/>
      <c r="BV9" s="10"/>
      <c r="BW9" s="10"/>
      <c r="BX9" s="10"/>
      <c r="BY9" s="10"/>
      <c r="BZ9" s="10"/>
    </row>
    <row r="10">
      <c r="A10" s="24" t="str">
        <f>IFERROR(__xludf.DUMMYFUNCTION("""COMPUTED_VALUE"""),"GABA_038")</f>
        <v>GABA_038</v>
      </c>
      <c r="B10" s="6">
        <f>IFERROR(__xludf.DUMMYFUNCTION("""COMPUTED_VALUE"""),35046.0)</f>
        <v>35046</v>
      </c>
      <c r="C10" s="7">
        <f>IFERROR(__xludf.DUMMYFUNCTION("""COMPUTED_VALUE"""),21.695890410958903)</f>
        <v>21.69589041</v>
      </c>
      <c r="D10" s="5" t="str">
        <f>IFERROR(__xludf.DUMMYFUNCTION("""COMPUTED_VALUE"""),"male")</f>
        <v>male</v>
      </c>
      <c r="E10" s="8">
        <f>IFERROR(__xludf.DUMMYFUNCTION("""COMPUTED_VALUE"""),42949.0)</f>
        <v>42949</v>
      </c>
      <c r="F10" s="5" t="str">
        <f>IFERROR(__xludf.DUMMYFUNCTION("""COMPUTED_VALUE"""),"Bo")</f>
        <v>Bo</v>
      </c>
      <c r="G10" s="5" t="str">
        <f>IFERROR(__xludf.DUMMYFUNCTION("""COMPUTED_VALUE"""),"none")</f>
        <v>none</v>
      </c>
      <c r="H10" s="5" t="str">
        <f>IFERROR(__xludf.DUMMYFUNCTION("""COMPUTED_VALUE"""),"none")</f>
        <v>none</v>
      </c>
      <c r="I10" s="5" t="str">
        <f>IFERROR(__xludf.DUMMYFUNCTION("""COMPUTED_VALUE"""),"participated in CLOUDS 2017. Recruited him after completion")</f>
        <v>participated in CLOUDS 2017. Recruited him after completion</v>
      </c>
      <c r="J10" s="5" t="str">
        <f>IFERROR(__xludf.DUMMYFUNCTION("""COMPUTED_VALUE"""),"Friday 8/18/17 @ 11am")</f>
        <v>Friday 8/18/17 @ 11am</v>
      </c>
      <c r="K10" s="5" t="str">
        <f>IFERROR(__xludf.DUMMYFUNCTION("""COMPUTED_VALUE"""),"Julia &amp; Bo")</f>
        <v>Julia &amp; Bo</v>
      </c>
      <c r="L10" s="5" t="str">
        <f>IFERROR(__xludf.DUMMYFUNCTION("""COMPUTED_VALUE"""),"none")</f>
        <v>none</v>
      </c>
      <c r="M10" s="5" t="str">
        <f>IFERROR(__xludf.DUMMYFUNCTION("""COMPUTED_VALUE"""),"Julia")</f>
        <v>Julia</v>
      </c>
      <c r="N10" s="8">
        <f>IFERROR(__xludf.DUMMYFUNCTION("""COMPUTED_VALUE"""),42965.0)</f>
        <v>42965</v>
      </c>
      <c r="O10" s="5">
        <f>IFERROR(__xludf.DUMMYFUNCTION("""COMPUTED_VALUE"""),112.0)</f>
        <v>112</v>
      </c>
      <c r="P10" s="5">
        <f>IFERROR(__xludf.DUMMYFUNCTION("""COMPUTED_VALUE"""),109.0)</f>
        <v>109</v>
      </c>
      <c r="Q10" s="5">
        <f>IFERROR(__xludf.DUMMYFUNCTION("""COMPUTED_VALUE"""),112.0)</f>
        <v>112</v>
      </c>
      <c r="R10" s="5">
        <f>IFERROR(__xludf.DUMMYFUNCTION("""COMPUTED_VALUE"""),113.0)</f>
        <v>113</v>
      </c>
      <c r="S10" s="8">
        <f>IFERROR(__xludf.DUMMYFUNCTION("""COMPUTED_VALUE"""),42965.0)</f>
        <v>42965</v>
      </c>
      <c r="T10" s="5">
        <f>IFERROR(__xludf.DUMMYFUNCTION("""COMPUTED_VALUE"""),54.0)</f>
        <v>54</v>
      </c>
      <c r="U10" s="5">
        <f>IFERROR(__xludf.DUMMYFUNCTION("""COMPUTED_VALUE"""),59.0)</f>
        <v>59</v>
      </c>
      <c r="V10" s="5">
        <f>IFERROR(__xludf.DUMMYFUNCTION("""COMPUTED_VALUE"""),56.0)</f>
        <v>56</v>
      </c>
      <c r="W10" s="5">
        <f>IFERROR(__xludf.DUMMYFUNCTION("""COMPUTED_VALUE"""),58.0)</f>
        <v>58</v>
      </c>
      <c r="X10" s="5">
        <f>IFERROR(__xludf.DUMMYFUNCTION("""COMPUTED_VALUE"""),61.0)</f>
        <v>61</v>
      </c>
      <c r="Y10" s="5">
        <f>IFERROR(__xludf.DUMMYFUNCTION("""COMPUTED_VALUE"""),53.0)</f>
        <v>53</v>
      </c>
      <c r="Z10" s="5">
        <f>IFERROR(__xludf.DUMMYFUNCTION("""COMPUTED_VALUE"""),55.0)</f>
        <v>55</v>
      </c>
      <c r="AA10" s="5" t="str">
        <f>IFERROR(__xludf.DUMMYFUNCTION("""COMPUTED_VALUE"""),"8/18/17
retest: 8/30/17")</f>
        <v>8/18/17
retest: 8/30/17</v>
      </c>
      <c r="AB10" s="5" t="str">
        <f>IFERROR(__xludf.DUMMYFUNCTION("""COMPUTED_VALUE"""),"56.8%
retest: 100%")</f>
        <v>56.8%
retest: 100%</v>
      </c>
      <c r="AC10" s="8">
        <f>IFERROR(__xludf.DUMMYFUNCTION("""COMPUTED_VALUE"""),42965.0)</f>
        <v>42965</v>
      </c>
      <c r="AD10" s="5" t="str">
        <f>IFERROR(__xludf.DUMMYFUNCTION("""COMPUTED_VALUE"""),"Right: 6kHz")</f>
        <v>Right: 6kHz</v>
      </c>
      <c r="AE10" s="5" t="str">
        <f>IFERROR(__xludf.DUMMYFUNCTION("""COMPUTED_VALUE"""),"n/a")</f>
        <v>n/a</v>
      </c>
      <c r="AF10" s="8">
        <f>IFERROR(__xludf.DUMMYFUNCTION("""COMPUTED_VALUE"""),42965.0)</f>
        <v>42965</v>
      </c>
      <c r="AG10" s="5" t="str">
        <f>IFERROR(__xludf.DUMMYFUNCTION("""COMPUTED_VALUE"""),"White, Asian/Pacific Islander")</f>
        <v>White, Asian/Pacific Islander</v>
      </c>
      <c r="AH10" s="5" t="str">
        <f>IFERROR(__xludf.DUMMYFUNCTION("""COMPUTED_VALUE"""),"none")</f>
        <v>none</v>
      </c>
      <c r="AI10" s="8">
        <f>IFERROR(__xludf.DUMMYFUNCTION("""COMPUTED_VALUE"""),42965.0)</f>
        <v>42965</v>
      </c>
      <c r="AJ10" s="5" t="str">
        <f>IFERROR(__xludf.DUMMYFUNCTION("""COMPUTED_VALUE"""),"none")</f>
        <v>none</v>
      </c>
      <c r="AK10" s="5" t="str">
        <f>IFERROR(__xludf.DUMMYFUNCTION("""COMPUTED_VALUE"""),"recently did WASI (CLOUDS 2017) may have increased score, but hard to tell. emailed Kam about accuracy of self-reported Edinburgh")</f>
        <v>recently did WASI (CLOUDS 2017) may have increased score, but hard to tell. emailed Kam about accuracy of self-reported Edinburgh</v>
      </c>
      <c r="AL10" s="5" t="str">
        <f>IFERROR(__xludf.DUMMYFUNCTION("""COMPUTED_VALUE"""),"Wednesday 8/30/17 @ 9:30am")</f>
        <v>Wednesday 8/30/17 @ 9:30am</v>
      </c>
      <c r="AM10" s="5" t="str">
        <f>IFERROR(__xludf.DUMMYFUNCTION("""COMPUTED_VALUE"""),"Julia &amp; Bo")</f>
        <v>Julia &amp; Bo</v>
      </c>
      <c r="AN10" s="5" t="str">
        <f>IFERROR(__xludf.DUMMYFUNCTION("""COMPUTED_VALUE"""),"none")</f>
        <v>none</v>
      </c>
      <c r="AO10" s="5" t="str">
        <f>IFERROR(__xludf.DUMMYFUNCTION("""COMPUTED_VALUE"""),"sub-nbwr038_ses_001_task_lexicaldecision_run-01_meg_raw")</f>
        <v>sub-nbwr038_ses_001_task_lexicaldecision_run-01_meg_raw</v>
      </c>
      <c r="AP10" s="5" t="str">
        <f>IFERROR(__xludf.DUMMYFUNCTION("""COMPUTED_VALUE"""),"yes")</f>
        <v>yes</v>
      </c>
      <c r="AQ10" s="5">
        <f>IFERROR(__xludf.DUMMYFUNCTION("""COMPUTED_VALUE"""),80.6)</f>
        <v>80.6</v>
      </c>
      <c r="AR10" s="5">
        <f>IFERROR(__xludf.DUMMYFUNCTION("""COMPUTED_VALUE"""),-81.4)</f>
        <v>-81.4</v>
      </c>
      <c r="AS10" s="5">
        <f>IFERROR(__xludf.DUMMYFUNCTION("""COMPUTED_VALUE"""),240.0)</f>
        <v>240</v>
      </c>
      <c r="AT10" s="5" t="str">
        <f>IFERROR(__xludf.DUMMYFUNCTION("""COMPUTED_VALUE"""),"Maggie")</f>
        <v>Maggie</v>
      </c>
      <c r="AU10" s="5" t="str">
        <f>IFERROR(__xludf.DUMMYFUNCTION("""COMPUTED_VALUE"""),"Kam out (again)")</f>
        <v>Kam out (again)</v>
      </c>
      <c r="AV10" s="5" t="str">
        <f>IFERROR(__xludf.DUMMYFUNCTION("""COMPUTED_VALUE"""),"yes 5/5")</f>
        <v>yes 5/5</v>
      </c>
      <c r="AW10" s="5" t="str">
        <f>IFERROR(__xludf.DUMMYFUNCTION("""COMPUTED_VALUE"""),"1811, 1743 (flat)")</f>
        <v>1811, 1743 (flat)</v>
      </c>
      <c r="AX10" s="5" t="str">
        <f>IFERROR(__xludf.DUMMYFUNCTION("""COMPUTED_VALUE"""),"61/62")</f>
        <v>61/62</v>
      </c>
      <c r="AY10" s="5">
        <f>IFERROR(__xludf.DUMMYFUNCTION("""COMPUTED_VALUE"""),63.0)</f>
        <v>63</v>
      </c>
      <c r="AZ10" s="5" t="str">
        <f>IFERROR(__xludf.DUMMYFUNCTION("""COMPUTED_VALUE"""),"re-administered Edinburgh with kit (very right handed). subj can hear stimuli, triggers and buttons seen on Acq, EOG+ECG=great signal, good online averages")</f>
        <v>re-administered Edinburgh with kit (very right handed). subj can hear stimuli, triggers and buttons seen on Acq, EOG+ECG=great signal, good online averages</v>
      </c>
      <c r="BA10" s="5" t="str">
        <f>IFERROR(__xludf.DUMMYFUNCTION("""COMPUTED_VALUE"""),"Tuesday 9/12/17 @ 9:45am")</f>
        <v>Tuesday 9/12/17 @ 9:45am</v>
      </c>
      <c r="BB10" s="5" t="str">
        <f>IFERROR(__xludf.DUMMYFUNCTION("""COMPUTED_VALUE"""),"Bo")</f>
        <v>Bo</v>
      </c>
      <c r="BC10" s="5" t="str">
        <f>IFERROR(__xludf.DUMMYFUNCTION("""COMPUTED_VALUE"""),"Jeff, Kam, Todd")</f>
        <v>Jeff, Kam, Todd</v>
      </c>
      <c r="BD10" s="5" t="str">
        <f>IFERROR(__xludf.DUMMYFUNCTION("""COMPUTED_VALUE"""),"none")</f>
        <v>none</v>
      </c>
      <c r="BE10" s="5" t="str">
        <f>IFERROR(__xludf.DUMMYFUNCTION("""COMPUTED_VALUE"""),"sub-nbwr038")</f>
        <v>sub-nbwr038</v>
      </c>
      <c r="BF10" s="5" t="str">
        <f>IFERROR(__xludf.DUMMYFUNCTION("""COMPUTED_VALUE"""),"sub_nbwr038_phantom")</f>
        <v>sub_nbwr038_phantom</v>
      </c>
      <c r="BG10" s="5" t="str">
        <f>IFERROR(__xludf.DUMMYFUNCTION("""COMPUTED_VALUE"""),"9/12/17 @ 9:00 am")</f>
        <v>9/12/17 @ 9:00 am</v>
      </c>
      <c r="BH10" s="12">
        <f>IFERROR(__xludf.DUMMYFUNCTION("""COMPUTED_VALUE"""),0.375)</f>
        <v>0.375</v>
      </c>
      <c r="BI10" s="5">
        <f>IFERROR(__xludf.DUMMYFUNCTION("""COMPUTED_VALUE"""),23.1)</f>
        <v>23.1</v>
      </c>
      <c r="BJ10" s="12">
        <f>IFERROR(__xludf.DUMMYFUNCTION("""COMPUTED_VALUE"""),0.40625)</f>
        <v>0.40625</v>
      </c>
      <c r="BK10" s="5" t="str">
        <f>IFERROR(__xludf.DUMMYFUNCTION("""COMPUTED_VALUE"""),"22.3 (debatable)")</f>
        <v>22.3 (debatable)</v>
      </c>
      <c r="BL10" s="5" t="str">
        <f>IFERROR(__xludf.DUMMYFUNCTION("""COMPUTED_VALUE"""),"no show for original appt (called back to reschedule). LT FWH=15, RT=17. subject asked for 5 photos of his brain from different angles")</f>
        <v>no show for original appt (called back to reschedule). LT FWH=15, RT=17. subject asked for 5 photos of his brain from different angles</v>
      </c>
      <c r="BM10" s="5" t="str">
        <f>IFERROR(__xludf.DUMMYFUNCTION("""COMPUTED_VALUE"""),"sub-nbwr038")</f>
        <v>sub-nbwr038</v>
      </c>
      <c r="BN10" s="8">
        <f>IFERROR(__xludf.DUMMYFUNCTION("""COMPUTED_VALUE"""),42965.0)</f>
        <v>42965</v>
      </c>
      <c r="BO10" s="8">
        <f>IFERROR(__xludf.DUMMYFUNCTION("""COMPUTED_VALUE"""),42977.0)</f>
        <v>42977</v>
      </c>
      <c r="BP10" s="8">
        <f>IFERROR(__xludf.DUMMYFUNCTION("""COMPUTED_VALUE"""),42990.0)</f>
        <v>42990</v>
      </c>
      <c r="BQ10" s="10"/>
      <c r="BR10" s="10"/>
      <c r="BS10" s="10"/>
      <c r="BT10" s="10"/>
      <c r="BU10" s="10"/>
      <c r="BV10" s="10"/>
      <c r="BW10" s="10"/>
      <c r="BX10" s="10"/>
      <c r="BY10" s="10"/>
      <c r="BZ10" s="10"/>
    </row>
    <row r="11">
      <c r="A11" s="11" t="str">
        <f>IFERROR(__xludf.DUMMYFUNCTION("""COMPUTED_VALUE"""),"GABA_226")</f>
        <v>GABA_226</v>
      </c>
      <c r="B11" s="6">
        <f>IFERROR(__xludf.DUMMYFUNCTION("""COMPUTED_VALUE"""),35352.0)</f>
        <v>35352</v>
      </c>
      <c r="C11" s="7">
        <f>IFERROR(__xludf.DUMMYFUNCTION("""COMPUTED_VALUE"""),20.85753424657534)</f>
        <v>20.85753425</v>
      </c>
      <c r="D11" s="5" t="str">
        <f>IFERROR(__xludf.DUMMYFUNCTION("""COMPUTED_VALUE"""),"male")</f>
        <v>male</v>
      </c>
      <c r="E11" s="8">
        <f>IFERROR(__xludf.DUMMYFUNCTION("""COMPUTED_VALUE"""),42956.0)</f>
        <v>42956</v>
      </c>
      <c r="F11" s="5" t="str">
        <f>IFERROR(__xludf.DUMMYFUNCTION("""COMPUTED_VALUE"""),"Bo")</f>
        <v>Bo</v>
      </c>
      <c r="G11" s="5" t="str">
        <f>IFERROR(__xludf.DUMMYFUNCTION("""COMPUTED_VALUE"""),"none")</f>
        <v>none</v>
      </c>
      <c r="H11" s="5" t="str">
        <f>IFERROR(__xludf.DUMMYFUNCTION("""COMPUTED_VALUE"""),"$30 (gas)")</f>
        <v>$30 (gas)</v>
      </c>
      <c r="I11" s="5" t="str">
        <f>IFERROR(__xludf.DUMMYFUNCTION("""COMPUTED_VALUE"""),"Long time from first contact with parent until subject contacted us back")</f>
        <v>Long time from first contact with parent until subject contacted us back</v>
      </c>
      <c r="J11" s="5" t="str">
        <f>IFERROR(__xludf.DUMMYFUNCTION("""COMPUTED_VALUE"""),"Friday 8/18/17 @ 1:30pm")</f>
        <v>Friday 8/18/17 @ 1:30pm</v>
      </c>
      <c r="K11" s="5" t="str">
        <f>IFERROR(__xludf.DUMMYFUNCTION("""COMPUTED_VALUE"""),"Julia &amp; Bo")</f>
        <v>Julia &amp; Bo</v>
      </c>
      <c r="L11" s="5" t="str">
        <f>IFERROR(__xludf.DUMMYFUNCTION("""COMPUTED_VALUE"""),"subject's mom")</f>
        <v>subject's mom</v>
      </c>
      <c r="M11" s="5" t="str">
        <f>IFERROR(__xludf.DUMMYFUNCTION("""COMPUTED_VALUE"""),"Julia")</f>
        <v>Julia</v>
      </c>
      <c r="N11" s="8">
        <f>IFERROR(__xludf.DUMMYFUNCTION("""COMPUTED_VALUE"""),42965.0)</f>
        <v>42965</v>
      </c>
      <c r="O11" s="5">
        <f>IFERROR(__xludf.DUMMYFUNCTION("""COMPUTED_VALUE"""),122.0)</f>
        <v>122</v>
      </c>
      <c r="P11" s="5">
        <f>IFERROR(__xludf.DUMMYFUNCTION("""COMPUTED_VALUE"""),118.0)</f>
        <v>118</v>
      </c>
      <c r="Q11" s="5">
        <f>IFERROR(__xludf.DUMMYFUNCTION("""COMPUTED_VALUE"""),123.0)</f>
        <v>123</v>
      </c>
      <c r="R11" s="5">
        <f>IFERROR(__xludf.DUMMYFUNCTION("""COMPUTED_VALUE"""),123.0)</f>
        <v>123</v>
      </c>
      <c r="S11" s="8">
        <f>IFERROR(__xludf.DUMMYFUNCTION("""COMPUTED_VALUE"""),42965.0)</f>
        <v>42965</v>
      </c>
      <c r="T11" s="5">
        <f>IFERROR(__xludf.DUMMYFUNCTION("""COMPUTED_VALUE"""),55.0)</f>
        <v>55</v>
      </c>
      <c r="U11" s="5">
        <f>IFERROR(__xludf.DUMMYFUNCTION("""COMPUTED_VALUE"""),52.0)</f>
        <v>52</v>
      </c>
      <c r="V11" s="5">
        <f>IFERROR(__xludf.DUMMYFUNCTION("""COMPUTED_VALUE"""),60.0)</f>
        <v>60</v>
      </c>
      <c r="W11" s="5">
        <f>IFERROR(__xludf.DUMMYFUNCTION("""COMPUTED_VALUE"""),50.0)</f>
        <v>50</v>
      </c>
      <c r="X11" s="5">
        <f>IFERROR(__xludf.DUMMYFUNCTION("""COMPUTED_VALUE"""),56.0)</f>
        <v>56</v>
      </c>
      <c r="Y11" s="5">
        <f>IFERROR(__xludf.DUMMYFUNCTION("""COMPUTED_VALUE"""),60.0)</f>
        <v>60</v>
      </c>
      <c r="Z11" s="5">
        <f>IFERROR(__xludf.DUMMYFUNCTION("""COMPUTED_VALUE"""),54.0)</f>
        <v>54</v>
      </c>
      <c r="AA11" s="8">
        <f>IFERROR(__xludf.DUMMYFUNCTION("""COMPUTED_VALUE"""),42965.0)</f>
        <v>42965</v>
      </c>
      <c r="AB11" s="23">
        <f>IFERROR(__xludf.DUMMYFUNCTION("""COMPUTED_VALUE"""),0.886)</f>
        <v>0.886</v>
      </c>
      <c r="AC11" s="8">
        <f>IFERROR(__xludf.DUMMYFUNCTION("""COMPUTED_VALUE"""),42965.0)</f>
        <v>42965</v>
      </c>
      <c r="AD11" s="5" t="str">
        <f>IFERROR(__xludf.DUMMYFUNCTION("""COMPUTED_VALUE"""),"Right: 6kHz")</f>
        <v>Right: 6kHz</v>
      </c>
      <c r="AE11" s="5" t="str">
        <f>IFERROR(__xludf.DUMMYFUNCTION("""COMPUTED_VALUE"""),"n/a")</f>
        <v>n/a</v>
      </c>
      <c r="AF11" s="8">
        <f>IFERROR(__xludf.DUMMYFUNCTION("""COMPUTED_VALUE"""),42965.0)</f>
        <v>42965</v>
      </c>
      <c r="AG11" s="5" t="str">
        <f>IFERROR(__xludf.DUMMYFUNCTION("""COMPUTED_VALUE"""),"White")</f>
        <v>White</v>
      </c>
      <c r="AH11" s="5" t="str">
        <f>IFERROR(__xludf.DUMMYFUNCTION("""COMPUTED_VALUE"""),"none")</f>
        <v>none</v>
      </c>
      <c r="AI11" s="8">
        <f>IFERROR(__xludf.DUMMYFUNCTION("""COMPUTED_VALUE"""),42965.0)</f>
        <v>42965</v>
      </c>
      <c r="AJ11" s="5" t="str">
        <f>IFERROR(__xludf.DUMMYFUNCTION("""COMPUTED_VALUE"""),"none")</f>
        <v>none</v>
      </c>
      <c r="AK11" s="5" t="str">
        <f>IFERROR(__xludf.DUMMYFUNCTION("""COMPUTED_VALUE"""),"may be difficult to schedule subject for MRI (offer shuttle first)")</f>
        <v>may be difficult to schedule subject for MRI (offer shuttle first)</v>
      </c>
      <c r="AL11" s="5" t="str">
        <f>IFERROR(__xludf.DUMMYFUNCTION("""COMPUTED_VALUE"""),"Wednesday 8/23/17 @ 10am")</f>
        <v>Wednesday 8/23/17 @ 10am</v>
      </c>
      <c r="AM11" s="5" t="str">
        <f>IFERROR(__xludf.DUMMYFUNCTION("""COMPUTED_VALUE"""),"Bo")</f>
        <v>Bo</v>
      </c>
      <c r="AN11" s="5" t="str">
        <f>IFERROR(__xludf.DUMMYFUNCTION("""COMPUTED_VALUE"""),"subject's mom")</f>
        <v>subject's mom</v>
      </c>
      <c r="AO11" s="5" t="str">
        <f>IFERROR(__xludf.DUMMYFUNCTION("""COMPUTED_VALUE"""),"sub_nbwr226_ses001_task_lexicaldecision_run_01_meg_raw.fif")</f>
        <v>sub_nbwr226_ses001_task_lexicaldecision_run_01_meg_raw.fif</v>
      </c>
      <c r="AP11" s="5" t="str">
        <f>IFERROR(__xludf.DUMMYFUNCTION("""COMPUTED_VALUE"""),"yes")</f>
        <v>yes</v>
      </c>
      <c r="AQ11" s="5">
        <f>IFERROR(__xludf.DUMMYFUNCTION("""COMPUTED_VALUE"""),82.3)</f>
        <v>82.3</v>
      </c>
      <c r="AR11" s="5">
        <f>IFERROR(__xludf.DUMMYFUNCTION("""COMPUTED_VALUE"""),-78.9)</f>
        <v>-78.9</v>
      </c>
      <c r="AS11" s="5">
        <f>IFERROR(__xludf.DUMMYFUNCTION("""COMPUTED_VALUE"""),240.0)</f>
        <v>240</v>
      </c>
      <c r="AT11" s="5" t="str">
        <f>IFERROR(__xludf.DUMMYFUNCTION("""COMPUTED_VALUE"""),"Maggie")</f>
        <v>Maggie</v>
      </c>
      <c r="AU11" s="5" t="str">
        <f>IFERROR(__xludf.DUMMYFUNCTION("""COMPUTED_VALUE"""),"Kam out")</f>
        <v>Kam out</v>
      </c>
      <c r="AV11" s="5" t="str">
        <f>IFERROR(__xludf.DUMMYFUNCTION("""COMPUTED_VALUE"""),"yes (no too Lg diff)")</f>
        <v>yes (no too Lg diff)</v>
      </c>
      <c r="AW11" s="5" t="str">
        <f>IFERROR(__xludf.DUMMYFUNCTION("""COMPUTED_VALUE"""),"1811, 1743 (flat)")</f>
        <v>1811, 1743 (flat)</v>
      </c>
      <c r="AX11" s="5" t="str">
        <f>IFERROR(__xludf.DUMMYFUNCTION("""COMPUTED_VALUE"""),"61/61")</f>
        <v>61/61</v>
      </c>
      <c r="AY11" s="5">
        <f>IFERROR(__xludf.DUMMYFUNCTION("""COMPUTED_VALUE"""),63.0)</f>
        <v>63</v>
      </c>
      <c r="AZ11" s="5" t="str">
        <f>IFERROR(__xludf.DUMMYFUNCTION("""COMPUTED_VALUE"""),"triggers and buttons seen on Acq, subj can hear sounds through headphones, EOG+ECG signals=v good, online avg response larger +more defined on RH. good subj=no issues")</f>
        <v>triggers and buttons seen on Acq, subj can hear sounds through headphones, EOG+ECG signals=v good, online avg response larger +more defined on RH. good subj=no issues</v>
      </c>
      <c r="BA11" s="5" t="str">
        <f>IFERROR(__xludf.DUMMYFUNCTION("""COMPUTED_VALUE"""),"Tuesday 9/5/17 @ 9:30am")</f>
        <v>Tuesday 9/5/17 @ 9:30am</v>
      </c>
      <c r="BB11" s="5" t="str">
        <f>IFERROR(__xludf.DUMMYFUNCTION("""COMPUTED_VALUE"""),"Bo and Julia (shuttle back to UW)")</f>
        <v>Bo and Julia (shuttle back to UW)</v>
      </c>
      <c r="BC11" s="5" t="str">
        <f>IFERROR(__xludf.DUMMYFUNCTION("""COMPUTED_VALUE"""),"Jeff, Kam, Todd")</f>
        <v>Jeff, Kam, Todd</v>
      </c>
      <c r="BD11" s="5" t="str">
        <f>IFERROR(__xludf.DUMMYFUNCTION("""COMPUTED_VALUE"""),"none")</f>
        <v>none</v>
      </c>
      <c r="BE11" s="5" t="str">
        <f>IFERROR(__xludf.DUMMYFUNCTION("""COMPUTED_VALUE"""),"sub-nbwr226")</f>
        <v>sub-nbwr226</v>
      </c>
      <c r="BF11" s="5" t="str">
        <f>IFERROR(__xludf.DUMMYFUNCTION("""COMPUTED_VALUE"""),"sub-nbwr226_phantom")</f>
        <v>sub-nbwr226_phantom</v>
      </c>
      <c r="BG11" s="8">
        <f>IFERROR(__xludf.DUMMYFUNCTION("""COMPUTED_VALUE"""),42952.0)</f>
        <v>42952</v>
      </c>
      <c r="BH11" s="12">
        <f>IFERROR(__xludf.DUMMYFUNCTION("""COMPUTED_VALUE"""),0.4652777777777778)</f>
        <v>0.4652777778</v>
      </c>
      <c r="BI11" s="5">
        <f>IFERROR(__xludf.DUMMYFUNCTION("""COMPUTED_VALUE"""),22.2)</f>
        <v>22.2</v>
      </c>
      <c r="BJ11" s="12">
        <f>IFERROR(__xludf.DUMMYFUNCTION("""COMPUTED_VALUE"""),0.4895833333333333)</f>
        <v>0.4895833333</v>
      </c>
      <c r="BK11" s="5">
        <f>IFERROR(__xludf.DUMMYFUNCTION("""COMPUTED_VALUE"""),23.2)</f>
        <v>23.2</v>
      </c>
      <c r="BL11" s="5" t="str">
        <f>IFERROR(__xludf.DUMMYFUNCTION("""COMPUTED_VALUE"""),"FWHM LT=14Hg RT=17Hg")</f>
        <v>FWHM LT=14Hg RT=17Hg</v>
      </c>
      <c r="BM11" s="5" t="str">
        <f>IFERROR(__xludf.DUMMYFUNCTION("""COMPUTED_VALUE"""),"sub-nbwr226")</f>
        <v>sub-nbwr226</v>
      </c>
      <c r="BN11" s="8">
        <f>IFERROR(__xludf.DUMMYFUNCTION("""COMPUTED_VALUE"""),42965.0)</f>
        <v>42965</v>
      </c>
      <c r="BO11" s="8">
        <f>IFERROR(__xludf.DUMMYFUNCTION("""COMPUTED_VALUE"""),42970.0)</f>
        <v>42970</v>
      </c>
      <c r="BP11" s="8">
        <f>IFERROR(__xludf.DUMMYFUNCTION("""COMPUTED_VALUE"""),42983.0)</f>
        <v>42983</v>
      </c>
      <c r="BQ11" s="10"/>
      <c r="BR11" s="10"/>
      <c r="BS11" s="10"/>
      <c r="BT11" s="10"/>
      <c r="BU11" s="10"/>
      <c r="BV11" s="10"/>
      <c r="BW11" s="10"/>
      <c r="BX11" s="10"/>
      <c r="BY11" s="10"/>
      <c r="BZ11" s="10"/>
    </row>
    <row r="12">
      <c r="A12" s="11" t="str">
        <f>IFERROR(__xludf.DUMMYFUNCTION("""COMPUTED_VALUE"""),"GABA_309")</f>
        <v>GABA_309</v>
      </c>
      <c r="B12" s="6">
        <f>IFERROR(__xludf.DUMMYFUNCTION("""COMPUTED_VALUE"""),34062.0)</f>
        <v>34062</v>
      </c>
      <c r="C12" s="7">
        <f>IFERROR(__xludf.DUMMYFUNCTION("""COMPUTED_VALUE"""),24.405479452054795)</f>
        <v>24.40547945</v>
      </c>
      <c r="D12" s="5" t="str">
        <f>IFERROR(__xludf.DUMMYFUNCTION("""COMPUTED_VALUE"""),"male")</f>
        <v>male</v>
      </c>
      <c r="E12" s="8">
        <f>IFERROR(__xludf.DUMMYFUNCTION("""COMPUTED_VALUE"""),42965.0)</f>
        <v>42965</v>
      </c>
      <c r="F12" s="5" t="str">
        <f>IFERROR(__xludf.DUMMYFUNCTION("""COMPUTED_VALUE"""),"Bo")</f>
        <v>Bo</v>
      </c>
      <c r="G12" s="5" t="str">
        <f>IFERROR(__xludf.DUMMYFUNCTION("""COMPUTED_VALUE"""),"none")</f>
        <v>none</v>
      </c>
      <c r="H12" s="5" t="str">
        <f>IFERROR(__xludf.DUMMYFUNCTION("""COMPUTED_VALUE"""),"$15 (gas for appt 1)")</f>
        <v>$15 (gas for appt 1)</v>
      </c>
      <c r="I12" s="5" t="str">
        <f>IFERROR(__xludf.DUMMYFUNCTION("""COMPUTED_VALUE"""),"added $15 for gas from Ferndale for 1st appt but rode bike(lives in seattle)")</f>
        <v>added $15 for gas from Ferndale for 1st appt but rode bike(lives in seattle)</v>
      </c>
      <c r="J12" s="5" t="str">
        <f>IFERROR(__xludf.DUMMYFUNCTION("""COMPUTED_VALUE"""),"Wednesday 8/23/17 @ 9am")</f>
        <v>Wednesday 8/23/17 @ 9am</v>
      </c>
      <c r="K12" s="5" t="str">
        <f>IFERROR(__xludf.DUMMYFUNCTION("""COMPUTED_VALUE"""),"Julia &amp; Bo")</f>
        <v>Julia &amp; Bo</v>
      </c>
      <c r="L12" s="5" t="str">
        <f>IFERROR(__xludf.DUMMYFUNCTION("""COMPUTED_VALUE"""),"none")</f>
        <v>none</v>
      </c>
      <c r="M12" s="5" t="str">
        <f>IFERROR(__xludf.DUMMYFUNCTION("""COMPUTED_VALUE"""),"Julia")</f>
        <v>Julia</v>
      </c>
      <c r="N12" s="8">
        <f>IFERROR(__xludf.DUMMYFUNCTION("""COMPUTED_VALUE"""),42970.0)</f>
        <v>42970</v>
      </c>
      <c r="O12" s="5">
        <f>IFERROR(__xludf.DUMMYFUNCTION("""COMPUTED_VALUE"""),130.0)</f>
        <v>130</v>
      </c>
      <c r="P12" s="5">
        <f>IFERROR(__xludf.DUMMYFUNCTION("""COMPUTED_VALUE"""),115.0)</f>
        <v>115</v>
      </c>
      <c r="Q12" s="5">
        <f>IFERROR(__xludf.DUMMYFUNCTION("""COMPUTED_VALUE"""),126.0)</f>
        <v>126</v>
      </c>
      <c r="R12" s="5">
        <f>IFERROR(__xludf.DUMMYFUNCTION("""COMPUTED_VALUE"""),125.0)</f>
        <v>125</v>
      </c>
      <c r="S12" s="8">
        <f>IFERROR(__xludf.DUMMYFUNCTION("""COMPUTED_VALUE"""),42970.0)</f>
        <v>42970</v>
      </c>
      <c r="T12" s="5">
        <f>IFERROR(__xludf.DUMMYFUNCTION("""COMPUTED_VALUE"""),60.0)</f>
        <v>60</v>
      </c>
      <c r="U12" s="5">
        <f>IFERROR(__xludf.DUMMYFUNCTION("""COMPUTED_VALUE"""),52.0)</f>
        <v>52</v>
      </c>
      <c r="V12" s="5">
        <f>IFERROR(__xludf.DUMMYFUNCTION("""COMPUTED_VALUE"""),63.0)</f>
        <v>63</v>
      </c>
      <c r="W12" s="5">
        <f>IFERROR(__xludf.DUMMYFUNCTION("""COMPUTED_VALUE"""),59.0)</f>
        <v>59</v>
      </c>
      <c r="X12" s="5">
        <f>IFERROR(__xludf.DUMMYFUNCTION("""COMPUTED_VALUE"""),59.0)</f>
        <v>59</v>
      </c>
      <c r="Y12" s="5">
        <f>IFERROR(__xludf.DUMMYFUNCTION("""COMPUTED_VALUE"""),60.0)</f>
        <v>60</v>
      </c>
      <c r="Z12" s="5">
        <f>IFERROR(__xludf.DUMMYFUNCTION("""COMPUTED_VALUE"""),60.0)</f>
        <v>60</v>
      </c>
      <c r="AA12" s="8">
        <f>IFERROR(__xludf.DUMMYFUNCTION("""COMPUTED_VALUE"""),42970.0)</f>
        <v>42970</v>
      </c>
      <c r="AB12" s="23">
        <f>IFERROR(__xludf.DUMMYFUNCTION("""COMPUTED_VALUE"""),0.818)</f>
        <v>0.818</v>
      </c>
      <c r="AC12" s="8">
        <f>IFERROR(__xludf.DUMMYFUNCTION("""COMPUTED_VALUE"""),42970.0)</f>
        <v>42970</v>
      </c>
      <c r="AD12" s="5" t="str">
        <f>IFERROR(__xludf.DUMMYFUNCTION("""COMPUTED_VALUE"""),"no loss")</f>
        <v>no loss</v>
      </c>
      <c r="AE12" s="5" t="str">
        <f>IFERROR(__xludf.DUMMYFUNCTION("""COMPUTED_VALUE"""),"n/a")</f>
        <v>n/a</v>
      </c>
      <c r="AF12" s="8">
        <f>IFERROR(__xludf.DUMMYFUNCTION("""COMPUTED_VALUE"""),42970.0)</f>
        <v>42970</v>
      </c>
      <c r="AG12" s="5" t="str">
        <f>IFERROR(__xludf.DUMMYFUNCTION("""COMPUTED_VALUE"""),"White")</f>
        <v>White</v>
      </c>
      <c r="AH12" s="5" t="str">
        <f>IFERROR(__xludf.DUMMYFUNCTION("""COMPUTED_VALUE"""),"none")</f>
        <v>none</v>
      </c>
      <c r="AI12" s="8">
        <f>IFERROR(__xludf.DUMMYFUNCTION("""COMPUTED_VALUE"""),42970.0)</f>
        <v>42970</v>
      </c>
      <c r="AJ12" s="5" t="str">
        <f>IFERROR(__xludf.DUMMYFUNCTION("""COMPUTED_VALUE"""),"none")</f>
        <v>none</v>
      </c>
      <c r="AK12" s="5" t="str">
        <f>IFERROR(__xludf.DUMMYFUNCTION("""COMPUTED_VALUE"""),"lives in Seattle, rode bike to appt, does not need gas $ for future appts.")</f>
        <v>lives in Seattle, rode bike to appt, does not need gas $ for future appts.</v>
      </c>
      <c r="AL12" s="5" t="str">
        <f>IFERROR(__xludf.DUMMYFUNCTION("""COMPUTED_VALUE"""),"Monday 8/28/17 @ 9am")</f>
        <v>Monday 8/28/17 @ 9am</v>
      </c>
      <c r="AM12" s="5" t="str">
        <f>IFERROR(__xludf.DUMMYFUNCTION("""COMPUTED_VALUE"""),"Bo")</f>
        <v>Bo</v>
      </c>
      <c r="AN12" s="5" t="str">
        <f>IFERROR(__xludf.DUMMYFUNCTION("""COMPUTED_VALUE"""),"none")</f>
        <v>none</v>
      </c>
      <c r="AO12" s="5" t="str">
        <f>IFERROR(__xludf.DUMMYFUNCTION("""COMPUTED_VALUE"""),"sub_nbwr_ses001_task_lexicaldecision_run_01_meg_raw")</f>
        <v>sub_nbwr_ses001_task_lexicaldecision_run_01_meg_raw</v>
      </c>
      <c r="AP12" s="5" t="str">
        <f>IFERROR(__xludf.DUMMYFUNCTION("""COMPUTED_VALUE"""),"yes")</f>
        <v>yes</v>
      </c>
      <c r="AQ12" s="5">
        <f>IFERROR(__xludf.DUMMYFUNCTION("""COMPUTED_VALUE"""),79.2)</f>
        <v>79.2</v>
      </c>
      <c r="AR12" s="5">
        <f>IFERROR(__xludf.DUMMYFUNCTION("""COMPUTED_VALUE"""),-76.9)</f>
        <v>-76.9</v>
      </c>
      <c r="AS12" s="5">
        <f>IFERROR(__xludf.DUMMYFUNCTION("""COMPUTED_VALUE"""),240.0)</f>
        <v>240</v>
      </c>
      <c r="AT12" s="5" t="str">
        <f>IFERROR(__xludf.DUMMYFUNCTION("""COMPUTED_VALUE"""),"Maggie")</f>
        <v>Maggie</v>
      </c>
      <c r="AU12" s="5" t="str">
        <f>IFERROR(__xludf.DUMMYFUNCTION("""COMPUTED_VALUE"""),"Kam out")</f>
        <v>Kam out</v>
      </c>
      <c r="AV12" s="5" t="str">
        <f>IFERROR(__xludf.DUMMYFUNCTION("""COMPUTED_VALUE"""),"yes (no too Lg diff)")</f>
        <v>yes (no too Lg diff)</v>
      </c>
      <c r="AW12" s="5" t="str">
        <f>IFERROR(__xludf.DUMMYFUNCTION("""COMPUTED_VALUE"""),"1811, 1743 (flat)")</f>
        <v>1811, 1743 (flat)</v>
      </c>
      <c r="AX12" s="5" t="str">
        <f>IFERROR(__xludf.DUMMYFUNCTION("""COMPUTED_VALUE"""),"61/62")</f>
        <v>61/62</v>
      </c>
      <c r="AY12" s="5">
        <f>IFERROR(__xludf.DUMMYFUNCTION("""COMPUTED_VALUE"""),63.0)</f>
        <v>63</v>
      </c>
      <c r="AZ12" s="5" t="str">
        <f>IFERROR(__xludf.DUMMYFUNCTION("""COMPUTED_VALUE"""),"buttons + triggers seen on Acq, tested subj coult hear stimuli, EOG and ECG=good, said couldn't hear stimuli as well in right ear as  left but could hear, changed ear piece + checked connections, everything working ok.")</f>
        <v>buttons + triggers seen on Acq, tested subj coult hear stimuli, EOG and ECG=good, said couldn't hear stimuli as well in right ear as  left but could hear, changed ear piece + checked connections, everything working ok.</v>
      </c>
      <c r="BA12" s="5" t="str">
        <f>IFERROR(__xludf.DUMMYFUNCTION("""COMPUTED_VALUE"""),"Friday 9/15/17 @ 10am")</f>
        <v>Friday 9/15/17 @ 10am</v>
      </c>
      <c r="BB12" s="5" t="str">
        <f>IFERROR(__xludf.DUMMYFUNCTION("""COMPUTED_VALUE"""),"Bo")</f>
        <v>Bo</v>
      </c>
      <c r="BC12" s="5" t="str">
        <f>IFERROR(__xludf.DUMMYFUNCTION("""COMPUTED_VALUE"""),"Jeff, Kam, Todd")</f>
        <v>Jeff, Kam, Todd</v>
      </c>
      <c r="BD12" s="5" t="str">
        <f>IFERROR(__xludf.DUMMYFUNCTION("""COMPUTED_VALUE"""),"none")</f>
        <v>none</v>
      </c>
      <c r="BE12" s="5" t="str">
        <f>IFERROR(__xludf.DUMMYFUNCTION("""COMPUTED_VALUE"""),"sub-nbwr309")</f>
        <v>sub-nbwr309</v>
      </c>
      <c r="BF12" s="5" t="str">
        <f>IFERROR(__xludf.DUMMYFUNCTION("""COMPUTED_VALUE"""),"sub-nbwr309_phantom")</f>
        <v>sub-nbwr309_phantom</v>
      </c>
      <c r="BG12" s="5" t="str">
        <f>IFERROR(__xludf.DUMMYFUNCTION("""COMPUTED_VALUE"""),"9/15/17 @ 11:30 am")</f>
        <v>9/15/17 @ 11:30 am</v>
      </c>
      <c r="BH12" s="12">
        <f>IFERROR(__xludf.DUMMYFUNCTION("""COMPUTED_VALUE"""),0.4722222222222222)</f>
        <v>0.4722222222</v>
      </c>
      <c r="BI12" s="5">
        <f>IFERROR(__xludf.DUMMYFUNCTION("""COMPUTED_VALUE"""),22.9)</f>
        <v>22.9</v>
      </c>
      <c r="BJ12" s="12">
        <f>IFERROR(__xludf.DUMMYFUNCTION("""COMPUTED_VALUE"""),0.5)</f>
        <v>0.5</v>
      </c>
      <c r="BK12" s="5">
        <f>IFERROR(__xludf.DUMMYFUNCTION("""COMPUTED_VALUE"""),23.0)</f>
        <v>23</v>
      </c>
      <c r="BL12" s="5" t="str">
        <f>IFERROR(__xludf.DUMMYFUNCTION("""COMPUTED_VALUE"""),"excellent IQ, subj can be called back for test-retest if needed, LT FWHM=16 Hg RT=17. subject took lyft to SLU (bus never came)")</f>
        <v>excellent IQ, subj can be called back for test-retest if needed, LT FWHM=16 Hg RT=17. subject took lyft to SLU (bus never came)</v>
      </c>
      <c r="BM12" s="5" t="str">
        <f>IFERROR(__xludf.DUMMYFUNCTION("""COMPUTED_VALUE"""),"sub-nbwr309")</f>
        <v>sub-nbwr309</v>
      </c>
      <c r="BN12" s="8">
        <f>IFERROR(__xludf.DUMMYFUNCTION("""COMPUTED_VALUE"""),42970.0)</f>
        <v>42970</v>
      </c>
      <c r="BO12" s="8">
        <f>IFERROR(__xludf.DUMMYFUNCTION("""COMPUTED_VALUE"""),42975.0)</f>
        <v>42975</v>
      </c>
      <c r="BP12" s="8">
        <f>IFERROR(__xludf.DUMMYFUNCTION("""COMPUTED_VALUE"""),42993.0)</f>
        <v>42993</v>
      </c>
      <c r="BQ12" s="10"/>
      <c r="BR12" s="10"/>
      <c r="BS12" s="10"/>
      <c r="BT12" s="10"/>
      <c r="BU12" s="10"/>
      <c r="BV12" s="10"/>
      <c r="BW12" s="10"/>
      <c r="BX12" s="10"/>
      <c r="BY12" s="10"/>
      <c r="BZ12" s="10"/>
    </row>
    <row r="13">
      <c r="A13" s="11" t="str">
        <f>IFERROR(__xludf.DUMMYFUNCTION("""COMPUTED_VALUE"""),"GABA_135")</f>
        <v>GABA_135</v>
      </c>
      <c r="B13" s="6">
        <f>IFERROR(__xludf.DUMMYFUNCTION("""COMPUTED_VALUE"""),34961.0)</f>
        <v>34961</v>
      </c>
      <c r="C13" s="7">
        <f>IFERROR(__xludf.DUMMYFUNCTION("""COMPUTED_VALUE"""),21.945205479452056)</f>
        <v>21.94520548</v>
      </c>
      <c r="D13" s="5" t="str">
        <f>IFERROR(__xludf.DUMMYFUNCTION("""COMPUTED_VALUE"""),"male")</f>
        <v>male</v>
      </c>
      <c r="E13" s="8">
        <f>IFERROR(__xludf.DUMMYFUNCTION("""COMPUTED_VALUE"""),42965.0)</f>
        <v>42965</v>
      </c>
      <c r="F13" s="5" t="str">
        <f>IFERROR(__xludf.DUMMYFUNCTION("""COMPUTED_VALUE"""),"Bo")</f>
        <v>Bo</v>
      </c>
      <c r="G13" s="5" t="str">
        <f>IFERROR(__xludf.DUMMYFUNCTION("""COMPUTED_VALUE"""),"none")</f>
        <v>none</v>
      </c>
      <c r="H13" s="5" t="str">
        <f>IFERROR(__xludf.DUMMYFUNCTION("""COMPUTED_VALUE"""),"$135 to mom (mileage)- check mailed 9/18/17, called about SSN and $600 limit")</f>
        <v>$135 to mom (mileage)- check mailed 9/18/17, called about SSN and $600 limit</v>
      </c>
      <c r="I13" s="5" t="str">
        <f>IFERROR(__xludf.DUMMYFUNCTION("""COMPUTED_VALUE"""),"share mom's phone number")</f>
        <v>share mom's phone number</v>
      </c>
      <c r="J13" s="5" t="str">
        <f>IFERROR(__xludf.DUMMYFUNCTION("""COMPUTED_VALUE"""),"Thursday 8/24/17 @ 2pm")</f>
        <v>Thursday 8/24/17 @ 2pm</v>
      </c>
      <c r="K13" s="5" t="str">
        <f>IFERROR(__xludf.DUMMYFUNCTION("""COMPUTED_VALUE"""),"Julia &amp; Bo")</f>
        <v>Julia &amp; Bo</v>
      </c>
      <c r="L13" s="5" t="str">
        <f>IFERROR(__xludf.DUMMYFUNCTION("""COMPUTED_VALUE"""),"subject's mom")</f>
        <v>subject's mom</v>
      </c>
      <c r="M13" s="5" t="str">
        <f>IFERROR(__xludf.DUMMYFUNCTION("""COMPUTED_VALUE"""),"Julia")</f>
        <v>Julia</v>
      </c>
      <c r="N13" s="8">
        <f>IFERROR(__xludf.DUMMYFUNCTION("""COMPUTED_VALUE"""),42971.0)</f>
        <v>42971</v>
      </c>
      <c r="O13" s="5">
        <f>IFERROR(__xludf.DUMMYFUNCTION("""COMPUTED_VALUE"""),112.0)</f>
        <v>112</v>
      </c>
      <c r="P13" s="5">
        <f>IFERROR(__xludf.DUMMYFUNCTION("""COMPUTED_VALUE"""),123.0)</f>
        <v>123</v>
      </c>
      <c r="Q13" s="5">
        <f>IFERROR(__xludf.DUMMYFUNCTION("""COMPUTED_VALUE"""),120.0)</f>
        <v>120</v>
      </c>
      <c r="R13" s="5">
        <f>IFERROR(__xludf.DUMMYFUNCTION("""COMPUTED_VALUE"""),117.0)</f>
        <v>117</v>
      </c>
      <c r="S13" s="8">
        <f>IFERROR(__xludf.DUMMYFUNCTION("""COMPUTED_VALUE"""),42971.0)</f>
        <v>42971</v>
      </c>
      <c r="T13" s="5">
        <f>IFERROR(__xludf.DUMMYFUNCTION("""COMPUTED_VALUE"""),63.0)</f>
        <v>63</v>
      </c>
      <c r="U13" s="5">
        <f>IFERROR(__xludf.DUMMYFUNCTION("""COMPUTED_VALUE"""),55.0)</f>
        <v>55</v>
      </c>
      <c r="V13" s="5">
        <f>IFERROR(__xludf.DUMMYFUNCTION("""COMPUTED_VALUE"""),63.0)</f>
        <v>63</v>
      </c>
      <c r="W13" s="5">
        <f>IFERROR(__xludf.DUMMYFUNCTION("""COMPUTED_VALUE"""),55.0)</f>
        <v>55</v>
      </c>
      <c r="X13" s="5">
        <f>IFERROR(__xludf.DUMMYFUNCTION("""COMPUTED_VALUE"""),71.0)</f>
        <v>71</v>
      </c>
      <c r="Y13" s="5">
        <f>IFERROR(__xludf.DUMMYFUNCTION("""COMPUTED_VALUE"""),68.0)</f>
        <v>68</v>
      </c>
      <c r="Z13" s="5">
        <f>IFERROR(__xludf.DUMMYFUNCTION("""COMPUTED_VALUE"""),62.0)</f>
        <v>62</v>
      </c>
      <c r="AA13" s="8">
        <f>IFERROR(__xludf.DUMMYFUNCTION("""COMPUTED_VALUE"""),42971.0)</f>
        <v>42971</v>
      </c>
      <c r="AB13" s="21">
        <f>IFERROR(__xludf.DUMMYFUNCTION("""COMPUTED_VALUE"""),1.0)</f>
        <v>1</v>
      </c>
      <c r="AC13" s="8">
        <f>IFERROR(__xludf.DUMMYFUNCTION("""COMPUTED_VALUE"""),42971.0)</f>
        <v>42971</v>
      </c>
      <c r="AD13" s="5" t="str">
        <f>IFERROR(__xludf.DUMMYFUNCTION("""COMPUTED_VALUE"""),"no loss")</f>
        <v>no loss</v>
      </c>
      <c r="AE13" s="5" t="str">
        <f>IFERROR(__xludf.DUMMYFUNCTION("""COMPUTED_VALUE"""),"n/a")</f>
        <v>n/a</v>
      </c>
      <c r="AF13" s="8">
        <f>IFERROR(__xludf.DUMMYFUNCTION("""COMPUTED_VALUE"""),42971.0)</f>
        <v>42971</v>
      </c>
      <c r="AG13" s="5" t="str">
        <f>IFERROR(__xludf.DUMMYFUNCTION("""COMPUTED_VALUE"""),"White")</f>
        <v>White</v>
      </c>
      <c r="AH13" s="5" t="str">
        <f>IFERROR(__xludf.DUMMYFUNCTION("""COMPUTED_VALUE"""),"none")</f>
        <v>none</v>
      </c>
      <c r="AI13" s="8">
        <f>IFERROR(__xludf.DUMMYFUNCTION("""COMPUTED_VALUE"""),42971.0)</f>
        <v>42971</v>
      </c>
      <c r="AJ13" s="5" t="str">
        <f>IFERROR(__xludf.DUMMYFUNCTION("""COMPUTED_VALUE"""),"none")</f>
        <v>none</v>
      </c>
      <c r="AK13" s="5" t="str">
        <f>IFERROR(__xludf.DUMMYFUNCTION("""COMPUTED_VALUE"""),"needs to give mileage to Raleigh")</f>
        <v>needs to give mileage to Raleigh</v>
      </c>
      <c r="AL13" s="5" t="str">
        <f>IFERROR(__xludf.DUMMYFUNCTION("""COMPUTED_VALUE"""),"Monday 8/28/17 @ 12:30pm")</f>
        <v>Monday 8/28/17 @ 12:30pm</v>
      </c>
      <c r="AM13" s="5" t="str">
        <f>IFERROR(__xludf.DUMMYFUNCTION("""COMPUTED_VALUE"""),"Bo")</f>
        <v>Bo</v>
      </c>
      <c r="AN13" s="5" t="str">
        <f>IFERROR(__xludf.DUMMYFUNCTION("""COMPUTED_VALUE"""),"subject's mom (stayed in lobby)")</f>
        <v>subject's mom (stayed in lobby)</v>
      </c>
      <c r="AO13" s="5" t="str">
        <f>IFERROR(__xludf.DUMMYFUNCTION("""COMPUTED_VALUE"""),"sub_nbwr135_ses001_lexicaldecision_run-01_meg")</f>
        <v>sub_nbwr135_ses001_lexicaldecision_run-01_meg</v>
      </c>
      <c r="AP13" s="5" t="str">
        <f>IFERROR(__xludf.DUMMYFUNCTION("""COMPUTED_VALUE"""),"yes")</f>
        <v>yes</v>
      </c>
      <c r="AQ13" s="5">
        <f>IFERROR(__xludf.DUMMYFUNCTION("""COMPUTED_VALUE"""),72.1)</f>
        <v>72.1</v>
      </c>
      <c r="AR13" s="5">
        <f>IFERROR(__xludf.DUMMYFUNCTION("""COMPUTED_VALUE"""),-74.5)</f>
        <v>-74.5</v>
      </c>
      <c r="AS13" s="5">
        <f>IFERROR(__xludf.DUMMYFUNCTION("""COMPUTED_VALUE"""),240.0)</f>
        <v>240</v>
      </c>
      <c r="AT13" s="5" t="str">
        <f>IFERROR(__xludf.DUMMYFUNCTION("""COMPUTED_VALUE"""),"Maggie")</f>
        <v>Maggie</v>
      </c>
      <c r="AU13" s="5" t="str">
        <f>IFERROR(__xludf.DUMMYFUNCTION("""COMPUTED_VALUE"""),"Kam out")</f>
        <v>Kam out</v>
      </c>
      <c r="AV13" s="5" t="str">
        <f>IFERROR(__xludf.DUMMYFUNCTION("""COMPUTED_VALUE"""),"yes 5/5")</f>
        <v>yes 5/5</v>
      </c>
      <c r="AW13" s="5" t="str">
        <f>IFERROR(__xludf.DUMMYFUNCTION("""COMPUTED_VALUE"""),"1811, 1743 (flat)")</f>
        <v>1811, 1743 (flat)</v>
      </c>
      <c r="AX13" s="5" t="str">
        <f>IFERROR(__xludf.DUMMYFUNCTION("""COMPUTED_VALUE"""),"61/62")</f>
        <v>61/62</v>
      </c>
      <c r="AY13" s="5">
        <f>IFERROR(__xludf.DUMMYFUNCTION("""COMPUTED_VALUE"""),63.0)</f>
        <v>63</v>
      </c>
      <c r="AZ13" s="5" t="str">
        <f>IFERROR(__xludf.DUMMYFUNCTION("""COMPUTED_VALUE"""),"triggers +buttons seen on Acq, subj can hear sounds in earbuds, EOG+ECG=ok, subj does not have a permanent retainer")</f>
        <v>triggers +buttons seen on Acq, subj can hear sounds in earbuds, EOG+ECG=ok, subj does not have a permanent retainer</v>
      </c>
      <c r="BA13" s="5" t="str">
        <f>IFERROR(__xludf.DUMMYFUNCTION("""COMPUTED_VALUE"""),"Wednesday 9/13/17 @ 11:45am")</f>
        <v>Wednesday 9/13/17 @ 11:45am</v>
      </c>
      <c r="BB13" s="5" t="str">
        <f>IFERROR(__xludf.DUMMYFUNCTION("""COMPUTED_VALUE"""),"Bo")</f>
        <v>Bo</v>
      </c>
      <c r="BC13" s="5" t="str">
        <f>IFERROR(__xludf.DUMMYFUNCTION("""COMPUTED_VALUE"""),"Jeff, Kam, Todd")</f>
        <v>Jeff, Kam, Todd</v>
      </c>
      <c r="BD13" s="5" t="str">
        <f>IFERROR(__xludf.DUMMYFUNCTION("""COMPUTED_VALUE"""),"subject's mom (was in basement for beg. and end of scan)")</f>
        <v>subject's mom (was in basement for beg. and end of scan)</v>
      </c>
      <c r="BE13" s="5" t="str">
        <f>IFERROR(__xludf.DUMMYFUNCTION("""COMPUTED_VALUE"""),"sub-nbwr135")</f>
        <v>sub-nbwr135</v>
      </c>
      <c r="BF13" s="5" t="str">
        <f>IFERROR(__xludf.DUMMYFUNCTION("""COMPUTED_VALUE"""),"sub-nbwr135_phantom")</f>
        <v>sub-nbwr135_phantom</v>
      </c>
      <c r="BG13" s="5" t="str">
        <f>IFERROR(__xludf.DUMMYFUNCTION("""COMPUTED_VALUE"""),"9/13/17 @ 11:45 am")</f>
        <v>9/13/17 @ 11:45 am</v>
      </c>
      <c r="BH13" s="12">
        <f>IFERROR(__xludf.DUMMYFUNCTION("""COMPUTED_VALUE"""),0.4583333333333333)</f>
        <v>0.4583333333</v>
      </c>
      <c r="BI13" s="5">
        <f>IFERROR(__xludf.DUMMYFUNCTION("""COMPUTED_VALUE"""),22.3)</f>
        <v>22.3</v>
      </c>
      <c r="BJ13" s="12">
        <f>IFERROR(__xludf.DUMMYFUNCTION("""COMPUTED_VALUE"""),0.4791666666666667)</f>
        <v>0.4791666667</v>
      </c>
      <c r="BK13" s="5">
        <f>IFERROR(__xludf.DUMMYFUNCTION("""COMPUTED_VALUE"""),22.5)</f>
        <v>22.5</v>
      </c>
      <c r="BL13" s="5" t="str">
        <f>IFERROR(__xludf.DUMMYFUNCTION("""COMPUTED_VALUE"""),"called tracfone 15 min before appt (rescheduled). Texted reminder for rescheduled appt.  mom asked for mileage reimbursement (43 miles per one way trip) (gave numbers for CLOUDS 2017 also). subject was hungry and had to take break with 15 min remaining, a"&amp;"te a sandwich from backpack, DTI qT1 done after break successfully LT MWHM=17, RT 17. Two dates for phantom scan (original phantom scheduled and completed before subject cancelled appointment). CLOUDS and GABA offering standard NIH rate (.535*254 miles)")</f>
        <v>called tracfone 15 min before appt (rescheduled). Texted reminder for rescheduled appt.  mom asked for mileage reimbursement (43 miles per one way trip) (gave numbers for CLOUDS 2017 also). subject was hungry and had to take break with 15 min remaining, ate a sandwich from backpack, DTI qT1 done after break successfully LT MWHM=17, RT 17. Two dates for phantom scan (original phantom scheduled and completed before subject cancelled appointment). CLOUDS and GABA offering standard NIH rate (.535*254 miles)</v>
      </c>
      <c r="BM13" s="5" t="str">
        <f>IFERROR(__xludf.DUMMYFUNCTION("""COMPUTED_VALUE"""),"sub-nbwr135")</f>
        <v>sub-nbwr135</v>
      </c>
      <c r="BN13" s="8">
        <f>IFERROR(__xludf.DUMMYFUNCTION("""COMPUTED_VALUE"""),42971.0)</f>
        <v>42971</v>
      </c>
      <c r="BO13" s="8">
        <f>IFERROR(__xludf.DUMMYFUNCTION("""COMPUTED_VALUE"""),42975.0)</f>
        <v>42975</v>
      </c>
      <c r="BP13" s="8">
        <f>IFERROR(__xludf.DUMMYFUNCTION("""COMPUTED_VALUE"""),42991.0)</f>
        <v>42991</v>
      </c>
      <c r="BQ13" s="10"/>
      <c r="BR13" s="10"/>
      <c r="BS13" s="10"/>
      <c r="BT13" s="10"/>
      <c r="BU13" s="10"/>
      <c r="BV13" s="10"/>
      <c r="BW13" s="10"/>
      <c r="BX13" s="10"/>
      <c r="BY13" s="10"/>
      <c r="BZ13" s="10"/>
    </row>
    <row r="14">
      <c r="A14" s="11" t="str">
        <f>IFERROR(__xludf.DUMMYFUNCTION("""COMPUTED_VALUE"""),"GABA_110")</f>
        <v>GABA_110</v>
      </c>
      <c r="B14" s="6">
        <f>IFERROR(__xludf.DUMMYFUNCTION("""COMPUTED_VALUE"""),34955.0)</f>
        <v>34955</v>
      </c>
      <c r="C14" s="7">
        <f>IFERROR(__xludf.DUMMYFUNCTION("""COMPUTED_VALUE"""),21.964383561643835)</f>
        <v>21.96438356</v>
      </c>
      <c r="D14" s="5" t="str">
        <f>IFERROR(__xludf.DUMMYFUNCTION("""COMPUTED_VALUE"""),"male")</f>
        <v>male</v>
      </c>
      <c r="E14" s="8">
        <f>IFERROR(__xludf.DUMMYFUNCTION("""COMPUTED_VALUE"""),42963.0)</f>
        <v>42963</v>
      </c>
      <c r="F14" s="5" t="str">
        <f>IFERROR(__xludf.DUMMYFUNCTION("""COMPUTED_VALUE"""),"Bo")</f>
        <v>Bo</v>
      </c>
      <c r="G14" s="5" t="str">
        <f>IFERROR(__xludf.DUMMYFUNCTION("""COMPUTED_VALUE"""),"none")</f>
        <v>none</v>
      </c>
      <c r="H14" s="5" t="str">
        <f>IFERROR(__xludf.DUMMYFUNCTION("""COMPUTED_VALUE"""),"none")</f>
        <v>none</v>
      </c>
      <c r="I14" s="5" t="str">
        <f>IFERROR(__xludf.DUMMYFUNCTION("""COMPUTED_VALUE"""),"off on fridays and saturdays (prefers early appointments)")</f>
        <v>off on fridays and saturdays (prefers early appointments)</v>
      </c>
      <c r="J14" s="5" t="str">
        <f>IFERROR(__xludf.DUMMYFUNCTION("""COMPUTED_VALUE"""),"Friday 8/25/17 @ 10:30am")</f>
        <v>Friday 8/25/17 @ 10:30am</v>
      </c>
      <c r="K14" s="5" t="str">
        <f>IFERROR(__xludf.DUMMYFUNCTION("""COMPUTED_VALUE"""),"Julia &amp; Bo")</f>
        <v>Julia &amp; Bo</v>
      </c>
      <c r="L14" s="5" t="str">
        <f>IFERROR(__xludf.DUMMYFUNCTION("""COMPUTED_VALUE"""),"none")</f>
        <v>none</v>
      </c>
      <c r="M14" s="5" t="str">
        <f>IFERROR(__xludf.DUMMYFUNCTION("""COMPUTED_VALUE"""),"Julia")</f>
        <v>Julia</v>
      </c>
      <c r="N14" s="8">
        <f>IFERROR(__xludf.DUMMYFUNCTION("""COMPUTED_VALUE"""),42972.0)</f>
        <v>42972</v>
      </c>
      <c r="O14" s="5">
        <f>IFERROR(__xludf.DUMMYFUNCTION("""COMPUTED_VALUE"""),107.0)</f>
        <v>107</v>
      </c>
      <c r="P14" s="5">
        <f>IFERROR(__xludf.DUMMYFUNCTION("""COMPUTED_VALUE"""),123.0)</f>
        <v>123</v>
      </c>
      <c r="Q14" s="5">
        <f>IFERROR(__xludf.DUMMYFUNCTION("""COMPUTED_VALUE"""),117.0)</f>
        <v>117</v>
      </c>
      <c r="R14" s="5">
        <f>IFERROR(__xludf.DUMMYFUNCTION("""COMPUTED_VALUE"""),121.0)</f>
        <v>121</v>
      </c>
      <c r="S14" s="8">
        <f>IFERROR(__xludf.DUMMYFUNCTION("""COMPUTED_VALUE"""),42972.0)</f>
        <v>42972</v>
      </c>
      <c r="T14" s="5">
        <f>IFERROR(__xludf.DUMMYFUNCTION("""COMPUTED_VALUE"""),60.0)</f>
        <v>60</v>
      </c>
      <c r="U14" s="5">
        <f>IFERROR(__xludf.DUMMYFUNCTION("""COMPUTED_VALUE"""),55.0)</f>
        <v>55</v>
      </c>
      <c r="V14" s="5">
        <f>IFERROR(__xludf.DUMMYFUNCTION("""COMPUTED_VALUE"""),58.0)</f>
        <v>58</v>
      </c>
      <c r="W14" s="5">
        <f>IFERROR(__xludf.DUMMYFUNCTION("""COMPUTED_VALUE"""),59.0)</f>
        <v>59</v>
      </c>
      <c r="X14" s="5">
        <f>IFERROR(__xludf.DUMMYFUNCTION("""COMPUTED_VALUE"""),57.0)</f>
        <v>57</v>
      </c>
      <c r="Y14" s="5">
        <f>IFERROR(__xludf.DUMMYFUNCTION("""COMPUTED_VALUE"""),67.0)</f>
        <v>67</v>
      </c>
      <c r="Z14" s="5">
        <f>IFERROR(__xludf.DUMMYFUNCTION("""COMPUTED_VALUE"""),59.0)</f>
        <v>59</v>
      </c>
      <c r="AA14" s="8">
        <f>IFERROR(__xludf.DUMMYFUNCTION("""COMPUTED_VALUE"""),42972.0)</f>
        <v>42972</v>
      </c>
      <c r="AB14" s="23">
        <f>IFERROR(__xludf.DUMMYFUNCTION("""COMPUTED_VALUE"""),0.977)</f>
        <v>0.977</v>
      </c>
      <c r="AC14" s="8">
        <f>IFERROR(__xludf.DUMMYFUNCTION("""COMPUTED_VALUE"""),42972.0)</f>
        <v>42972</v>
      </c>
      <c r="AD14" s="5" t="str">
        <f>IFERROR(__xludf.DUMMYFUNCTION("""COMPUTED_VALUE"""),"Left: 250Hz and 500Hz")</f>
        <v>Left: 250Hz and 500Hz</v>
      </c>
      <c r="AE14" s="5" t="str">
        <f>IFERROR(__xludf.DUMMYFUNCTION("""COMPUTED_VALUE"""),"n/a")</f>
        <v>n/a</v>
      </c>
      <c r="AF14" s="8">
        <f>IFERROR(__xludf.DUMMYFUNCTION("""COMPUTED_VALUE"""),42972.0)</f>
        <v>42972</v>
      </c>
      <c r="AG14" s="5" t="str">
        <f>IFERROR(__xludf.DUMMYFUNCTION("""COMPUTED_VALUE"""),"White")</f>
        <v>White</v>
      </c>
      <c r="AH14" s="5" t="str">
        <f>IFERROR(__xludf.DUMMYFUNCTION("""COMPUTED_VALUE"""),"none")</f>
        <v>none</v>
      </c>
      <c r="AI14" s="8">
        <f>IFERROR(__xludf.DUMMYFUNCTION("""COMPUTED_VALUE"""),42972.0)</f>
        <v>42972</v>
      </c>
      <c r="AJ14" s="5" t="str">
        <f>IFERROR(__xludf.DUMMYFUNCTION("""COMPUTED_VALUE"""),"permanent retainer")</f>
        <v>permanent retainer</v>
      </c>
      <c r="AK14" s="5" t="str">
        <f>IFERROR(__xludf.DUMMYFUNCTION("""COMPUTED_VALUE"""),"Arrived 20 min late (went to portage bay cafe instead), appointment lasted 2.5 hours, drank 3 pitchers of water")</f>
        <v>Arrived 20 min late (went to portage bay cafe instead), appointment lasted 2.5 hours, drank 3 pitchers of water</v>
      </c>
      <c r="AL14" s="5" t="str">
        <f>IFERROR(__xludf.DUMMYFUNCTION("""COMPUTED_VALUE"""),"Friday 9/1/17 @ 11am")</f>
        <v>Friday 9/1/17 @ 11am</v>
      </c>
      <c r="AM14" s="5" t="str">
        <f>IFERROR(__xludf.DUMMYFUNCTION("""COMPUTED_VALUE"""),"Julia")</f>
        <v>Julia</v>
      </c>
      <c r="AN14" s="5" t="str">
        <f>IFERROR(__xludf.DUMMYFUNCTION("""COMPUTED_VALUE"""),"none")</f>
        <v>none</v>
      </c>
      <c r="AO14" s="5" t="str">
        <f>IFERROR(__xludf.DUMMYFUNCTION("""COMPUTED_VALUE"""),"sub-nbwr_ses001_task-lexicaldecision_run_01_meg-raw")</f>
        <v>sub-nbwr_ses001_task-lexicaldecision_run_01_meg-raw</v>
      </c>
      <c r="AP14" s="5" t="str">
        <f>IFERROR(__xludf.DUMMYFUNCTION("""COMPUTED_VALUE"""),"yes")</f>
        <v>yes</v>
      </c>
      <c r="AQ14" s="5">
        <f>IFERROR(__xludf.DUMMYFUNCTION("""COMPUTED_VALUE"""),73.9)</f>
        <v>73.9</v>
      </c>
      <c r="AR14" s="5">
        <f>IFERROR(__xludf.DUMMYFUNCTION("""COMPUTED_VALUE"""),-75.2)</f>
        <v>-75.2</v>
      </c>
      <c r="AS14" s="5">
        <f>IFERROR(__xludf.DUMMYFUNCTION("""COMPUTED_VALUE"""),240.0)</f>
        <v>240</v>
      </c>
      <c r="AT14" s="5" t="str">
        <f>IFERROR(__xludf.DUMMYFUNCTION("""COMPUTED_VALUE"""),"Maggie")</f>
        <v>Maggie</v>
      </c>
      <c r="AU14" s="5" t="str">
        <f>IFERROR(__xludf.DUMMYFUNCTION("""COMPUTED_VALUE"""),"Kam out")</f>
        <v>Kam out</v>
      </c>
      <c r="AV14" s="5" t="str">
        <f>IFERROR(__xludf.DUMMYFUNCTION("""COMPUTED_VALUE"""),"yes")</f>
        <v>yes</v>
      </c>
      <c r="AW14" s="5" t="str">
        <f>IFERROR(__xludf.DUMMYFUNCTION("""COMPUTED_VALUE"""),"1743 (flat), 2542 + 1241 went bad @ 8 min")</f>
        <v>1743 (flat), 2542 + 1241 went bad @ 8 min</v>
      </c>
      <c r="AX14" s="5" t="str">
        <f>IFERROR(__xludf.DUMMYFUNCTION("""COMPUTED_VALUE"""),"61/62")</f>
        <v>61/62</v>
      </c>
      <c r="AY14" s="5">
        <f>IFERROR(__xludf.DUMMYFUNCTION("""COMPUTED_VALUE"""),63.0)</f>
        <v>63</v>
      </c>
      <c r="AZ14" s="5" t="str">
        <f>IFERROR(__xludf.DUMMYFUNCTION("""COMPUTED_VALUE"""),"checked permanent retainer (some noise, but did not saturate sensors, should remove noise w/ tSSS). 1811 has been fixed after per-amp swap. EOG+ECG= great signal, triggers and buttons seen on Acq, subject can hear stimuli in both ears, reset @ 9:52 2542 b"&amp;"ad +spreading, couple channels (2542,1241 went flat during end of recording")</f>
        <v>checked permanent retainer (some noise, but did not saturate sensors, should remove noise w/ tSSS). 1811 has been fixed after per-amp swap. EOG+ECG= great signal, triggers and buttons seen on Acq, subject can hear stimuli in both ears, reset @ 9:52 2542 bad +spreading, couple channels (2542,1241 went flat during end of recording</v>
      </c>
      <c r="BA14" s="5" t="str">
        <f>IFERROR(__xludf.DUMMYFUNCTION("""COMPUTED_VALUE"""),"Friday 9/15/17 @ 12pm")</f>
        <v>Friday 9/15/17 @ 12pm</v>
      </c>
      <c r="BB14" s="5" t="str">
        <f>IFERROR(__xludf.DUMMYFUNCTION("""COMPUTED_VALUE"""),"Bo")</f>
        <v>Bo</v>
      </c>
      <c r="BC14" s="5" t="str">
        <f>IFERROR(__xludf.DUMMYFUNCTION("""COMPUTED_VALUE"""),"Jeff, Kam, Todd")</f>
        <v>Jeff, Kam, Todd</v>
      </c>
      <c r="BD14" s="5" t="str">
        <f>IFERROR(__xludf.DUMMYFUNCTION("""COMPUTED_VALUE"""),"none")</f>
        <v>none</v>
      </c>
      <c r="BE14" s="5" t="str">
        <f>IFERROR(__xludf.DUMMYFUNCTION("""COMPUTED_VALUE"""),"sub-nbwr110")</f>
        <v>sub-nbwr110</v>
      </c>
      <c r="BF14" s="5" t="str">
        <f>IFERROR(__xludf.DUMMYFUNCTION("""COMPUTED_VALUE"""),"sub-nbwr309_phantom")</f>
        <v>sub-nbwr309_phantom</v>
      </c>
      <c r="BG14" s="5" t="str">
        <f>IFERROR(__xludf.DUMMYFUNCTION("""COMPUTED_VALUE"""),"9/15/17 @ 11:30 am")</f>
        <v>9/15/17 @ 11:30 am</v>
      </c>
      <c r="BH14" s="12">
        <f>IFERROR(__xludf.DUMMYFUNCTION("""COMPUTED_VALUE"""),0.4722222222222222)</f>
        <v>0.4722222222</v>
      </c>
      <c r="BI14" s="5">
        <f>IFERROR(__xludf.DUMMYFUNCTION("""COMPUTED_VALUE"""),22.9)</f>
        <v>22.9</v>
      </c>
      <c r="BJ14" s="12">
        <f>IFERROR(__xludf.DUMMYFUNCTION("""COMPUTED_VALUE"""),0.5)</f>
        <v>0.5</v>
      </c>
      <c r="BK14" s="5">
        <f>IFERROR(__xludf.DUMMYFUNCTION("""COMPUTED_VALUE"""),23.0)</f>
        <v>23</v>
      </c>
      <c r="BL14" s="5" t="str">
        <f>IFERROR(__xludf.DUMMYFUNCTION("""COMPUTED_VALUE"""),"LT FWHM=15 RT=14, used phantom for sub-nbwr309 done same day")</f>
        <v>LT FWHM=15 RT=14, used phantom for sub-nbwr309 done same day</v>
      </c>
      <c r="BM14" s="5" t="str">
        <f>IFERROR(__xludf.DUMMYFUNCTION("""COMPUTED_VALUE"""),"sub-nbwr110")</f>
        <v>sub-nbwr110</v>
      </c>
      <c r="BN14" s="8">
        <f>IFERROR(__xludf.DUMMYFUNCTION("""COMPUTED_VALUE"""),42972.0)</f>
        <v>42972</v>
      </c>
      <c r="BO14" s="8">
        <f>IFERROR(__xludf.DUMMYFUNCTION("""COMPUTED_VALUE"""),42979.0)</f>
        <v>42979</v>
      </c>
      <c r="BP14" s="8">
        <f>IFERROR(__xludf.DUMMYFUNCTION("""COMPUTED_VALUE"""),42993.0)</f>
        <v>42993</v>
      </c>
      <c r="BQ14" s="10"/>
      <c r="BR14" s="10"/>
      <c r="BS14" s="10"/>
      <c r="BT14" s="10"/>
      <c r="BU14" s="10"/>
      <c r="BV14" s="10"/>
      <c r="BW14" s="10"/>
      <c r="BX14" s="10"/>
      <c r="BY14" s="10"/>
      <c r="BZ14" s="10"/>
    </row>
    <row r="15">
      <c r="A15" s="25" t="str">
        <f>IFERROR(__xludf.DUMMYFUNCTION("""COMPUTED_VALUE"""),"GABA_210")</f>
        <v>GABA_210</v>
      </c>
      <c r="B15" s="6">
        <f>IFERROR(__xludf.DUMMYFUNCTION("""COMPUTED_VALUE"""),35280.0)</f>
        <v>35280</v>
      </c>
      <c r="C15" s="7">
        <f>IFERROR(__xludf.DUMMYFUNCTION("""COMPUTED_VALUE"""),21.073972602739726)</f>
        <v>21.0739726</v>
      </c>
      <c r="D15" s="5" t="str">
        <f>IFERROR(__xludf.DUMMYFUNCTION("""COMPUTED_VALUE"""),"male")</f>
        <v>male</v>
      </c>
      <c r="E15" s="8">
        <f>IFERROR(__xludf.DUMMYFUNCTION("""COMPUTED_VALUE"""),42957.0)</f>
        <v>42957</v>
      </c>
      <c r="F15" s="5" t="str">
        <f>IFERROR(__xludf.DUMMYFUNCTION("""COMPUTED_VALUE"""),"Bo")</f>
        <v>Bo</v>
      </c>
      <c r="G15" s="5" t="str">
        <f>IFERROR(__xludf.DUMMYFUNCTION("""COMPUTED_VALUE"""),"acne meds only")</f>
        <v>acne meds only</v>
      </c>
      <c r="H15" s="5"/>
      <c r="I15" s="5" t="str">
        <f>IFERROR(__xludf.DUMMYFUNCTION("""COMPUTED_VALUE"""),"super long convo w/ mom, talked about how she DOES NOT WANT MOSES TO KNOW HE HAS AUTISM")</f>
        <v>super long convo w/ mom, talked about how she DOES NOT WANT MOSES TO KNOW HE HAS AUTISM</v>
      </c>
      <c r="J15" s="5" t="str">
        <f>IFERROR(__xludf.DUMMYFUNCTION("""COMPUTED_VALUE"""),"Friday 8/25/17 @ 3pm")</f>
        <v>Friday 8/25/17 @ 3pm</v>
      </c>
      <c r="K15" s="5"/>
      <c r="L15" s="5"/>
      <c r="M15" s="5"/>
      <c r="N15" s="5"/>
      <c r="O15" s="5"/>
      <c r="P15" s="5"/>
      <c r="Q15" s="5"/>
      <c r="R15" s="5"/>
      <c r="S15" s="5"/>
      <c r="T15" s="5"/>
      <c r="U15" s="5"/>
      <c r="V15" s="5"/>
      <c r="W15" s="5"/>
      <c r="X15" s="5"/>
      <c r="Y15" s="5"/>
      <c r="Z15" s="5"/>
      <c r="AA15" s="5"/>
      <c r="AB15" s="5" t="str">
        <f>IFERROR(__xludf.DUMMYFUNCTION("""COMPUTED_VALUE"""),"LEFT HANDED")</f>
        <v>LEFT HANDED</v>
      </c>
      <c r="AC15" s="5"/>
      <c r="AD15" s="5"/>
      <c r="AE15" s="5"/>
      <c r="AF15" s="5"/>
      <c r="AG15" s="5"/>
      <c r="AH15" s="5"/>
      <c r="AI15" s="5"/>
      <c r="AJ15" s="5"/>
      <c r="AK15" s="5" t="str">
        <f>IFERROR(__xludf.DUMMYFUNCTION("""COMPUTED_VALUE"""),"CALLED 8/14/17 @ 11am to cancel appointment (subject is born left handed)")</f>
        <v>CALLED 8/14/17 @ 11am to cancel appointment (subject is born left handed)</v>
      </c>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8">
        <f>IFERROR(__xludf.DUMMYFUNCTION("""COMPUTED_VALUE"""),42972.0)</f>
        <v>42972</v>
      </c>
      <c r="BO15" s="5"/>
      <c r="BP15" s="5"/>
      <c r="BQ15" s="10"/>
      <c r="BR15" s="10"/>
      <c r="BS15" s="10"/>
      <c r="BT15" s="10"/>
      <c r="BU15" s="10"/>
      <c r="BV15" s="10"/>
      <c r="BW15" s="10"/>
      <c r="BX15" s="10"/>
      <c r="BY15" s="10"/>
      <c r="BZ15" s="10"/>
    </row>
    <row r="16">
      <c r="A16" s="11" t="str">
        <f>IFERROR(__xludf.DUMMYFUNCTION("""COMPUTED_VALUE"""),"GABA_017")</f>
        <v>GABA_017</v>
      </c>
      <c r="B16" s="8">
        <f>IFERROR(__xludf.DUMMYFUNCTION("""COMPUTED_VALUE"""),34850.0)</f>
        <v>34850</v>
      </c>
      <c r="C16" s="7">
        <f>IFERROR(__xludf.DUMMYFUNCTION("""COMPUTED_VALUE"""),22.317808219178083)</f>
        <v>22.31780822</v>
      </c>
      <c r="D16" s="5" t="str">
        <f>IFERROR(__xludf.DUMMYFUNCTION("""COMPUTED_VALUE"""),"male")</f>
        <v>male</v>
      </c>
      <c r="E16" s="8">
        <f>IFERROR(__xludf.DUMMYFUNCTION("""COMPUTED_VALUE"""),42975.0)</f>
        <v>42975</v>
      </c>
      <c r="F16" s="5" t="str">
        <f>IFERROR(__xludf.DUMMYFUNCTION("""COMPUTED_VALUE"""),"Bo")</f>
        <v>Bo</v>
      </c>
      <c r="G16" s="5" t="str">
        <f>IFERROR(__xludf.DUMMYFUNCTION("""COMPUTED_VALUE"""),"none")</f>
        <v>none</v>
      </c>
      <c r="H16" s="5" t="str">
        <f>IFERROR(__xludf.DUMMYFUNCTION("""COMPUTED_VALUE"""),"$130 for gas to mom")</f>
        <v>$130 for gas to mom</v>
      </c>
      <c r="I16" s="5" t="str">
        <f>IFERROR(__xludf.DUMMYFUNCTION("""COMPUTED_VALUE"""),"wrong email listed in Autism database (updated), requested monday appts")</f>
        <v>wrong email listed in Autism database (updated), requested monday appts</v>
      </c>
      <c r="J16" s="5" t="str">
        <f>IFERROR(__xludf.DUMMYFUNCTION("""COMPUTED_VALUE"""),"Monday 9/18/17 @ 12pm")</f>
        <v>Monday 9/18/17 @ 12pm</v>
      </c>
      <c r="K16" s="5" t="str">
        <f>IFERROR(__xludf.DUMMYFUNCTION("""COMPUTED_VALUE"""),"Julia &amp; Bo")</f>
        <v>Julia &amp; Bo</v>
      </c>
      <c r="L16" s="5" t="str">
        <f>IFERROR(__xludf.DUMMYFUNCTION("""COMPUTED_VALUE"""),"subject's mom (stayed in lobby)")</f>
        <v>subject's mom (stayed in lobby)</v>
      </c>
      <c r="M16" s="5" t="str">
        <f>IFERROR(__xludf.DUMMYFUNCTION("""COMPUTED_VALUE"""),"Julia")</f>
        <v>Julia</v>
      </c>
      <c r="N16" s="8">
        <f>IFERROR(__xludf.DUMMYFUNCTION("""COMPUTED_VALUE"""),42996.0)</f>
        <v>42996</v>
      </c>
      <c r="O16" s="5">
        <f>IFERROR(__xludf.DUMMYFUNCTION("""COMPUTED_VALUE"""),85.0)</f>
        <v>85</v>
      </c>
      <c r="P16" s="5">
        <f>IFERROR(__xludf.DUMMYFUNCTION("""COMPUTED_VALUE"""),98.0)</f>
        <v>98</v>
      </c>
      <c r="Q16" s="5">
        <f>IFERROR(__xludf.DUMMYFUNCTION("""COMPUTED_VALUE"""),90.0)</f>
        <v>90</v>
      </c>
      <c r="R16" s="5">
        <f>IFERROR(__xludf.DUMMYFUNCTION("""COMPUTED_VALUE"""),91.0)</f>
        <v>91</v>
      </c>
      <c r="S16" s="8">
        <f>IFERROR(__xludf.DUMMYFUNCTION("""COMPUTED_VALUE"""),42996.0)</f>
        <v>42996</v>
      </c>
      <c r="T16" s="5">
        <f>IFERROR(__xludf.DUMMYFUNCTION("""COMPUTED_VALUE"""),51.0)</f>
        <v>51</v>
      </c>
      <c r="U16" s="5">
        <f>IFERROR(__xludf.DUMMYFUNCTION("""COMPUTED_VALUE"""),49.0)</f>
        <v>49</v>
      </c>
      <c r="V16" s="5">
        <f>IFERROR(__xludf.DUMMYFUNCTION("""COMPUTED_VALUE"""),49.0)</f>
        <v>49</v>
      </c>
      <c r="W16" s="5">
        <f>IFERROR(__xludf.DUMMYFUNCTION("""COMPUTED_VALUE"""),53.0)</f>
        <v>53</v>
      </c>
      <c r="X16" s="5">
        <f>IFERROR(__xludf.DUMMYFUNCTION("""COMPUTED_VALUE"""),51.0)</f>
        <v>51</v>
      </c>
      <c r="Y16" s="5">
        <f>IFERROR(__xludf.DUMMYFUNCTION("""COMPUTED_VALUE"""),52.0)</f>
        <v>52</v>
      </c>
      <c r="Z16" s="5">
        <f>IFERROR(__xludf.DUMMYFUNCTION("""COMPUTED_VALUE"""),51.0)</f>
        <v>51</v>
      </c>
      <c r="AA16" s="8">
        <f>IFERROR(__xludf.DUMMYFUNCTION("""COMPUTED_VALUE"""),42996.0)</f>
        <v>42996</v>
      </c>
      <c r="AB16" s="21">
        <f>IFERROR(__xludf.DUMMYFUNCTION("""COMPUTED_VALUE"""),1.0)</f>
        <v>1</v>
      </c>
      <c r="AC16" s="8">
        <f>IFERROR(__xludf.DUMMYFUNCTION("""COMPUTED_VALUE"""),42996.0)</f>
        <v>42996</v>
      </c>
      <c r="AD16" s="5" t="str">
        <f>IFERROR(__xludf.DUMMYFUNCTION("""COMPUTED_VALUE"""),"Right: no 500Hz, 1kHz")</f>
        <v>Right: no 500Hz, 1kHz</v>
      </c>
      <c r="AE16" s="5" t="str">
        <f>IFERROR(__xludf.DUMMYFUNCTION("""COMPUTED_VALUE"""),"n/a")</f>
        <v>n/a</v>
      </c>
      <c r="AF16" s="8">
        <f>IFERROR(__xludf.DUMMYFUNCTION("""COMPUTED_VALUE"""),42996.0)</f>
        <v>42996</v>
      </c>
      <c r="AG16" s="5" t="str">
        <f>IFERROR(__xludf.DUMMYFUNCTION("""COMPUTED_VALUE"""),"White")</f>
        <v>White</v>
      </c>
      <c r="AH16" s="5" t="str">
        <f>IFERROR(__xludf.DUMMYFUNCTION("""COMPUTED_VALUE"""),"none")</f>
        <v>none</v>
      </c>
      <c r="AI16" s="8">
        <f>IFERROR(__xludf.DUMMYFUNCTION("""COMPUTED_VALUE"""),42996.0)</f>
        <v>42996</v>
      </c>
      <c r="AJ16" s="5" t="str">
        <f>IFERROR(__xludf.DUMMYFUNCTION("""COMPUTED_VALUE"""),"none")</f>
        <v>none</v>
      </c>
      <c r="AK16" s="5" t="str">
        <f>IFERROR(__xludf.DUMMYFUNCTION("""COMPUTED_VALUE"""),"arrived 40 min early, subject upset that Bo was not there to greet him. will give additional $ for travel to mom. completed MEG after testing (needs to rent a car to drive from Longview)")</f>
        <v>arrived 40 min early, subject upset that Bo was not there to greet him. will give additional $ for travel to mom. completed MEG after testing (needs to rent a car to drive from Longview)</v>
      </c>
      <c r="AL16" s="5" t="str">
        <f>IFERROR(__xludf.DUMMYFUNCTION("""COMPUTED_VALUE"""),"Monday 10/2/17 @ 12pm")</f>
        <v>Monday 10/2/17 @ 12pm</v>
      </c>
      <c r="AM16" s="5" t="str">
        <f>IFERROR(__xludf.DUMMYFUNCTION("""COMPUTED_VALUE"""),"Bo")</f>
        <v>Bo</v>
      </c>
      <c r="AN16" s="5" t="str">
        <f>IFERROR(__xludf.DUMMYFUNCTION("""COMPUTED_VALUE"""),"subject's mom (stayed in lobby)")</f>
        <v>subject's mom (stayed in lobby)</v>
      </c>
      <c r="AO16" s="5" t="str">
        <f>IFERROR(__xludf.DUMMYFUNCTION("""COMPUTED_VALUE"""),"sub-nbwr017_ses001_task-lexicaldecision_run_01_meg_raw.fif")</f>
        <v>sub-nbwr017_ses001_task-lexicaldecision_run_01_meg_raw.fif</v>
      </c>
      <c r="AP16" s="5" t="str">
        <f>IFERROR(__xludf.DUMMYFUNCTION("""COMPUTED_VALUE"""),"yes")</f>
        <v>yes</v>
      </c>
      <c r="AQ16" s="5">
        <f>IFERROR(__xludf.DUMMYFUNCTION("""COMPUTED_VALUE"""),76.0)</f>
        <v>76</v>
      </c>
      <c r="AR16" s="5">
        <f>IFERROR(__xludf.DUMMYFUNCTION("""COMPUTED_VALUE"""),-70.0)</f>
        <v>-70</v>
      </c>
      <c r="AS16" s="5">
        <f>IFERROR(__xludf.DUMMYFUNCTION("""COMPUTED_VALUE"""),240.0)</f>
        <v>240</v>
      </c>
      <c r="AT16" s="5" t="str">
        <f>IFERROR(__xludf.DUMMYFUNCTION("""COMPUTED_VALUE"""),"Maggie")</f>
        <v>Maggie</v>
      </c>
      <c r="AU16" s="5" t="str">
        <f>IFERROR(__xludf.DUMMYFUNCTION("""COMPUTED_VALUE"""),"Kam  ")</f>
        <v>Kam  </v>
      </c>
      <c r="AV16" s="5" t="str">
        <f>IFERROR(__xludf.DUMMYFUNCTION("""COMPUTED_VALUE"""),"yes 5/5")</f>
        <v>yes 5/5</v>
      </c>
      <c r="AW16" s="5" t="str">
        <f>IFERROR(__xludf.DUMMYFUNCTION("""COMPUTED_VALUE"""),"1743=flat")</f>
        <v>1743=flat</v>
      </c>
      <c r="AX16" s="5" t="str">
        <f>IFERROR(__xludf.DUMMYFUNCTION("""COMPUTED_VALUE"""),"61/62")</f>
        <v>61/62</v>
      </c>
      <c r="AY16" s="5">
        <f>IFERROR(__xludf.DUMMYFUNCTION("""COMPUTED_VALUE"""),63.0)</f>
        <v>63</v>
      </c>
      <c r="AZ16" s="5" t="str">
        <f>IFERROR(__xludf.DUMMYFUNCTION("""COMPUTED_VALUE"""),"triggers +buttons seen on Acq, EOG+ECG=very good")</f>
        <v>triggers +buttons seen on Acq, EOG+ECG=very good</v>
      </c>
      <c r="BA16" s="5" t="str">
        <f>IFERROR(__xludf.DUMMYFUNCTION("""COMPUTED_VALUE"""),"Monday 10/2/17 @ 12pm")</f>
        <v>Monday 10/2/17 @ 12pm</v>
      </c>
      <c r="BB16" s="5" t="str">
        <f>IFERROR(__xludf.DUMMYFUNCTION("""COMPUTED_VALUE"""),"Bo")</f>
        <v>Bo</v>
      </c>
      <c r="BC16" s="5" t="str">
        <f>IFERROR(__xludf.DUMMYFUNCTION("""COMPUTED_VALUE"""),"Jeff, Kam, Todd")</f>
        <v>Jeff, Kam, Todd</v>
      </c>
      <c r="BD16" s="5" t="str">
        <f>IFERROR(__xludf.DUMMYFUNCTION("""COMPUTED_VALUE"""),"subject's mom")</f>
        <v>subject's mom</v>
      </c>
      <c r="BE16" s="5" t="str">
        <f>IFERROR(__xludf.DUMMYFUNCTION("""COMPUTED_VALUE"""),"sub-nbwr017")</f>
        <v>sub-nbwr017</v>
      </c>
      <c r="BF16" s="5" t="str">
        <f>IFERROR(__xludf.DUMMYFUNCTION("""COMPUTED_VALUE"""),"sub_nbwr017_phantom")</f>
        <v>sub_nbwr017_phantom</v>
      </c>
      <c r="BG16" s="5" t="str">
        <f>IFERROR(__xludf.DUMMYFUNCTION("""COMPUTED_VALUE"""),"10/2/17 @ 1:15 pm")</f>
        <v>10/2/17 @ 1:15 pm</v>
      </c>
      <c r="BH16" s="12">
        <f>IFERROR(__xludf.DUMMYFUNCTION("""COMPUTED_VALUE"""),0.5520833333333334)</f>
        <v>0.5520833333</v>
      </c>
      <c r="BI16" s="5">
        <f>IFERROR(__xludf.DUMMYFUNCTION("""COMPUTED_VALUE"""),21.8)</f>
        <v>21.8</v>
      </c>
      <c r="BJ16" s="12">
        <f>IFERROR(__xludf.DUMMYFUNCTION("""COMPUTED_VALUE"""),0.5729166666666666)</f>
        <v>0.5729166667</v>
      </c>
      <c r="BK16" s="5">
        <f>IFERROR(__xludf.DUMMYFUNCTION("""COMPUTED_VALUE"""),22.5)</f>
        <v>22.5</v>
      </c>
      <c r="BL16" s="5" t="str">
        <f>IFERROR(__xludf.DUMMYFUNCTION("""COMPUTED_VALUE"""),"slight motion on QTi, not horrible, gave subject MEG check, gave mom $130 check for travel. FWHM LT=13Hg, RT=15")</f>
        <v>slight motion on QTi, not horrible, gave subject MEG check, gave mom $130 check for travel. FWHM LT=13Hg, RT=15</v>
      </c>
      <c r="BM16" s="5" t="str">
        <f>IFERROR(__xludf.DUMMYFUNCTION("""COMPUTED_VALUE"""),"sub-nbwr017")</f>
        <v>sub-nbwr017</v>
      </c>
      <c r="BN16" s="8">
        <f>IFERROR(__xludf.DUMMYFUNCTION("""COMPUTED_VALUE"""),42996.0)</f>
        <v>42996</v>
      </c>
      <c r="BO16" s="8">
        <f>IFERROR(__xludf.DUMMYFUNCTION("""COMPUTED_VALUE"""),42996.0)</f>
        <v>42996</v>
      </c>
      <c r="BP16" s="8">
        <f>IFERROR(__xludf.DUMMYFUNCTION("""COMPUTED_VALUE"""),43010.0)</f>
        <v>43010</v>
      </c>
      <c r="BQ16" s="10"/>
      <c r="BR16" s="10"/>
      <c r="BS16" s="10"/>
      <c r="BT16" s="10"/>
      <c r="BU16" s="10"/>
      <c r="BV16" s="10"/>
      <c r="BW16" s="10"/>
      <c r="BX16" s="10"/>
      <c r="BY16" s="10"/>
      <c r="BZ16" s="10"/>
    </row>
    <row r="17">
      <c r="A17" s="11" t="str">
        <f>IFERROR(__xludf.DUMMYFUNCTION("""COMPUTED_VALUE"""),"GABA_310")</f>
        <v>GABA_310</v>
      </c>
      <c r="B17" s="6">
        <f>IFERROR(__xludf.DUMMYFUNCTION("""COMPUTED_VALUE"""),34264.0)</f>
        <v>34264</v>
      </c>
      <c r="C17" s="7">
        <f>IFERROR(__xludf.DUMMYFUNCTION("""COMPUTED_VALUE"""),23.923287671232877)</f>
        <v>23.92328767</v>
      </c>
      <c r="D17" s="5" t="str">
        <f>IFERROR(__xludf.DUMMYFUNCTION("""COMPUTED_VALUE"""),"male")</f>
        <v>male</v>
      </c>
      <c r="E17" s="8">
        <f>IFERROR(__xludf.DUMMYFUNCTION("""COMPUTED_VALUE"""),42993.0)</f>
        <v>42993</v>
      </c>
      <c r="F17" s="5" t="str">
        <f>IFERROR(__xludf.DUMMYFUNCTION("""COMPUTED_VALUE"""),"Bo")</f>
        <v>Bo</v>
      </c>
      <c r="G17" s="5" t="str">
        <f>IFERROR(__xludf.DUMMYFUNCTION("""COMPUTED_VALUE"""),"none")</f>
        <v>none</v>
      </c>
      <c r="H17" s="5" t="str">
        <f>IFERROR(__xludf.DUMMYFUNCTION("""COMPUTED_VALUE"""),"none")</f>
        <v>none</v>
      </c>
      <c r="I17" s="5" t="str">
        <f>IFERROR(__xludf.DUMMYFUNCTION("""COMPUTED_VALUE"""),"needs weeknight appointments because of work")</f>
        <v>needs weeknight appointments because of work</v>
      </c>
      <c r="J17" s="5" t="str">
        <f>IFERROR(__xludf.DUMMYFUNCTION("""COMPUTED_VALUE"""),"Monday 9/18/17 @ 5:30pm")</f>
        <v>Monday 9/18/17 @ 5:30pm</v>
      </c>
      <c r="K17" s="5" t="str">
        <f>IFERROR(__xludf.DUMMYFUNCTION("""COMPUTED_VALUE"""),"Julia  ")</f>
        <v>Julia  </v>
      </c>
      <c r="L17" s="5"/>
      <c r="M17" s="5"/>
      <c r="N17" s="5"/>
      <c r="O17" s="5"/>
      <c r="P17" s="5"/>
      <c r="Q17" s="5"/>
      <c r="R17" s="5"/>
      <c r="S17" s="5"/>
      <c r="T17" s="5"/>
      <c r="U17" s="5"/>
      <c r="V17" s="5"/>
      <c r="W17" s="5"/>
      <c r="X17" s="5"/>
      <c r="Y17" s="5"/>
      <c r="Z17" s="5"/>
      <c r="AA17" s="5"/>
      <c r="AB17" s="5"/>
      <c r="AC17" s="5"/>
      <c r="AD17" s="5"/>
      <c r="AE17" s="5"/>
      <c r="AF17" s="5"/>
      <c r="AG17" s="5"/>
      <c r="AH17" s="5"/>
      <c r="AI17" s="5"/>
      <c r="AJ17" s="5"/>
      <c r="AK17" s="5" t="str">
        <f>IFERROR(__xludf.DUMMYFUNCTION("""COMPUTED_VALUE"""),"tested in MEG, permanent retainer was saturaing the channels, will not continue with the study. will mail check")</f>
        <v>tested in MEG, permanent retainer was saturaing the channels, will not continue with the study. will mail check</v>
      </c>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8">
        <f>IFERROR(__xludf.DUMMYFUNCTION("""COMPUTED_VALUE"""),42996.0)</f>
        <v>42996</v>
      </c>
      <c r="BO17" s="5"/>
      <c r="BP17" s="5"/>
      <c r="BQ17" s="10"/>
      <c r="BR17" s="10"/>
      <c r="BS17" s="10"/>
      <c r="BT17" s="10"/>
      <c r="BU17" s="10"/>
      <c r="BV17" s="10"/>
      <c r="BW17" s="10"/>
      <c r="BX17" s="10"/>
      <c r="BY17" s="10"/>
      <c r="BZ17" s="10"/>
    </row>
    <row r="18">
      <c r="A18" s="11" t="str">
        <f>IFERROR(__xludf.DUMMYFUNCTION("""COMPUTED_VALUE"""),"GABA_081")</f>
        <v>GABA_081</v>
      </c>
      <c r="B18" s="6">
        <f>IFERROR(__xludf.DUMMYFUNCTION("""COMPUTED_VALUE"""),35099.0)</f>
        <v>35099</v>
      </c>
      <c r="C18" s="7">
        <f>IFERROR(__xludf.DUMMYFUNCTION("""COMPUTED_VALUE"""),21.65753424657534)</f>
        <v>21.65753425</v>
      </c>
      <c r="D18" s="5" t="str">
        <f>IFERROR(__xludf.DUMMYFUNCTION("""COMPUTED_VALUE"""),"male")</f>
        <v>male</v>
      </c>
      <c r="E18" s="8">
        <f>IFERROR(__xludf.DUMMYFUNCTION("""COMPUTED_VALUE"""),42997.0)</f>
        <v>42997</v>
      </c>
      <c r="F18" s="5" t="str">
        <f>IFERROR(__xludf.DUMMYFUNCTION("""COMPUTED_VALUE"""),"Bo")</f>
        <v>Bo</v>
      </c>
      <c r="G18" s="5" t="str">
        <f>IFERROR(__xludf.DUMMYFUNCTION("""COMPUTED_VALUE"""),"concerta")</f>
        <v>concerta</v>
      </c>
      <c r="H18" s="5" t="str">
        <f>IFERROR(__xludf.DUMMYFUNCTION("""COMPUTED_VALUE"""),"none")</f>
        <v>none</v>
      </c>
      <c r="I18" s="5" t="str">
        <f>IFERROR(__xludf.DUMMYFUNCTION("""COMPUTED_VALUE"""),"only have home phone #")</f>
        <v>only have home phone #</v>
      </c>
      <c r="J18" s="5" t="str">
        <f>IFERROR(__xludf.DUMMYFUNCTION("""COMPUTED_VALUE"""),"Tuesday 9/26/17 @ 11:30am")</f>
        <v>Tuesday 9/26/17 @ 11:30am</v>
      </c>
      <c r="K18" s="5" t="str">
        <f>IFERROR(__xludf.DUMMYFUNCTION("""COMPUTED_VALUE"""),"Julia &amp; Bo")</f>
        <v>Julia &amp; Bo</v>
      </c>
      <c r="L18" s="5" t="str">
        <f>IFERROR(__xludf.DUMMYFUNCTION("""COMPUTED_VALUE"""),"none")</f>
        <v>none</v>
      </c>
      <c r="M18" s="5" t="str">
        <f>IFERROR(__xludf.DUMMYFUNCTION("""COMPUTED_VALUE"""),"Julia")</f>
        <v>Julia</v>
      </c>
      <c r="N18" s="8">
        <f>IFERROR(__xludf.DUMMYFUNCTION("""COMPUTED_VALUE"""),43004.0)</f>
        <v>43004</v>
      </c>
      <c r="O18" s="5">
        <f>IFERROR(__xludf.DUMMYFUNCTION("""COMPUTED_VALUE"""),125.0)</f>
        <v>125</v>
      </c>
      <c r="P18" s="5">
        <f>IFERROR(__xludf.DUMMYFUNCTION("""COMPUTED_VALUE"""),121.0)</f>
        <v>121</v>
      </c>
      <c r="Q18" s="5">
        <f>IFERROR(__xludf.DUMMYFUNCTION("""COMPUTED_VALUE"""),127.0)</f>
        <v>127</v>
      </c>
      <c r="R18" s="5">
        <f>IFERROR(__xludf.DUMMYFUNCTION("""COMPUTED_VALUE"""),123.0)</f>
        <v>123</v>
      </c>
      <c r="S18" s="8">
        <f>IFERROR(__xludf.DUMMYFUNCTION("""COMPUTED_VALUE"""),43004.0)</f>
        <v>43004</v>
      </c>
      <c r="T18" s="5">
        <f>IFERROR(__xludf.DUMMYFUNCTION("""COMPUTED_VALUE"""),55.0)</f>
        <v>55</v>
      </c>
      <c r="U18" s="5">
        <f>IFERROR(__xludf.DUMMYFUNCTION("""COMPUTED_VALUE"""),58.0)</f>
        <v>58</v>
      </c>
      <c r="V18" s="5">
        <f>IFERROR(__xludf.DUMMYFUNCTION("""COMPUTED_VALUE"""),55.0)</f>
        <v>55</v>
      </c>
      <c r="W18" s="5">
        <f>IFERROR(__xludf.DUMMYFUNCTION("""COMPUTED_VALUE"""),50.0)</f>
        <v>50</v>
      </c>
      <c r="X18" s="5">
        <f>IFERROR(__xludf.DUMMYFUNCTION("""COMPUTED_VALUE"""),51.0)</f>
        <v>51</v>
      </c>
      <c r="Y18" s="5">
        <f>IFERROR(__xludf.DUMMYFUNCTION("""COMPUTED_VALUE"""),63.0)</f>
        <v>63</v>
      </c>
      <c r="Z18" s="5">
        <f>IFERROR(__xludf.DUMMYFUNCTION("""COMPUTED_VALUE"""),53.0)</f>
        <v>53</v>
      </c>
      <c r="AA18" s="8">
        <f>IFERROR(__xludf.DUMMYFUNCTION("""COMPUTED_VALUE"""),43004.0)</f>
        <v>43004</v>
      </c>
      <c r="AB18" s="23">
        <f>IFERROR(__xludf.DUMMYFUNCTION("""COMPUTED_VALUE"""),0.909)</f>
        <v>0.909</v>
      </c>
      <c r="AC18" s="8">
        <f>IFERROR(__xludf.DUMMYFUNCTION("""COMPUTED_VALUE"""),43004.0)</f>
        <v>43004</v>
      </c>
      <c r="AD18" s="5" t="str">
        <f>IFERROR(__xludf.DUMMYFUNCTION("""COMPUTED_VALUE"""),"no loss")</f>
        <v>no loss</v>
      </c>
      <c r="AE18" s="5" t="str">
        <f>IFERROR(__xludf.DUMMYFUNCTION("""COMPUTED_VALUE"""),"n/a")</f>
        <v>n/a</v>
      </c>
      <c r="AF18" s="8">
        <f>IFERROR(__xludf.DUMMYFUNCTION("""COMPUTED_VALUE"""),43004.0)</f>
        <v>43004</v>
      </c>
      <c r="AG18" s="5" t="str">
        <f>IFERROR(__xludf.DUMMYFUNCTION("""COMPUTED_VALUE"""),"White")</f>
        <v>White</v>
      </c>
      <c r="AH18" s="5" t="str">
        <f>IFERROR(__xludf.DUMMYFUNCTION("""COMPUTED_VALUE"""),"Concerta/ 72mg daily/ Focus, maybe 2008")</f>
        <v>Concerta/ 72mg daily/ Focus, maybe 2008</v>
      </c>
      <c r="AI18" s="8">
        <f>IFERROR(__xludf.DUMMYFUNCTION("""COMPUTED_VALUE"""),43004.0)</f>
        <v>43004</v>
      </c>
      <c r="AJ18" s="5" t="str">
        <f>IFERROR(__xludf.DUMMYFUNCTION("""COMPUTED_VALUE"""),"none")</f>
        <v>none</v>
      </c>
      <c r="AK18" s="5" t="str">
        <f>IFERROR(__xludf.DUMMYFUNCTION("""COMPUTED_VALUE"""),"subject lives in the UW dorms, walks to appt, did MEG tour after SRS page 1, left check and consent in booth (emailed), appt ran 30 min over")</f>
        <v>subject lives in the UW dorms, walks to appt, did MEG tour after SRS page 1, left check and consent in booth (emailed), appt ran 30 min over</v>
      </c>
      <c r="AL18" s="5" t="str">
        <f>IFERROR(__xludf.DUMMYFUNCTION("""COMPUTED_VALUE"""),"Friday 9/29/17 @ 1pm")</f>
        <v>Friday 9/29/17 @ 1pm</v>
      </c>
      <c r="AM18" s="5" t="str">
        <f>IFERROR(__xludf.DUMMYFUNCTION("""COMPUTED_VALUE"""),"Bo")</f>
        <v>Bo</v>
      </c>
      <c r="AN18" s="5" t="str">
        <f>IFERROR(__xludf.DUMMYFUNCTION("""COMPUTED_VALUE"""),"none")</f>
        <v>none</v>
      </c>
      <c r="AO18" s="5" t="str">
        <f>IFERROR(__xludf.DUMMYFUNCTION("""COMPUTED_VALUE"""),"sub-Nbwr081_ses001_task-lexicaldecision_run-01_meg_raw.fif")</f>
        <v>sub-Nbwr081_ses001_task-lexicaldecision_run-01_meg_raw.fif</v>
      </c>
      <c r="AP18" s="5" t="str">
        <f>IFERROR(__xludf.DUMMYFUNCTION("""COMPUTED_VALUE"""),"yes")</f>
        <v>yes</v>
      </c>
      <c r="AQ18" s="5">
        <f>IFERROR(__xludf.DUMMYFUNCTION("""COMPUTED_VALUE"""),72.1)</f>
        <v>72.1</v>
      </c>
      <c r="AR18" s="5">
        <f>IFERROR(__xludf.DUMMYFUNCTION("""COMPUTED_VALUE"""),-75.4)</f>
        <v>-75.4</v>
      </c>
      <c r="AS18" s="5">
        <f>IFERROR(__xludf.DUMMYFUNCTION("""COMPUTED_VALUE"""),240.0)</f>
        <v>240</v>
      </c>
      <c r="AT18" s="5" t="str">
        <f>IFERROR(__xludf.DUMMYFUNCTION("""COMPUTED_VALUE"""),"Myles")</f>
        <v>Myles</v>
      </c>
      <c r="AU18" s="5" t="str">
        <f>IFERROR(__xludf.DUMMYFUNCTION("""COMPUTED_VALUE"""),"Kam")</f>
        <v>Kam</v>
      </c>
      <c r="AV18" s="5" t="str">
        <f>IFERROR(__xludf.DUMMYFUNCTION("""COMPUTED_VALUE"""),"yes")</f>
        <v>yes</v>
      </c>
      <c r="AW18" s="5">
        <f>IFERROR(__xludf.DUMMYFUNCTION("""COMPUTED_VALUE"""),1743.0)</f>
        <v>1743</v>
      </c>
      <c r="AX18" s="5" t="str">
        <f>IFERROR(__xludf.DUMMYFUNCTION("""COMPUTED_VALUE"""),"61/62")</f>
        <v>61/62</v>
      </c>
      <c r="AY18" s="5">
        <f>IFERROR(__xludf.DUMMYFUNCTION("""COMPUTED_VALUE"""),63.0)</f>
        <v>63</v>
      </c>
      <c r="AZ18" s="5" t="str">
        <f>IFERROR(__xludf.DUMMYFUNCTION("""COMPUTED_VALUE"""),"none")</f>
        <v>none</v>
      </c>
      <c r="BA18" s="5" t="str">
        <f>IFERROR(__xludf.DUMMYFUNCTION("""COMPUTED_VALUE"""),"Monday 10/9/17 @ 2pm")</f>
        <v>Monday 10/9/17 @ 2pm</v>
      </c>
      <c r="BB18" s="5" t="str">
        <f>IFERROR(__xludf.DUMMYFUNCTION("""COMPUTED_VALUE"""),"Bo")</f>
        <v>Bo</v>
      </c>
      <c r="BC18" s="5" t="str">
        <f>IFERROR(__xludf.DUMMYFUNCTION("""COMPUTED_VALUE"""),"Jeff, Kam, Todd, Serena")</f>
        <v>Jeff, Kam, Todd, Serena</v>
      </c>
      <c r="BD18" s="5" t="str">
        <f>IFERROR(__xludf.DUMMYFUNCTION("""COMPUTED_VALUE"""),"none")</f>
        <v>none</v>
      </c>
      <c r="BE18" s="5" t="str">
        <f>IFERROR(__xludf.DUMMYFUNCTION("""COMPUTED_VALUE"""),"sub-nbwr081")</f>
        <v>sub-nbwr081</v>
      </c>
      <c r="BF18" s="5" t="str">
        <f>IFERROR(__xludf.DUMMYFUNCTION("""COMPUTED_VALUE"""),"sub_nbwr081_phantom")</f>
        <v>sub_nbwr081_phantom</v>
      </c>
      <c r="BG18" s="5" t="str">
        <f>IFERROR(__xludf.DUMMYFUNCTION("""COMPUTED_VALUE"""),"10/9/17 @ 3:20 pm")</f>
        <v>10/9/17 @ 3:20 pm</v>
      </c>
      <c r="BH18" s="12">
        <f>IFERROR(__xludf.DUMMYFUNCTION("""COMPUTED_VALUE"""),0.6388888888888888)</f>
        <v>0.6388888889</v>
      </c>
      <c r="BI18" s="5">
        <f>IFERROR(__xludf.DUMMYFUNCTION("""COMPUTED_VALUE"""),22.0)</f>
        <v>22</v>
      </c>
      <c r="BJ18" s="12">
        <f>IFERROR(__xludf.DUMMYFUNCTION("""COMPUTED_VALUE"""),0.6756944444444445)</f>
        <v>0.6756944444</v>
      </c>
      <c r="BK18" s="5">
        <f>IFERROR(__xludf.DUMMYFUNCTION("""COMPUTED_VALUE"""),23.0)</f>
        <v>23</v>
      </c>
      <c r="BL18" s="5" t="str">
        <f>IFERROR(__xludf.DUMMYFUNCTION("""COMPUTED_VALUE"""),"xnat not working, held very still for DTI &amp;qT1. took shuttle to and from BMIC with Bo")</f>
        <v>xnat not working, held very still for DTI &amp;qT1. took shuttle to and from BMIC with Bo</v>
      </c>
      <c r="BM18" s="5" t="str">
        <f>IFERROR(__xludf.DUMMYFUNCTION("""COMPUTED_VALUE"""),"sub-nbwr081")</f>
        <v>sub-nbwr081</v>
      </c>
      <c r="BN18" s="8">
        <f>IFERROR(__xludf.DUMMYFUNCTION("""COMPUTED_VALUE"""),43004.0)</f>
        <v>43004</v>
      </c>
      <c r="BO18" s="8">
        <f>IFERROR(__xludf.DUMMYFUNCTION("""COMPUTED_VALUE"""),43007.0)</f>
        <v>43007</v>
      </c>
      <c r="BP18" s="8">
        <f>IFERROR(__xludf.DUMMYFUNCTION("""COMPUTED_VALUE"""),43017.0)</f>
        <v>43017</v>
      </c>
      <c r="BQ18" s="10"/>
      <c r="BR18" s="10"/>
      <c r="BS18" s="10"/>
      <c r="BT18" s="10"/>
      <c r="BU18" s="10"/>
      <c r="BV18" s="10"/>
      <c r="BW18" s="10"/>
      <c r="BX18" s="10"/>
      <c r="BY18" s="10"/>
      <c r="BZ18" s="10"/>
    </row>
    <row r="19">
      <c r="A19" s="11" t="str">
        <f>IFERROR(__xludf.DUMMYFUNCTION("""COMPUTED_VALUE"""),"GABA_136")</f>
        <v>GABA_136</v>
      </c>
      <c r="B19" s="26">
        <f>IFERROR(__xludf.DUMMYFUNCTION("""COMPUTED_VALUE"""),35301.0)</f>
        <v>35301</v>
      </c>
      <c r="C19" s="27">
        <f>IFERROR(__xludf.DUMMYFUNCTION("""COMPUTED_VALUE"""),21.112328767123287)</f>
        <v>21.11232877</v>
      </c>
      <c r="D19" s="28" t="str">
        <f>IFERROR(__xludf.DUMMYFUNCTION("""COMPUTED_VALUE"""),"male")</f>
        <v>male</v>
      </c>
      <c r="E19" s="29">
        <f>IFERROR(__xludf.DUMMYFUNCTION("""COMPUTED_VALUE"""),42992.0)</f>
        <v>42992</v>
      </c>
      <c r="F19" s="28" t="str">
        <f>IFERROR(__xludf.DUMMYFUNCTION("""COMPUTED_VALUE"""),"Bo")</f>
        <v>Bo</v>
      </c>
      <c r="G19" s="28" t="str">
        <f>IFERROR(__xludf.DUMMYFUNCTION("""COMPUTED_VALUE"""),"none")</f>
        <v>none</v>
      </c>
      <c r="H19" s="28" t="str">
        <f>IFERROR(__xludf.DUMMYFUNCTION("""COMPUTED_VALUE"""),"none")</f>
        <v>none</v>
      </c>
      <c r="I19" s="28" t="str">
        <f>IFERROR(__xludf.DUMMYFUNCTION("""COMPUTED_VALUE"""),"communication mostly through dad (work phone during work hours), talked to Adam on home phone")</f>
        <v>communication mostly through dad (work phone during work hours), talked to Adam on home phone</v>
      </c>
      <c r="J19" s="28" t="str">
        <f>IFERROR(__xludf.DUMMYFUNCTION("""COMPUTED_VALUE"""),"Friday 9/29/17 @ 10am")</f>
        <v>Friday 9/29/17 @ 10am</v>
      </c>
      <c r="K19" s="28" t="str">
        <f>IFERROR(__xludf.DUMMYFUNCTION("""COMPUTED_VALUE"""),"Julia &amp; Bo")</f>
        <v>Julia &amp; Bo</v>
      </c>
      <c r="L19" s="28" t="str">
        <f>IFERROR(__xludf.DUMMYFUNCTION("""COMPUTED_VALUE"""),"subject's older sister (stayed in lobby)")</f>
        <v>subject's older sister (stayed in lobby)</v>
      </c>
      <c r="M19" s="28" t="str">
        <f>IFERROR(__xludf.DUMMYFUNCTION("""COMPUTED_VALUE"""),"Julia")</f>
        <v>Julia</v>
      </c>
      <c r="N19" s="29">
        <f>IFERROR(__xludf.DUMMYFUNCTION("""COMPUTED_VALUE"""),43007.0)</f>
        <v>43007</v>
      </c>
      <c r="O19" s="28">
        <f>IFERROR(__xludf.DUMMYFUNCTION("""COMPUTED_VALUE"""),111.0)</f>
        <v>111</v>
      </c>
      <c r="P19" s="28">
        <f>IFERROR(__xludf.DUMMYFUNCTION("""COMPUTED_VALUE"""),114.0)</f>
        <v>114</v>
      </c>
      <c r="Q19" s="28">
        <f>IFERROR(__xludf.DUMMYFUNCTION("""COMPUTED_VALUE"""),114.0)</f>
        <v>114</v>
      </c>
      <c r="R19" s="28">
        <f>IFERROR(__xludf.DUMMYFUNCTION("""COMPUTED_VALUE"""),109.0)</f>
        <v>109</v>
      </c>
      <c r="S19" s="29">
        <f>IFERROR(__xludf.DUMMYFUNCTION("""COMPUTED_VALUE"""),43007.0)</f>
        <v>43007</v>
      </c>
      <c r="T19" s="28">
        <f>IFERROR(__xludf.DUMMYFUNCTION("""COMPUTED_VALUE"""),66.0)</f>
        <v>66</v>
      </c>
      <c r="U19" s="28">
        <f>IFERROR(__xludf.DUMMYFUNCTION("""COMPUTED_VALUE"""),61.0)</f>
        <v>61</v>
      </c>
      <c r="V19" s="28">
        <f>IFERROR(__xludf.DUMMYFUNCTION("""COMPUTED_VALUE"""),62.0)</f>
        <v>62</v>
      </c>
      <c r="W19" s="28">
        <f>IFERROR(__xludf.DUMMYFUNCTION("""COMPUTED_VALUE"""),65.0)</f>
        <v>65</v>
      </c>
      <c r="X19" s="28">
        <f>IFERROR(__xludf.DUMMYFUNCTION("""COMPUTED_VALUE"""),56.0)</f>
        <v>56</v>
      </c>
      <c r="Y19" s="28">
        <f>IFERROR(__xludf.DUMMYFUNCTION("""COMPUTED_VALUE"""),78.0)</f>
        <v>78</v>
      </c>
      <c r="Z19" s="28">
        <f>IFERROR(__xludf.DUMMYFUNCTION("""COMPUTED_VALUE"""),62.0)</f>
        <v>62</v>
      </c>
      <c r="AA19" s="29">
        <f>IFERROR(__xludf.DUMMYFUNCTION("""COMPUTED_VALUE"""),43007.0)</f>
        <v>43007</v>
      </c>
      <c r="AB19" s="30">
        <f>IFERROR(__xludf.DUMMYFUNCTION("""COMPUTED_VALUE"""),0.9545)</f>
        <v>0.9545</v>
      </c>
      <c r="AC19" s="29">
        <f>IFERROR(__xludf.DUMMYFUNCTION("""COMPUTED_VALUE"""),43007.0)</f>
        <v>43007</v>
      </c>
      <c r="AD19" s="28" t="str">
        <f>IFERROR(__xludf.DUMMYFUNCTION("""COMPUTED_VALUE"""),"no loss")</f>
        <v>no loss</v>
      </c>
      <c r="AE19" s="28" t="str">
        <f>IFERROR(__xludf.DUMMYFUNCTION("""COMPUTED_VALUE"""),"n/a")</f>
        <v>n/a</v>
      </c>
      <c r="AF19" s="29">
        <f>IFERROR(__xludf.DUMMYFUNCTION("""COMPUTED_VALUE"""),43007.0)</f>
        <v>43007</v>
      </c>
      <c r="AG19" s="28" t="str">
        <f>IFERROR(__xludf.DUMMYFUNCTION("""COMPUTED_VALUE"""),"Hispanic or Latino")</f>
        <v>Hispanic or Latino</v>
      </c>
      <c r="AH19" s="28" t="str">
        <f>IFERROR(__xludf.DUMMYFUNCTION("""COMPUTED_VALUE"""),"none")</f>
        <v>none</v>
      </c>
      <c r="AI19" s="29">
        <f>IFERROR(__xludf.DUMMYFUNCTION("""COMPUTED_VALUE"""),43007.0)</f>
        <v>43007</v>
      </c>
      <c r="AJ19" s="28" t="str">
        <f>IFERROR(__xludf.DUMMYFUNCTION("""COMPUTED_VALUE"""),"none")</f>
        <v>none</v>
      </c>
      <c r="AK19" s="28" t="str">
        <f>IFERROR(__xludf.DUMMYFUNCTION("""COMPUTED_VALUE"""),"facial tic, needs lots of breaks, MRI might be better with scheduled breaks (schedule MRI with extra time available), sister asked for mileage reimbursement, emailed dad to schedule MEG")</f>
        <v>facial tic, needs lots of breaks, MRI might be better with scheduled breaks (schedule MRI with extra time available), sister asked for mileage reimbursement, emailed dad to schedule MEG</v>
      </c>
      <c r="AL19" s="28" t="str">
        <f>IFERROR(__xludf.DUMMYFUNCTION("""COMPUTED_VALUE"""),"Friday 10/27/17 @ 10am")</f>
        <v>Friday 10/27/17 @ 10am</v>
      </c>
      <c r="AM19" s="28" t="str">
        <f>IFERROR(__xludf.DUMMYFUNCTION("""COMPUTED_VALUE"""),"Bo")</f>
        <v>Bo</v>
      </c>
      <c r="AN19" s="28" t="str">
        <f>IFERROR(__xludf.DUMMYFUNCTION("""COMPUTED_VALUE"""),"sister")</f>
        <v>sister</v>
      </c>
      <c r="AO19" s="28"/>
      <c r="AP19" s="28" t="str">
        <f>IFERROR(__xludf.DUMMYFUNCTION("""COMPUTED_VALUE"""),"yes")</f>
        <v>yes</v>
      </c>
      <c r="AQ19" s="28">
        <f>IFERROR(__xludf.DUMMYFUNCTION("""COMPUTED_VALUE"""),81.2)</f>
        <v>81.2</v>
      </c>
      <c r="AR19" s="28">
        <f>IFERROR(__xludf.DUMMYFUNCTION("""COMPUTED_VALUE"""),-76.9)</f>
        <v>-76.9</v>
      </c>
      <c r="AS19" s="28">
        <f>IFERROR(__xludf.DUMMYFUNCTION("""COMPUTED_VALUE"""),240.0)</f>
        <v>240</v>
      </c>
      <c r="AT19" s="28" t="str">
        <f>IFERROR(__xludf.DUMMYFUNCTION("""COMPUTED_VALUE"""),"Maggie")</f>
        <v>Maggie</v>
      </c>
      <c r="AU19" s="28" t="str">
        <f>IFERROR(__xludf.DUMMYFUNCTION("""COMPUTED_VALUE"""),"Kam")</f>
        <v>Kam</v>
      </c>
      <c r="AV19" s="28" t="str">
        <f>IFERROR(__xludf.DUMMYFUNCTION("""COMPUTED_VALUE"""),"yes")</f>
        <v>yes</v>
      </c>
      <c r="AW19" s="28" t="str">
        <f>IFERROR(__xludf.DUMMYFUNCTION("""COMPUTED_VALUE"""),"1743 (off)")</f>
        <v>1743 (off)</v>
      </c>
      <c r="AX19" s="28" t="str">
        <f>IFERROR(__xludf.DUMMYFUNCTION("""COMPUTED_VALUE"""),"61, 62")</f>
        <v>61, 62</v>
      </c>
      <c r="AY19" s="28">
        <f>IFERROR(__xludf.DUMMYFUNCTION("""COMPUTED_VALUE"""),63.0)</f>
        <v>63</v>
      </c>
      <c r="AZ19" s="28" t="str">
        <f>IFERROR(__xludf.DUMMYFUNCTION("""COMPUTED_VALUE"""),"triggers and buttons seen on Acq, lights 70%")</f>
        <v>triggers and buttons seen on Acq, lights 70%</v>
      </c>
      <c r="BA19" s="28" t="str">
        <f>IFERROR(__xludf.DUMMYFUNCTION("""COMPUTED_VALUE"""),"Friday 12/8/17 @ 10:00am")</f>
        <v>Friday 12/8/17 @ 10:00am</v>
      </c>
      <c r="BB19" s="28" t="str">
        <f>IFERROR(__xludf.DUMMYFUNCTION("""COMPUTED_VALUE"""),"Bo/Nour")</f>
        <v>Bo/Nour</v>
      </c>
      <c r="BC19" s="28" t="str">
        <f>IFERROR(__xludf.DUMMYFUNCTION("""COMPUTED_VALUE"""),"Jeff, Todd")</f>
        <v>Jeff, Todd</v>
      </c>
      <c r="BD19" s="28" t="str">
        <f>IFERROR(__xludf.DUMMYFUNCTION("""COMPUTED_VALUE"""),"subject's dad")</f>
        <v>subject's dad</v>
      </c>
      <c r="BE19" s="28" t="str">
        <f>IFERROR(__xludf.DUMMYFUNCTION("""COMPUTED_VALUE"""),"sub-nbwr136")</f>
        <v>sub-nbwr136</v>
      </c>
      <c r="BF19" s="28" t="str">
        <f>IFERROR(__xludf.DUMMYFUNCTION("""COMPUTED_VALUE"""),"sub-nbwr136_phantom")</f>
        <v>sub-nbwr136_phantom</v>
      </c>
      <c r="BG19" s="29">
        <f>IFERROR(__xludf.DUMMYFUNCTION("""COMPUTED_VALUE"""),43077.0)</f>
        <v>43077</v>
      </c>
      <c r="BH19" s="31">
        <f>IFERROR(__xludf.DUMMYFUNCTION("""COMPUTED_VALUE"""),0.4791666666666667)</f>
        <v>0.4791666667</v>
      </c>
      <c r="BI19" s="28">
        <f>IFERROR(__xludf.DUMMYFUNCTION("""COMPUTED_VALUE"""),22.4)</f>
        <v>22.4</v>
      </c>
      <c r="BJ19" s="31">
        <f>IFERROR(__xludf.DUMMYFUNCTION("""COMPUTED_VALUE"""),0.5208333333333334)</f>
        <v>0.5208333333</v>
      </c>
      <c r="BK19" s="28">
        <f>IFERROR(__xludf.DUMMYFUNCTION("""COMPUTED_VALUE"""),22.5)</f>
        <v>22.5</v>
      </c>
      <c r="BL19" s="28" t="str">
        <f>IFERROR(__xludf.DUMMYFUNCTION("""COMPUTED_VALUE"""),"GABA LT light out, original coil, FWHM LT=14Hg, RT=13Hg")</f>
        <v>GABA LT light out, original coil, FWHM LT=14Hg, RT=13Hg</v>
      </c>
      <c r="BM19" s="28"/>
      <c r="BN19" s="29">
        <f>IFERROR(__xludf.DUMMYFUNCTION("""COMPUTED_VALUE"""),43007.0)</f>
        <v>43007</v>
      </c>
      <c r="BO19" s="29">
        <f>IFERROR(__xludf.DUMMYFUNCTION("""COMPUTED_VALUE"""),43035.0)</f>
        <v>43035</v>
      </c>
      <c r="BP19" s="29">
        <f>IFERROR(__xludf.DUMMYFUNCTION("""COMPUTED_VALUE"""),43077.0)</f>
        <v>43077</v>
      </c>
      <c r="BQ19" s="10"/>
      <c r="BR19" s="10"/>
      <c r="BS19" s="10"/>
      <c r="BT19" s="10"/>
      <c r="BU19" s="10"/>
      <c r="BV19" s="10"/>
      <c r="BW19" s="10"/>
      <c r="BX19" s="10"/>
      <c r="BY19" s="10"/>
      <c r="BZ19" s="10"/>
    </row>
    <row r="20">
      <c r="A20" s="11" t="str">
        <f>IFERROR(__xludf.DUMMYFUNCTION("""COMPUTED_VALUE"""),"GABA_215")</f>
        <v>GABA_215</v>
      </c>
      <c r="B20" s="26">
        <f>IFERROR(__xludf.DUMMYFUNCTION("""COMPUTED_VALUE"""),35534.0)</f>
        <v>35534</v>
      </c>
      <c r="C20" s="27">
        <f>IFERROR(__xludf.DUMMYFUNCTION("""COMPUTED_VALUE"""),20.493150684931507)</f>
        <v>20.49315068</v>
      </c>
      <c r="D20" s="28" t="str">
        <f>IFERROR(__xludf.DUMMYFUNCTION("""COMPUTED_VALUE"""),"male")</f>
        <v>male</v>
      </c>
      <c r="E20" s="29">
        <f>IFERROR(__xludf.DUMMYFUNCTION("""COMPUTED_VALUE"""),43000.0)</f>
        <v>43000</v>
      </c>
      <c r="F20" s="28" t="str">
        <f>IFERROR(__xludf.DUMMYFUNCTION("""COMPUTED_VALUE"""),"Bo")</f>
        <v>Bo</v>
      </c>
      <c r="G20" s="28" t="str">
        <f>IFERROR(__xludf.DUMMYFUNCTION("""COMPUTED_VALUE"""),"20mg citalopram")</f>
        <v>20mg citalopram</v>
      </c>
      <c r="H20" s="28" t="str">
        <f>IFERROR(__xludf.DUMMYFUNCTION("""COMPUTED_VALUE"""),"$15 for gas")</f>
        <v>$15 for gas</v>
      </c>
      <c r="I20" s="28" t="str">
        <f>IFERROR(__xludf.DUMMYFUNCTION("""COMPUTED_VALUE"""),"prefers Fridays @ 3pm, was called for another study earlier in the summer but disqualified due to history of seizure disorder")</f>
        <v>prefers Fridays @ 3pm, was called for another study earlier in the summer but disqualified due to history of seizure disorder</v>
      </c>
      <c r="J20" s="28" t="str">
        <f>IFERROR(__xludf.DUMMYFUNCTION("""COMPUTED_VALUE"""),"Friday 10/6/17 @ 3pm")</f>
        <v>Friday 10/6/17 @ 3pm</v>
      </c>
      <c r="K20" s="28" t="str">
        <f>IFERROR(__xludf.DUMMYFUNCTION("""COMPUTED_VALUE"""),"Julia &amp; Bo")</f>
        <v>Julia &amp; Bo</v>
      </c>
      <c r="L20" s="28" t="str">
        <f>IFERROR(__xludf.DUMMYFUNCTION("""COMPUTED_VALUE"""),"subject's mom (came up) and subject's sister (stayed in lobby)")</f>
        <v>subject's mom (came up) and subject's sister (stayed in lobby)</v>
      </c>
      <c r="M20" s="28" t="str">
        <f>IFERROR(__xludf.DUMMYFUNCTION("""COMPUTED_VALUE"""),"Julia")</f>
        <v>Julia</v>
      </c>
      <c r="N20" s="29">
        <f>IFERROR(__xludf.DUMMYFUNCTION("""COMPUTED_VALUE"""),43014.0)</f>
        <v>43014</v>
      </c>
      <c r="O20" s="28">
        <f>IFERROR(__xludf.DUMMYFUNCTION("""COMPUTED_VALUE"""),76.0)</f>
        <v>76</v>
      </c>
      <c r="P20" s="28">
        <f>IFERROR(__xludf.DUMMYFUNCTION("""COMPUTED_VALUE"""),79.0)</f>
        <v>79</v>
      </c>
      <c r="Q20" s="28">
        <f>IFERROR(__xludf.DUMMYFUNCTION("""COMPUTED_VALUE"""),75.0)</f>
        <v>75</v>
      </c>
      <c r="R20" s="28">
        <f>IFERROR(__xludf.DUMMYFUNCTION("""COMPUTED_VALUE"""),79.0)</f>
        <v>79</v>
      </c>
      <c r="S20" s="29">
        <f>IFERROR(__xludf.DUMMYFUNCTION("""COMPUTED_VALUE"""),43014.0)</f>
        <v>43014</v>
      </c>
      <c r="T20" s="28">
        <f>IFERROR(__xludf.DUMMYFUNCTION("""COMPUTED_VALUE"""),88.0)</f>
        <v>88</v>
      </c>
      <c r="U20" s="28">
        <f>IFERROR(__xludf.DUMMYFUNCTION("""COMPUTED_VALUE"""),72.0)</f>
        <v>72</v>
      </c>
      <c r="V20" s="28">
        <f>IFERROR(__xludf.DUMMYFUNCTION("""COMPUTED_VALUE"""),79.0)</f>
        <v>79</v>
      </c>
      <c r="W20" s="28">
        <f>IFERROR(__xludf.DUMMYFUNCTION("""COMPUTED_VALUE"""),88.0)</f>
        <v>88</v>
      </c>
      <c r="X20" s="28">
        <f>IFERROR(__xludf.DUMMYFUNCTION("""COMPUTED_VALUE"""),77.0)</f>
        <v>77</v>
      </c>
      <c r="Y20" s="28">
        <f>IFERROR(__xludf.DUMMYFUNCTION("""COMPUTED_VALUE"""),90.0)</f>
        <v>90</v>
      </c>
      <c r="Z20" s="28">
        <f>IFERROR(__xludf.DUMMYFUNCTION("""COMPUTED_VALUE"""),84.0)</f>
        <v>84</v>
      </c>
      <c r="AA20" s="29">
        <f>IFERROR(__xludf.DUMMYFUNCTION("""COMPUTED_VALUE"""),43014.0)</f>
        <v>43014</v>
      </c>
      <c r="AB20" s="30">
        <f>IFERROR(__xludf.DUMMYFUNCTION("""COMPUTED_VALUE"""),0.9545)</f>
        <v>0.9545</v>
      </c>
      <c r="AC20" s="29">
        <f>IFERROR(__xludf.DUMMYFUNCTION("""COMPUTED_VALUE"""),43014.0)</f>
        <v>43014</v>
      </c>
      <c r="AD20" s="28" t="str">
        <f>IFERROR(__xludf.DUMMYFUNCTION("""COMPUTED_VALUE"""),"Left: 250Hz,4kHz,6kHz,8kHz Right: 4kHz,6kHz,8kHz")</f>
        <v>Left: 250Hz,4kHz,6kHz,8kHz Right: 4kHz,6kHz,8kHz</v>
      </c>
      <c r="AE20" s="28" t="str">
        <f>IFERROR(__xludf.DUMMYFUNCTION("""COMPUTED_VALUE"""),"n/a")</f>
        <v>n/a</v>
      </c>
      <c r="AF20" s="29">
        <f>IFERROR(__xludf.DUMMYFUNCTION("""COMPUTED_VALUE"""),43014.0)</f>
        <v>43014</v>
      </c>
      <c r="AG20" s="28" t="str">
        <f>IFERROR(__xludf.DUMMYFUNCTION("""COMPUTED_VALUE"""),"White")</f>
        <v>White</v>
      </c>
      <c r="AH20" s="28" t="str">
        <f>IFERROR(__xludf.DUMMYFUNCTION("""COMPUTED_VALUE"""),"citalopram/20mg daily/anxiety/age 5")</f>
        <v>citalopram/20mg daily/anxiety/age 5</v>
      </c>
      <c r="AI20" s="29">
        <f>IFERROR(__xludf.DUMMYFUNCTION("""COMPUTED_VALUE"""),43014.0)</f>
        <v>43014</v>
      </c>
      <c r="AJ20" s="28" t="str">
        <f>IFERROR(__xludf.DUMMYFUNCTION("""COMPUTED_VALUE"""),"none")</f>
        <v>none</v>
      </c>
      <c r="AK20" s="28" t="str">
        <f>IFERROR(__xludf.DUMMYFUNCTION("""COMPUTED_VALUE"""),"suspect he did not read through questions on last page of SRS (answered ""4"" for all but 1 (even the reverse coded ones), finished back side faster than front side. had mom double check MRI screening and meds section of demographic. subject can't hear so"&amp;"me sounds, emailed Kam about ""red flags""")</f>
        <v>suspect he did not read through questions on last page of SRS (answered "4" for all but 1 (even the reverse coded ones), finished back side faster than front side. had mom double check MRI screening and meds section of demographic. subject can't hear some sounds, emailed Kam about "red flags"</v>
      </c>
      <c r="AL20" s="28" t="str">
        <f>IFERROR(__xludf.DUMMYFUNCTION("""COMPUTED_VALUE"""),"Thursday 10/19/17 @ 1pm")</f>
        <v>Thursday 10/19/17 @ 1pm</v>
      </c>
      <c r="AM20" s="28" t="str">
        <f>IFERROR(__xludf.DUMMYFUNCTION("""COMPUTED_VALUE"""),"Bo")</f>
        <v>Bo</v>
      </c>
      <c r="AN20" s="28" t="str">
        <f>IFERROR(__xludf.DUMMYFUNCTION("""COMPUTED_VALUE"""),"subject's mom and sister (sister staying in MEG prep room)")</f>
        <v>subject's mom and sister (sister staying in MEG prep room)</v>
      </c>
      <c r="AO20" s="28" t="str">
        <f>IFERROR(__xludf.DUMMYFUNCTION("""COMPUTED_VALUE"""),"sub-nbwr215_ses001_task-lexicaldecision_run_01_meg_raw")</f>
        <v>sub-nbwr215_ses001_task-lexicaldecision_run_01_meg_raw</v>
      </c>
      <c r="AP20" s="28" t="str">
        <f>IFERROR(__xludf.DUMMYFUNCTION("""COMPUTED_VALUE"""),"yes")</f>
        <v>yes</v>
      </c>
      <c r="AQ20" s="28">
        <f>IFERROR(__xludf.DUMMYFUNCTION("""COMPUTED_VALUE"""),72.8)</f>
        <v>72.8</v>
      </c>
      <c r="AR20" s="28">
        <f>IFERROR(__xludf.DUMMYFUNCTION("""COMPUTED_VALUE"""),-73.5)</f>
        <v>-73.5</v>
      </c>
      <c r="AS20" s="28">
        <f>IFERROR(__xludf.DUMMYFUNCTION("""COMPUTED_VALUE"""),240.0)</f>
        <v>240</v>
      </c>
      <c r="AT20" s="28" t="str">
        <f>IFERROR(__xludf.DUMMYFUNCTION("""COMPUTED_VALUE"""),"Maggie")</f>
        <v>Maggie</v>
      </c>
      <c r="AU20" s="28" t="str">
        <f>IFERROR(__xludf.DUMMYFUNCTION("""COMPUTED_VALUE"""),"Kam")</f>
        <v>Kam</v>
      </c>
      <c r="AV20" s="28" t="str">
        <f>IFERROR(__xludf.DUMMYFUNCTION("""COMPUTED_VALUE"""),"yes 5/5")</f>
        <v>yes 5/5</v>
      </c>
      <c r="AW20" s="28" t="str">
        <f>IFERROR(__xludf.DUMMYFUNCTION("""COMPUTED_VALUE"""),"MEG 1743 (off)")</f>
        <v>MEG 1743 (off)</v>
      </c>
      <c r="AX20" s="28" t="str">
        <f>IFERROR(__xludf.DUMMYFUNCTION("""COMPUTED_VALUE"""),"61/62")</f>
        <v>61/62</v>
      </c>
      <c r="AY20" s="28">
        <f>IFERROR(__xludf.DUMMYFUNCTION("""COMPUTED_VALUE"""),63.0)</f>
        <v>63</v>
      </c>
      <c r="AZ20" s="28" t="str">
        <f>IFERROR(__xludf.DUMMYFUNCTION("""COMPUTED_VALUE"""),"checked sound in earphones, triggers + buttons seen on Acq, missed a lot of animal names (almost all) ensured button was working")</f>
        <v>checked sound in earphones, triggers + buttons seen on Acq, missed a lot of animal names (almost all) ensured button was working</v>
      </c>
      <c r="BA20" s="28" t="str">
        <f>IFERROR(__xludf.DUMMYFUNCTION("""COMPUTED_VALUE"""),"Friday 11/17/17 @ 2:15pm")</f>
        <v>Friday 11/17/17 @ 2:15pm</v>
      </c>
      <c r="BB20" s="28" t="str">
        <f>IFERROR(__xludf.DUMMYFUNCTION("""COMPUTED_VALUE"""),"Bo/Anna")</f>
        <v>Bo/Anna</v>
      </c>
      <c r="BC20" s="28" t="str">
        <f>IFERROR(__xludf.DUMMYFUNCTION("""COMPUTED_VALUE"""),"Jeff, Todd, Kam")</f>
        <v>Jeff, Todd, Kam</v>
      </c>
      <c r="BD20" s="28" t="str">
        <f>IFERROR(__xludf.DUMMYFUNCTION("""COMPUTED_VALUE"""),"subject's mom and sister")</f>
        <v>subject's mom and sister</v>
      </c>
      <c r="BE20" s="28" t="str">
        <f>IFERROR(__xludf.DUMMYFUNCTION("""COMPUTED_VALUE"""),"sub-nbwr215")</f>
        <v>sub-nbwr215</v>
      </c>
      <c r="BF20" s="28" t="str">
        <f>IFERROR(__xludf.DUMMYFUNCTION("""COMPUTED_VALUE"""),"sub-nbwr215_phantom")</f>
        <v>sub-nbwr215_phantom</v>
      </c>
      <c r="BG20" s="29">
        <f>IFERROR(__xludf.DUMMYFUNCTION("""COMPUTED_VALUE"""),43056.0)</f>
        <v>43056</v>
      </c>
      <c r="BH20" s="31">
        <f>IFERROR(__xludf.DUMMYFUNCTION("""COMPUTED_VALUE"""),0.5)</f>
        <v>0.5</v>
      </c>
      <c r="BI20" s="28">
        <f>IFERROR(__xludf.DUMMYFUNCTION("""COMPUTED_VALUE"""),21.9)</f>
        <v>21.9</v>
      </c>
      <c r="BJ20" s="31">
        <f>IFERROR(__xludf.DUMMYFUNCTION("""COMPUTED_VALUE"""),0.5208333333333334)</f>
        <v>0.5208333333</v>
      </c>
      <c r="BK20" s="28">
        <f>IFERROR(__xludf.DUMMYFUNCTION("""COMPUTED_VALUE"""),22.4)</f>
        <v>22.4</v>
      </c>
      <c r="BL20" s="28" t="str">
        <f>IFERROR(__xludf.DUMMYFUNCTION("""COMPUTED_VALUE"""),"bad left side MRs 1st run, repos better, FWHM = 18, motionon spgr 10 repeat after good quality, DTI IQ pass ; Phantom notes: Ran grase from UBC save only as dicon, no PAR/REC possible, saw some motion on GABA data but was able to compensate (no need to re"&amp;"peat), DTI and qT1 quality checked.")</f>
        <v>bad left side MRs 1st run, repos better, FWHM = 18, motionon spgr 10 repeat after good quality, DTI IQ pass ; Phantom notes: Ran grase from UBC save only as dicon, no PAR/REC possible, saw some motion on GABA data but was able to compensate (no need to repeat), DTI and qT1 quality checked.</v>
      </c>
      <c r="BM20" s="28" t="str">
        <f>IFERROR(__xludf.DUMMYFUNCTION("""COMPUTED_VALUE"""),"NBWR")</f>
        <v>NBWR</v>
      </c>
      <c r="BN20" s="29">
        <f>IFERROR(__xludf.DUMMYFUNCTION("""COMPUTED_VALUE"""),43014.0)</f>
        <v>43014</v>
      </c>
      <c r="BO20" s="29">
        <f>IFERROR(__xludf.DUMMYFUNCTION("""COMPUTED_VALUE"""),43027.0)</f>
        <v>43027</v>
      </c>
      <c r="BP20" s="29">
        <f>IFERROR(__xludf.DUMMYFUNCTION("""COMPUTED_VALUE"""),43056.0)</f>
        <v>43056</v>
      </c>
      <c r="BQ20" s="10"/>
      <c r="BR20" s="10"/>
      <c r="BS20" s="10"/>
      <c r="BT20" s="10"/>
      <c r="BU20" s="10"/>
      <c r="BV20" s="10"/>
      <c r="BW20" s="10"/>
      <c r="BX20" s="10"/>
      <c r="BY20" s="10"/>
      <c r="BZ20" s="10"/>
    </row>
    <row r="21">
      <c r="A21" s="11" t="str">
        <f>IFERROR(__xludf.DUMMYFUNCTION("""COMPUTED_VALUE"""),"GABA_301")</f>
        <v>GABA_301</v>
      </c>
      <c r="B21" s="6">
        <f>IFERROR(__xludf.DUMMYFUNCTION("""COMPUTED_VALUE"""),34411.0)</f>
        <v>34411</v>
      </c>
      <c r="C21" s="7">
        <f>IFERROR(__xludf.DUMMYFUNCTION("""COMPUTED_VALUE"""),23.621917808219177)</f>
        <v>23.62191781</v>
      </c>
      <c r="D21" s="5" t="str">
        <f>IFERROR(__xludf.DUMMYFUNCTION("""COMPUTED_VALUE"""),"male")</f>
        <v>male</v>
      </c>
      <c r="E21" s="8">
        <f>IFERROR(__xludf.DUMMYFUNCTION("""COMPUTED_VALUE"""),43027.0)</f>
        <v>43027</v>
      </c>
      <c r="F21" s="5" t="str">
        <f>IFERROR(__xludf.DUMMYFUNCTION("""COMPUTED_VALUE"""),"Bo")</f>
        <v>Bo</v>
      </c>
      <c r="G21" s="5" t="str">
        <f>IFERROR(__xludf.DUMMYFUNCTION("""COMPUTED_VALUE"""),"not currently (middle school)")</f>
        <v>not currently (middle school)</v>
      </c>
      <c r="H21" s="5" t="str">
        <f>IFERROR(__xludf.DUMMYFUNCTION("""COMPUTED_VALUE"""),"$15 for gas")</f>
        <v>$15 for gas</v>
      </c>
      <c r="I21" s="5" t="str">
        <f>IFERROR(__xludf.DUMMYFUNCTION("""COMPUTED_VALUE"""),"works on Fri, Sat, Sun")</f>
        <v>works on Fri, Sat, Sun</v>
      </c>
      <c r="J21" s="5" t="str">
        <f>IFERROR(__xludf.DUMMYFUNCTION("""COMPUTED_VALUE"""),"Wednesday 10/25/17 @ 10am")</f>
        <v>Wednesday 10/25/17 @ 10am</v>
      </c>
      <c r="K21" s="5" t="str">
        <f>IFERROR(__xludf.DUMMYFUNCTION("""COMPUTED_VALUE"""),"Julia &amp; Bo &amp; Anna (for tour)")</f>
        <v>Julia &amp; Bo &amp; Anna (for tour)</v>
      </c>
      <c r="L21" s="5" t="str">
        <f>IFERROR(__xludf.DUMMYFUNCTION("""COMPUTED_VALUE"""),"subject's grandmother")</f>
        <v>subject's grandmother</v>
      </c>
      <c r="M21" s="5" t="str">
        <f>IFERROR(__xludf.DUMMYFUNCTION("""COMPUTED_VALUE"""),"Julia")</f>
        <v>Julia</v>
      </c>
      <c r="N21" s="8">
        <f>IFERROR(__xludf.DUMMYFUNCTION("""COMPUTED_VALUE"""),43033.0)</f>
        <v>43033</v>
      </c>
      <c r="O21" s="5">
        <f>IFERROR(__xludf.DUMMYFUNCTION("""COMPUTED_VALUE"""),116.0)</f>
        <v>116</v>
      </c>
      <c r="P21" s="5">
        <f>IFERROR(__xludf.DUMMYFUNCTION("""COMPUTED_VALUE"""),134.0)</f>
        <v>134</v>
      </c>
      <c r="Q21" s="5">
        <f>IFERROR(__xludf.DUMMYFUNCTION("""COMPUTED_VALUE"""),127.0)</f>
        <v>127</v>
      </c>
      <c r="R21" s="5">
        <f>IFERROR(__xludf.DUMMYFUNCTION("""COMPUTED_VALUE"""),134.0)</f>
        <v>134</v>
      </c>
      <c r="S21" s="8">
        <f>IFERROR(__xludf.DUMMYFUNCTION("""COMPUTED_VALUE"""),43033.0)</f>
        <v>43033</v>
      </c>
      <c r="T21" s="5">
        <f>IFERROR(__xludf.DUMMYFUNCTION("""COMPUTED_VALUE"""),69.0)</f>
        <v>69</v>
      </c>
      <c r="U21" s="5">
        <f>IFERROR(__xludf.DUMMYFUNCTION("""COMPUTED_VALUE"""),66.0)</f>
        <v>66</v>
      </c>
      <c r="V21" s="5">
        <f>IFERROR(__xludf.DUMMYFUNCTION("""COMPUTED_VALUE"""),65.0)</f>
        <v>65</v>
      </c>
      <c r="W21" s="5">
        <f>IFERROR(__xludf.DUMMYFUNCTION("""COMPUTED_VALUE"""),67.0)</f>
        <v>67</v>
      </c>
      <c r="X21" s="5">
        <f>IFERROR(__xludf.DUMMYFUNCTION("""COMPUTED_VALUE"""),67.0)</f>
        <v>67</v>
      </c>
      <c r="Y21" s="5">
        <f>IFERROR(__xludf.DUMMYFUNCTION("""COMPUTED_VALUE"""),72.0)</f>
        <v>72</v>
      </c>
      <c r="Z21" s="5">
        <f>IFERROR(__xludf.DUMMYFUNCTION("""COMPUTED_VALUE"""),68.0)</f>
        <v>68</v>
      </c>
      <c r="AA21" s="8">
        <f>IFERROR(__xludf.DUMMYFUNCTION("""COMPUTED_VALUE"""),43033.0)</f>
        <v>43033</v>
      </c>
      <c r="AB21" s="23">
        <f>IFERROR(__xludf.DUMMYFUNCTION("""COMPUTED_VALUE"""),0.955)</f>
        <v>0.955</v>
      </c>
      <c r="AC21" s="8">
        <f>IFERROR(__xludf.DUMMYFUNCTION("""COMPUTED_VALUE"""),43033.0)</f>
        <v>43033</v>
      </c>
      <c r="AD21" s="5" t="str">
        <f>IFERROR(__xludf.DUMMYFUNCTION("""COMPUTED_VALUE"""),"no loss")</f>
        <v>no loss</v>
      </c>
      <c r="AE21" s="5" t="str">
        <f>IFERROR(__xludf.DUMMYFUNCTION("""COMPUTED_VALUE"""),"n/a")</f>
        <v>n/a</v>
      </c>
      <c r="AF21" s="8">
        <f>IFERROR(__xludf.DUMMYFUNCTION("""COMPUTED_VALUE"""),43033.0)</f>
        <v>43033</v>
      </c>
      <c r="AG21" s="5" t="str">
        <f>IFERROR(__xludf.DUMMYFUNCTION("""COMPUTED_VALUE"""),"White")</f>
        <v>White</v>
      </c>
      <c r="AH21" s="5" t="str">
        <f>IFERROR(__xludf.DUMMYFUNCTION("""COMPUTED_VALUE"""),"none")</f>
        <v>none</v>
      </c>
      <c r="AI21" s="8">
        <f>IFERROR(__xludf.DUMMYFUNCTION("""COMPUTED_VALUE"""),43033.0)</f>
        <v>43033</v>
      </c>
      <c r="AJ21" s="5" t="str">
        <f>IFERROR(__xludf.DUMMYFUNCTION("""COMPUTED_VALUE"""),"none")</f>
        <v>none</v>
      </c>
      <c r="AK21" s="5" t="str">
        <f>IFERROR(__xludf.DUMMYFUNCTION("""COMPUTED_VALUE"""),"Works on Friday, Saturday and Sunday, prefers morning appointments. Grandma has surgery mid-November")</f>
        <v>Works on Friday, Saturday and Sunday, prefers morning appointments. Grandma has surgery mid-November</v>
      </c>
      <c r="AL21" s="5" t="str">
        <f>IFERROR(__xludf.DUMMYFUNCTION("""COMPUTED_VALUE"""),"Monday 11/13/17 @ 1pm")</f>
        <v>Monday 11/13/17 @ 1pm</v>
      </c>
      <c r="AM21" s="5" t="str">
        <f>IFERROR(__xludf.DUMMYFUNCTION("""COMPUTED_VALUE"""),"Bo")</f>
        <v>Bo</v>
      </c>
      <c r="AN21" s="5" t="str">
        <f>IFERROR(__xludf.DUMMYFUNCTION("""COMPUTED_VALUE"""),"grandma")</f>
        <v>grandma</v>
      </c>
      <c r="AO21" s="5" t="str">
        <f>IFERROR(__xludf.DUMMYFUNCTION("""COMPUTED_VALUE"""),"sub-nbwr301_ses001_task-lexicaldecision_run_01_meg-raw")</f>
        <v>sub-nbwr301_ses001_task-lexicaldecision_run_01_meg-raw</v>
      </c>
      <c r="AP21" s="5" t="str">
        <f>IFERROR(__xludf.DUMMYFUNCTION("""COMPUTED_VALUE"""),"yes")</f>
        <v>yes</v>
      </c>
      <c r="AQ21" s="5">
        <f>IFERROR(__xludf.DUMMYFUNCTION("""COMPUTED_VALUE"""),80.7)</f>
        <v>80.7</v>
      </c>
      <c r="AR21" s="5">
        <f>IFERROR(__xludf.DUMMYFUNCTION("""COMPUTED_VALUE"""),-83.1)</f>
        <v>-83.1</v>
      </c>
      <c r="AS21" s="5">
        <f>IFERROR(__xludf.DUMMYFUNCTION("""COMPUTED_VALUE"""),240.0)</f>
        <v>240</v>
      </c>
      <c r="AT21" s="5" t="str">
        <f>IFERROR(__xludf.DUMMYFUNCTION("""COMPUTED_VALUE"""),"Maggie")</f>
        <v>Maggie</v>
      </c>
      <c r="AU21" s="5" t="str">
        <f>IFERROR(__xludf.DUMMYFUNCTION("""COMPUTED_VALUE"""),"Kam")</f>
        <v>Kam</v>
      </c>
      <c r="AV21" s="5" t="str">
        <f>IFERROR(__xludf.DUMMYFUNCTION("""COMPUTED_VALUE"""),"yes 4/5")</f>
        <v>yes 4/5</v>
      </c>
      <c r="AW21" s="5" t="str">
        <f>IFERROR(__xludf.DUMMYFUNCTION("""COMPUTED_VALUE"""),"1743 (off)")</f>
        <v>1743 (off)</v>
      </c>
      <c r="AX21" s="5" t="str">
        <f>IFERROR(__xludf.DUMMYFUNCTION("""COMPUTED_VALUE"""),"61/62")</f>
        <v>61/62</v>
      </c>
      <c r="AY21" s="5">
        <f>IFERROR(__xludf.DUMMYFUNCTION("""COMPUTED_VALUE"""),63.0)</f>
        <v>63</v>
      </c>
      <c r="AZ21" s="5" t="str">
        <f>IFERROR(__xludf.DUMMYFUNCTION("""COMPUTED_VALUE"""),"27 inches across nose, 25 inches across forehead, triggers and buttons seen on acq, subj has large head so only top could go into helmet, EOG and ECG = good signal, good online avgs")</f>
        <v>27 inches across nose, 25 inches across forehead, triggers and buttons seen on acq, subj has large head so only top could go into helmet, EOG and ECG = good signal, good online avgs</v>
      </c>
      <c r="BA21" s="5" t="str">
        <f>IFERROR(__xludf.DUMMYFUNCTION("""COMPUTED_VALUE"""),"1/22/18 @ 12:30pm")</f>
        <v>1/22/18 @ 12:30pm</v>
      </c>
      <c r="BB21" s="5" t="str">
        <f>IFERROR(__xludf.DUMMYFUNCTION("""COMPUTED_VALUE"""),"Bo")</f>
        <v>Bo</v>
      </c>
      <c r="BC21" s="5" t="str">
        <f>IFERROR(__xludf.DUMMYFUNCTION("""COMPUTED_VALUE"""),"Jeff, Todd  ")</f>
        <v>Jeff, Todd  </v>
      </c>
      <c r="BD21" s="5" t="str">
        <f>IFERROR(__xludf.DUMMYFUNCTION("""COMPUTED_VALUE"""),"subject's grandma (stayed upstairs)")</f>
        <v>subject's grandma (stayed upstairs)</v>
      </c>
      <c r="BE21" s="5" t="str">
        <f>IFERROR(__xludf.DUMMYFUNCTION("""COMPUTED_VALUE"""),"sub_nbwr301")</f>
        <v>sub_nbwr301</v>
      </c>
      <c r="BF21" s="5" t="str">
        <f>IFERROR(__xludf.DUMMYFUNCTION("""COMPUTED_VALUE"""),"sub-nbwr301_phantom")</f>
        <v>sub-nbwr301_phantom</v>
      </c>
      <c r="BG21" s="8">
        <f>IFERROR(__xludf.DUMMYFUNCTION("""COMPUTED_VALUE"""),43122.0)</f>
        <v>43122</v>
      </c>
      <c r="BH21" s="12">
        <f>IFERROR(__xludf.DUMMYFUNCTION("""COMPUTED_VALUE"""),0.5986111111111111)</f>
        <v>0.5986111111</v>
      </c>
      <c r="BI21" s="5">
        <f>IFERROR(__xludf.DUMMYFUNCTION("""COMPUTED_VALUE"""),22.2)</f>
        <v>22.2</v>
      </c>
      <c r="BJ21" s="12">
        <f>IFERROR(__xludf.DUMMYFUNCTION("""COMPUTED_VALUE"""),0.625)</f>
        <v>0.625</v>
      </c>
      <c r="BK21" s="5">
        <f>IFERROR(__xludf.DUMMYFUNCTION("""COMPUTED_VALUE"""),23.0)</f>
        <v>23</v>
      </c>
      <c r="BL21" s="5" t="str">
        <f>IFERROR(__xludf.DUMMYFUNCTION("""COMPUTED_VALUE"""),"subj large head = no padding, had to take out before qT1 for break (arms hurt) grandma parked in Amazon parking garage (will email pic and send reimbursement check)")</f>
        <v>subj large head = no padding, had to take out before qT1 for break (arms hurt) grandma parked in Amazon parking garage (will email pic and send reimbursement check)</v>
      </c>
      <c r="BM21" s="5" t="str">
        <f>IFERROR(__xludf.DUMMYFUNCTION("""COMPUTED_VALUE"""),"NBWR")</f>
        <v>NBWR</v>
      </c>
      <c r="BN21" s="8">
        <f>IFERROR(__xludf.DUMMYFUNCTION("""COMPUTED_VALUE"""),43033.0)</f>
        <v>43033</v>
      </c>
      <c r="BO21" s="8">
        <f>IFERROR(__xludf.DUMMYFUNCTION("""COMPUTED_VALUE"""),43042.0)</f>
        <v>43042</v>
      </c>
      <c r="BP21" s="8">
        <f>IFERROR(__xludf.DUMMYFUNCTION("""COMPUTED_VALUE"""),43122.0)</f>
        <v>43122</v>
      </c>
      <c r="BQ21" s="10"/>
      <c r="BR21" s="10"/>
      <c r="BS21" s="10"/>
      <c r="BT21" s="10"/>
      <c r="BU21" s="10"/>
      <c r="BV21" s="10"/>
      <c r="BW21" s="10"/>
      <c r="BX21" s="10"/>
      <c r="BY21" s="10"/>
      <c r="BZ21" s="10"/>
    </row>
    <row r="22">
      <c r="A22" s="32"/>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10"/>
      <c r="BR22" s="10"/>
      <c r="BS22" s="10"/>
      <c r="BT22" s="10"/>
      <c r="BU22" s="10"/>
      <c r="BV22" s="10"/>
      <c r="BW22" s="10"/>
      <c r="BX22" s="10"/>
      <c r="BY22" s="10"/>
      <c r="BZ22" s="10"/>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10"/>
      <c r="BR23" s="10"/>
      <c r="BS23" s="10"/>
      <c r="BT23" s="10"/>
      <c r="BU23" s="10"/>
      <c r="BV23" s="10"/>
      <c r="BW23" s="10"/>
      <c r="BX23" s="10"/>
      <c r="BY23" s="10"/>
      <c r="BZ23" s="10"/>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10"/>
      <c r="BR24" s="10"/>
      <c r="BS24" s="10"/>
      <c r="BT24" s="10"/>
      <c r="BU24" s="10"/>
      <c r="BV24" s="10"/>
      <c r="BW24" s="10"/>
      <c r="BX24" s="10"/>
      <c r="BY24" s="10"/>
      <c r="BZ24" s="10"/>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10"/>
      <c r="BR25" s="10"/>
      <c r="BS25" s="10"/>
      <c r="BT25" s="10"/>
      <c r="BU25" s="10"/>
      <c r="BV25" s="10"/>
      <c r="BW25" s="10"/>
      <c r="BX25" s="10"/>
      <c r="BY25" s="10"/>
      <c r="BZ25" s="10"/>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10"/>
      <c r="BR26" s="10"/>
      <c r="BS26" s="10"/>
      <c r="BT26" s="10"/>
      <c r="BU26" s="10"/>
      <c r="BV26" s="10"/>
      <c r="BW26" s="10"/>
      <c r="BX26" s="10"/>
      <c r="BY26" s="10"/>
      <c r="B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0"/>
      <c r="BV820" s="10"/>
      <c r="BW820" s="10"/>
      <c r="BX820" s="10"/>
      <c r="BY820" s="10"/>
      <c r="B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c r="BW826" s="10"/>
      <c r="BX826" s="10"/>
      <c r="BY826" s="10"/>
      <c r="B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c r="BW837" s="10"/>
      <c r="BX837" s="10"/>
      <c r="BY837" s="10"/>
      <c r="B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c r="BW841" s="10"/>
      <c r="BX841" s="10"/>
      <c r="BY841" s="10"/>
      <c r="B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c r="BW842" s="10"/>
      <c r="BX842" s="10"/>
      <c r="BY842" s="10"/>
      <c r="B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c r="BW843" s="10"/>
      <c r="BX843" s="10"/>
      <c r="BY843" s="10"/>
      <c r="B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c r="BW845" s="10"/>
      <c r="BX845" s="10"/>
      <c r="BY845" s="10"/>
      <c r="B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c r="BW846" s="10"/>
      <c r="BX846" s="10"/>
      <c r="BY846" s="10"/>
      <c r="B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c r="BW848" s="10"/>
      <c r="BX848" s="10"/>
      <c r="BY848" s="10"/>
      <c r="B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c r="BW849" s="10"/>
      <c r="BX849" s="10"/>
      <c r="BY849" s="10"/>
      <c r="B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c r="BW850" s="10"/>
      <c r="BX850" s="10"/>
      <c r="BY850" s="10"/>
      <c r="B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c r="BW851" s="10"/>
      <c r="BX851" s="10"/>
      <c r="BY851" s="10"/>
      <c r="B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c r="BW852" s="10"/>
      <c r="BX852" s="10"/>
      <c r="BY852" s="10"/>
      <c r="B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c r="BW854" s="10"/>
      <c r="BX854" s="10"/>
      <c r="BY854" s="10"/>
      <c r="B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c r="BW855" s="10"/>
      <c r="BX855" s="10"/>
      <c r="BY855" s="10"/>
      <c r="B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c r="BW857" s="10"/>
      <c r="BX857" s="10"/>
      <c r="BY857" s="10"/>
      <c r="B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c r="BW859" s="10"/>
      <c r="BX859" s="10"/>
      <c r="BY859" s="10"/>
      <c r="B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c r="BW860" s="10"/>
      <c r="BX860" s="10"/>
      <c r="BY860" s="10"/>
      <c r="B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c r="BW864" s="10"/>
      <c r="BX864" s="10"/>
      <c r="BY864" s="10"/>
      <c r="B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c r="BW865" s="10"/>
      <c r="BX865" s="10"/>
      <c r="BY865" s="10"/>
      <c r="B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c r="BW866" s="10"/>
      <c r="BX866" s="10"/>
      <c r="BY866" s="10"/>
      <c r="B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0"/>
      <c r="BV867" s="10"/>
      <c r="BW867" s="10"/>
      <c r="BX867" s="10"/>
      <c r="BY867" s="10"/>
      <c r="B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c r="BS868" s="10"/>
      <c r="BT868" s="10"/>
      <c r="BU868" s="10"/>
      <c r="BV868" s="10"/>
      <c r="BW868" s="10"/>
      <c r="BX868" s="10"/>
      <c r="BY868" s="10"/>
      <c r="B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c r="BS869" s="10"/>
      <c r="BT869" s="10"/>
      <c r="BU869" s="10"/>
      <c r="BV869" s="10"/>
      <c r="BW869" s="10"/>
      <c r="BX869" s="10"/>
      <c r="BY869" s="10"/>
      <c r="B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0"/>
      <c r="BV870" s="10"/>
      <c r="BW870" s="10"/>
      <c r="BX870" s="10"/>
      <c r="BY870" s="10"/>
      <c r="B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0"/>
      <c r="BV871" s="10"/>
      <c r="BW871" s="10"/>
      <c r="BX871" s="10"/>
      <c r="BY871" s="10"/>
      <c r="B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0"/>
      <c r="BV872" s="10"/>
      <c r="BW872" s="10"/>
      <c r="BX872" s="10"/>
      <c r="BY872" s="10"/>
      <c r="B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0"/>
      <c r="BV873" s="10"/>
      <c r="BW873" s="10"/>
      <c r="BX873" s="10"/>
      <c r="BY873" s="10"/>
      <c r="B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0"/>
      <c r="BV874" s="10"/>
      <c r="BW874" s="10"/>
      <c r="BX874" s="10"/>
      <c r="BY874" s="10"/>
      <c r="B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0"/>
      <c r="BR875" s="10"/>
      <c r="BS875" s="10"/>
      <c r="BT875" s="10"/>
      <c r="BU875" s="10"/>
      <c r="BV875" s="10"/>
      <c r="BW875" s="10"/>
      <c r="BX875" s="10"/>
      <c r="BY875" s="10"/>
      <c r="B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c r="BM876" s="10"/>
      <c r="BN876" s="10"/>
      <c r="BO876" s="10"/>
      <c r="BP876" s="10"/>
      <c r="BQ876" s="10"/>
      <c r="BR876" s="10"/>
      <c r="BS876" s="10"/>
      <c r="BT876" s="10"/>
      <c r="BU876" s="10"/>
      <c r="BV876" s="10"/>
      <c r="BW876" s="10"/>
      <c r="BX876" s="10"/>
      <c r="BY876" s="10"/>
      <c r="B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c r="BQ877" s="10"/>
      <c r="BR877" s="10"/>
      <c r="BS877" s="10"/>
      <c r="BT877" s="10"/>
      <c r="BU877" s="10"/>
      <c r="BV877" s="10"/>
      <c r="BW877" s="10"/>
      <c r="BX877" s="10"/>
      <c r="BY877" s="10"/>
      <c r="B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c r="BQ878" s="10"/>
      <c r="BR878" s="10"/>
      <c r="BS878" s="10"/>
      <c r="BT878" s="10"/>
      <c r="BU878" s="10"/>
      <c r="BV878" s="10"/>
      <c r="BW878" s="10"/>
      <c r="BX878" s="10"/>
      <c r="BY878" s="10"/>
      <c r="B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c r="BS879" s="10"/>
      <c r="BT879" s="10"/>
      <c r="BU879" s="10"/>
      <c r="BV879" s="10"/>
      <c r="BW879" s="10"/>
      <c r="BX879" s="10"/>
      <c r="BY879" s="10"/>
      <c r="B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c r="BS880" s="10"/>
      <c r="BT880" s="10"/>
      <c r="BU880" s="10"/>
      <c r="BV880" s="10"/>
      <c r="BW880" s="10"/>
      <c r="BX880" s="10"/>
      <c r="BY880" s="10"/>
      <c r="B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c r="BM881" s="10"/>
      <c r="BN881" s="10"/>
      <c r="BO881" s="10"/>
      <c r="BP881" s="10"/>
      <c r="BQ881" s="10"/>
      <c r="BR881" s="10"/>
      <c r="BS881" s="10"/>
      <c r="BT881" s="10"/>
      <c r="BU881" s="10"/>
      <c r="BV881" s="10"/>
      <c r="BW881" s="10"/>
      <c r="BX881" s="10"/>
      <c r="BY881" s="10"/>
      <c r="B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c r="BM882" s="10"/>
      <c r="BN882" s="10"/>
      <c r="BO882" s="10"/>
      <c r="BP882" s="10"/>
      <c r="BQ882" s="10"/>
      <c r="BR882" s="10"/>
      <c r="BS882" s="10"/>
      <c r="BT882" s="10"/>
      <c r="BU882" s="10"/>
      <c r="BV882" s="10"/>
      <c r="BW882" s="10"/>
      <c r="BX882" s="10"/>
      <c r="BY882" s="10"/>
      <c r="B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c r="BM883" s="10"/>
      <c r="BN883" s="10"/>
      <c r="BO883" s="10"/>
      <c r="BP883" s="10"/>
      <c r="BQ883" s="10"/>
      <c r="BR883" s="10"/>
      <c r="BS883" s="10"/>
      <c r="BT883" s="10"/>
      <c r="BU883" s="10"/>
      <c r="BV883" s="10"/>
      <c r="BW883" s="10"/>
      <c r="BX883" s="10"/>
      <c r="BY883" s="10"/>
      <c r="B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c r="BM884" s="10"/>
      <c r="BN884" s="10"/>
      <c r="BO884" s="10"/>
      <c r="BP884" s="10"/>
      <c r="BQ884" s="10"/>
      <c r="BR884" s="10"/>
      <c r="BS884" s="10"/>
      <c r="BT884" s="10"/>
      <c r="BU884" s="10"/>
      <c r="BV884" s="10"/>
      <c r="BW884" s="10"/>
      <c r="BX884" s="10"/>
      <c r="BY884" s="10"/>
      <c r="B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c r="BM885" s="10"/>
      <c r="BN885" s="10"/>
      <c r="BO885" s="10"/>
      <c r="BP885" s="10"/>
      <c r="BQ885" s="10"/>
      <c r="BR885" s="10"/>
      <c r="BS885" s="10"/>
      <c r="BT885" s="10"/>
      <c r="BU885" s="10"/>
      <c r="BV885" s="10"/>
      <c r="BW885" s="10"/>
      <c r="BX885" s="10"/>
      <c r="BY885" s="10"/>
      <c r="B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c r="BM886" s="10"/>
      <c r="BN886" s="10"/>
      <c r="BO886" s="10"/>
      <c r="BP886" s="10"/>
      <c r="BQ886" s="10"/>
      <c r="BR886" s="10"/>
      <c r="BS886" s="10"/>
      <c r="BT886" s="10"/>
      <c r="BU886" s="10"/>
      <c r="BV886" s="10"/>
      <c r="BW886" s="10"/>
      <c r="BX886" s="10"/>
      <c r="BY886" s="10"/>
      <c r="B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c r="BM887" s="10"/>
      <c r="BN887" s="10"/>
      <c r="BO887" s="10"/>
      <c r="BP887" s="10"/>
      <c r="BQ887" s="10"/>
      <c r="BR887" s="10"/>
      <c r="BS887" s="10"/>
      <c r="BT887" s="10"/>
      <c r="BU887" s="10"/>
      <c r="BV887" s="10"/>
      <c r="BW887" s="10"/>
      <c r="BX887" s="10"/>
      <c r="BY887" s="10"/>
      <c r="B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c r="BQ888" s="10"/>
      <c r="BR888" s="10"/>
      <c r="BS888" s="10"/>
      <c r="BT888" s="10"/>
      <c r="BU888" s="10"/>
      <c r="BV888" s="10"/>
      <c r="BW888" s="10"/>
      <c r="BX888" s="10"/>
      <c r="BY888" s="10"/>
      <c r="B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c r="BM889" s="10"/>
      <c r="BN889" s="10"/>
      <c r="BO889" s="10"/>
      <c r="BP889" s="10"/>
      <c r="BQ889" s="10"/>
      <c r="BR889" s="10"/>
      <c r="BS889" s="10"/>
      <c r="BT889" s="10"/>
      <c r="BU889" s="10"/>
      <c r="BV889" s="10"/>
      <c r="BW889" s="10"/>
      <c r="BX889" s="10"/>
      <c r="BY889" s="10"/>
      <c r="B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c r="BQ890" s="10"/>
      <c r="BR890" s="10"/>
      <c r="BS890" s="10"/>
      <c r="BT890" s="10"/>
      <c r="BU890" s="10"/>
      <c r="BV890" s="10"/>
      <c r="BW890" s="10"/>
      <c r="BX890" s="10"/>
      <c r="BY890" s="10"/>
      <c r="B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c r="BM891" s="10"/>
      <c r="BN891" s="10"/>
      <c r="BO891" s="10"/>
      <c r="BP891" s="10"/>
      <c r="BQ891" s="10"/>
      <c r="BR891" s="10"/>
      <c r="BS891" s="10"/>
      <c r="BT891" s="10"/>
      <c r="BU891" s="10"/>
      <c r="BV891" s="10"/>
      <c r="BW891" s="10"/>
      <c r="BX891" s="10"/>
      <c r="BY891" s="10"/>
      <c r="B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c r="BM892" s="10"/>
      <c r="BN892" s="10"/>
      <c r="BO892" s="10"/>
      <c r="BP892" s="10"/>
      <c r="BQ892" s="10"/>
      <c r="BR892" s="10"/>
      <c r="BS892" s="10"/>
      <c r="BT892" s="10"/>
      <c r="BU892" s="10"/>
      <c r="BV892" s="10"/>
      <c r="BW892" s="10"/>
      <c r="BX892" s="10"/>
      <c r="BY892" s="10"/>
      <c r="B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c r="BM893" s="10"/>
      <c r="BN893" s="10"/>
      <c r="BO893" s="10"/>
      <c r="BP893" s="10"/>
      <c r="BQ893" s="10"/>
      <c r="BR893" s="10"/>
      <c r="BS893" s="10"/>
      <c r="BT893" s="10"/>
      <c r="BU893" s="10"/>
      <c r="BV893" s="10"/>
      <c r="BW893" s="10"/>
      <c r="BX893" s="10"/>
      <c r="BY893" s="10"/>
      <c r="B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c r="BM894" s="10"/>
      <c r="BN894" s="10"/>
      <c r="BO894" s="10"/>
      <c r="BP894" s="10"/>
      <c r="BQ894" s="10"/>
      <c r="BR894" s="10"/>
      <c r="BS894" s="10"/>
      <c r="BT894" s="10"/>
      <c r="BU894" s="10"/>
      <c r="BV894" s="10"/>
      <c r="BW894" s="10"/>
      <c r="BX894" s="10"/>
      <c r="BY894" s="10"/>
      <c r="B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c r="BM895" s="10"/>
      <c r="BN895" s="10"/>
      <c r="BO895" s="10"/>
      <c r="BP895" s="10"/>
      <c r="BQ895" s="10"/>
      <c r="BR895" s="10"/>
      <c r="BS895" s="10"/>
      <c r="BT895" s="10"/>
      <c r="BU895" s="10"/>
      <c r="BV895" s="10"/>
      <c r="BW895" s="10"/>
      <c r="BX895" s="10"/>
      <c r="BY895" s="10"/>
      <c r="B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c r="BM896" s="10"/>
      <c r="BN896" s="10"/>
      <c r="BO896" s="10"/>
      <c r="BP896" s="10"/>
      <c r="BQ896" s="10"/>
      <c r="BR896" s="10"/>
      <c r="BS896" s="10"/>
      <c r="BT896" s="10"/>
      <c r="BU896" s="10"/>
      <c r="BV896" s="10"/>
      <c r="BW896" s="10"/>
      <c r="BX896" s="10"/>
      <c r="BY896" s="10"/>
      <c r="B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c r="BM897" s="10"/>
      <c r="BN897" s="10"/>
      <c r="BO897" s="10"/>
      <c r="BP897" s="10"/>
      <c r="BQ897" s="10"/>
      <c r="BR897" s="10"/>
      <c r="BS897" s="10"/>
      <c r="BT897" s="10"/>
      <c r="BU897" s="10"/>
      <c r="BV897" s="10"/>
      <c r="BW897" s="10"/>
      <c r="BX897" s="10"/>
      <c r="BY897" s="10"/>
      <c r="B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c r="BM898" s="10"/>
      <c r="BN898" s="10"/>
      <c r="BO898" s="10"/>
      <c r="BP898" s="10"/>
      <c r="BQ898" s="10"/>
      <c r="BR898" s="10"/>
      <c r="BS898" s="10"/>
      <c r="BT898" s="10"/>
      <c r="BU898" s="10"/>
      <c r="BV898" s="10"/>
      <c r="BW898" s="10"/>
      <c r="BX898" s="10"/>
      <c r="BY898" s="10"/>
      <c r="B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c r="BQ899" s="10"/>
      <c r="BR899" s="10"/>
      <c r="BS899" s="10"/>
      <c r="BT899" s="10"/>
      <c r="BU899" s="10"/>
      <c r="BV899" s="10"/>
      <c r="BW899" s="10"/>
      <c r="BX899" s="10"/>
      <c r="BY899" s="10"/>
      <c r="B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c r="BM900" s="10"/>
      <c r="BN900" s="10"/>
      <c r="BO900" s="10"/>
      <c r="BP900" s="10"/>
      <c r="BQ900" s="10"/>
      <c r="BR900" s="10"/>
      <c r="BS900" s="10"/>
      <c r="BT900" s="10"/>
      <c r="BU900" s="10"/>
      <c r="BV900" s="10"/>
      <c r="BW900" s="10"/>
      <c r="BX900" s="10"/>
      <c r="BY900" s="10"/>
      <c r="B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c r="BW901" s="10"/>
      <c r="BX901" s="10"/>
      <c r="BY901" s="10"/>
      <c r="B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c r="BQ902" s="10"/>
      <c r="BR902" s="10"/>
      <c r="BS902" s="10"/>
      <c r="BT902" s="10"/>
      <c r="BU902" s="10"/>
      <c r="BV902" s="10"/>
      <c r="BW902" s="10"/>
      <c r="BX902" s="10"/>
      <c r="BY902" s="10"/>
      <c r="B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c r="BM903" s="10"/>
      <c r="BN903" s="10"/>
      <c r="BO903" s="10"/>
      <c r="BP903" s="10"/>
      <c r="BQ903" s="10"/>
      <c r="BR903" s="10"/>
      <c r="BS903" s="10"/>
      <c r="BT903" s="10"/>
      <c r="BU903" s="10"/>
      <c r="BV903" s="10"/>
      <c r="BW903" s="10"/>
      <c r="BX903" s="10"/>
      <c r="BY903" s="10"/>
      <c r="B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c r="BM904" s="10"/>
      <c r="BN904" s="10"/>
      <c r="BO904" s="10"/>
      <c r="BP904" s="10"/>
      <c r="BQ904" s="10"/>
      <c r="BR904" s="10"/>
      <c r="BS904" s="10"/>
      <c r="BT904" s="10"/>
      <c r="BU904" s="10"/>
      <c r="BV904" s="10"/>
      <c r="BW904" s="10"/>
      <c r="BX904" s="10"/>
      <c r="BY904" s="10"/>
      <c r="B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c r="BM905" s="10"/>
      <c r="BN905" s="10"/>
      <c r="BO905" s="10"/>
      <c r="BP905" s="10"/>
      <c r="BQ905" s="10"/>
      <c r="BR905" s="10"/>
      <c r="BS905" s="10"/>
      <c r="BT905" s="10"/>
      <c r="BU905" s="10"/>
      <c r="BV905" s="10"/>
      <c r="BW905" s="10"/>
      <c r="BX905" s="10"/>
      <c r="BY905" s="10"/>
      <c r="B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c r="BS906" s="10"/>
      <c r="BT906" s="10"/>
      <c r="BU906" s="10"/>
      <c r="BV906" s="10"/>
      <c r="BW906" s="10"/>
      <c r="BX906" s="10"/>
      <c r="BY906" s="10"/>
      <c r="B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c r="BQ907" s="10"/>
      <c r="BR907" s="10"/>
      <c r="BS907" s="10"/>
      <c r="BT907" s="10"/>
      <c r="BU907" s="10"/>
      <c r="BV907" s="10"/>
      <c r="BW907" s="10"/>
      <c r="BX907" s="10"/>
      <c r="BY907" s="10"/>
      <c r="B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c r="BM908" s="10"/>
      <c r="BN908" s="10"/>
      <c r="BO908" s="10"/>
      <c r="BP908" s="10"/>
      <c r="BQ908" s="10"/>
      <c r="BR908" s="10"/>
      <c r="BS908" s="10"/>
      <c r="BT908" s="10"/>
      <c r="BU908" s="10"/>
      <c r="BV908" s="10"/>
      <c r="BW908" s="10"/>
      <c r="BX908" s="10"/>
      <c r="BY908" s="10"/>
      <c r="B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c r="BM909" s="10"/>
      <c r="BN909" s="10"/>
      <c r="BO909" s="10"/>
      <c r="BP909" s="10"/>
      <c r="BQ909" s="10"/>
      <c r="BR909" s="10"/>
      <c r="BS909" s="10"/>
      <c r="BT909" s="10"/>
      <c r="BU909" s="10"/>
      <c r="BV909" s="10"/>
      <c r="BW909" s="10"/>
      <c r="BX909" s="10"/>
      <c r="BY909" s="10"/>
      <c r="B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c r="BM910" s="10"/>
      <c r="BN910" s="10"/>
      <c r="BO910" s="10"/>
      <c r="BP910" s="10"/>
      <c r="BQ910" s="10"/>
      <c r="BR910" s="10"/>
      <c r="BS910" s="10"/>
      <c r="BT910" s="10"/>
      <c r="BU910" s="10"/>
      <c r="BV910" s="10"/>
      <c r="BW910" s="10"/>
      <c r="BX910" s="10"/>
      <c r="BY910" s="10"/>
      <c r="B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c r="BM911" s="10"/>
      <c r="BN911" s="10"/>
      <c r="BO911" s="10"/>
      <c r="BP911" s="10"/>
      <c r="BQ911" s="10"/>
      <c r="BR911" s="10"/>
      <c r="BS911" s="10"/>
      <c r="BT911" s="10"/>
      <c r="BU911" s="10"/>
      <c r="BV911" s="10"/>
      <c r="BW911" s="10"/>
      <c r="BX911" s="10"/>
      <c r="BY911" s="10"/>
      <c r="B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c r="BQ912" s="10"/>
      <c r="BR912" s="10"/>
      <c r="BS912" s="10"/>
      <c r="BT912" s="10"/>
      <c r="BU912" s="10"/>
      <c r="BV912" s="10"/>
      <c r="BW912" s="10"/>
      <c r="BX912" s="10"/>
      <c r="BY912" s="10"/>
      <c r="B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c r="BM913" s="10"/>
      <c r="BN913" s="10"/>
      <c r="BO913" s="10"/>
      <c r="BP913" s="10"/>
      <c r="BQ913" s="10"/>
      <c r="BR913" s="10"/>
      <c r="BS913" s="10"/>
      <c r="BT913" s="10"/>
      <c r="BU913" s="10"/>
      <c r="BV913" s="10"/>
      <c r="BW913" s="10"/>
      <c r="BX913" s="10"/>
      <c r="BY913" s="10"/>
      <c r="B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c r="BM914" s="10"/>
      <c r="BN914" s="10"/>
      <c r="BO914" s="10"/>
      <c r="BP914" s="10"/>
      <c r="BQ914" s="10"/>
      <c r="BR914" s="10"/>
      <c r="BS914" s="10"/>
      <c r="BT914" s="10"/>
      <c r="BU914" s="10"/>
      <c r="BV914" s="10"/>
      <c r="BW914" s="10"/>
      <c r="BX914" s="10"/>
      <c r="BY914" s="10"/>
      <c r="B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c r="BQ915" s="10"/>
      <c r="BR915" s="10"/>
      <c r="BS915" s="10"/>
      <c r="BT915" s="10"/>
      <c r="BU915" s="10"/>
      <c r="BV915" s="10"/>
      <c r="BW915" s="10"/>
      <c r="BX915" s="10"/>
      <c r="BY915" s="10"/>
      <c r="B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c r="BM916" s="10"/>
      <c r="BN916" s="10"/>
      <c r="BO916" s="10"/>
      <c r="BP916" s="10"/>
      <c r="BQ916" s="10"/>
      <c r="BR916" s="10"/>
      <c r="BS916" s="10"/>
      <c r="BT916" s="10"/>
      <c r="BU916" s="10"/>
      <c r="BV916" s="10"/>
      <c r="BW916" s="10"/>
      <c r="BX916" s="10"/>
      <c r="BY916" s="10"/>
      <c r="B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c r="BM917" s="10"/>
      <c r="BN917" s="10"/>
      <c r="BO917" s="10"/>
      <c r="BP917" s="10"/>
      <c r="BQ917" s="10"/>
      <c r="BR917" s="10"/>
      <c r="BS917" s="10"/>
      <c r="BT917" s="10"/>
      <c r="BU917" s="10"/>
      <c r="BV917" s="10"/>
      <c r="BW917" s="10"/>
      <c r="BX917" s="10"/>
      <c r="BY917" s="10"/>
      <c r="B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c r="BM918" s="10"/>
      <c r="BN918" s="10"/>
      <c r="BO918" s="10"/>
      <c r="BP918" s="10"/>
      <c r="BQ918" s="10"/>
      <c r="BR918" s="10"/>
      <c r="BS918" s="10"/>
      <c r="BT918" s="10"/>
      <c r="BU918" s="10"/>
      <c r="BV918" s="10"/>
      <c r="BW918" s="10"/>
      <c r="BX918" s="10"/>
      <c r="BY918" s="10"/>
      <c r="B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c r="BQ919" s="10"/>
      <c r="BR919" s="10"/>
      <c r="BS919" s="10"/>
      <c r="BT919" s="10"/>
      <c r="BU919" s="10"/>
      <c r="BV919" s="10"/>
      <c r="BW919" s="10"/>
      <c r="BX919" s="10"/>
      <c r="BY919" s="10"/>
      <c r="B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c r="BM920" s="10"/>
      <c r="BN920" s="10"/>
      <c r="BO920" s="10"/>
      <c r="BP920" s="10"/>
      <c r="BQ920" s="10"/>
      <c r="BR920" s="10"/>
      <c r="BS920" s="10"/>
      <c r="BT920" s="10"/>
      <c r="BU920" s="10"/>
      <c r="BV920" s="10"/>
      <c r="BW920" s="10"/>
      <c r="BX920" s="10"/>
      <c r="BY920" s="10"/>
      <c r="B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c r="BM921" s="10"/>
      <c r="BN921" s="10"/>
      <c r="BO921" s="10"/>
      <c r="BP921" s="10"/>
      <c r="BQ921" s="10"/>
      <c r="BR921" s="10"/>
      <c r="BS921" s="10"/>
      <c r="BT921" s="10"/>
      <c r="BU921" s="10"/>
      <c r="BV921" s="10"/>
      <c r="BW921" s="10"/>
      <c r="BX921" s="10"/>
      <c r="BY921" s="10"/>
      <c r="B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c r="BM922" s="10"/>
      <c r="BN922" s="10"/>
      <c r="BO922" s="10"/>
      <c r="BP922" s="10"/>
      <c r="BQ922" s="10"/>
      <c r="BR922" s="10"/>
      <c r="BS922" s="10"/>
      <c r="BT922" s="10"/>
      <c r="BU922" s="10"/>
      <c r="BV922" s="10"/>
      <c r="BW922" s="10"/>
      <c r="BX922" s="10"/>
      <c r="BY922" s="10"/>
      <c r="B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c r="BQ923" s="10"/>
      <c r="BR923" s="10"/>
      <c r="BS923" s="10"/>
      <c r="BT923" s="10"/>
      <c r="BU923" s="10"/>
      <c r="BV923" s="10"/>
      <c r="BW923" s="10"/>
      <c r="BX923" s="10"/>
      <c r="BY923" s="10"/>
      <c r="B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c r="BM924" s="10"/>
      <c r="BN924" s="10"/>
      <c r="BO924" s="10"/>
      <c r="BP924" s="10"/>
      <c r="BQ924" s="10"/>
      <c r="BR924" s="10"/>
      <c r="BS924" s="10"/>
      <c r="BT924" s="10"/>
      <c r="BU924" s="10"/>
      <c r="BV924" s="10"/>
      <c r="BW924" s="10"/>
      <c r="BX924" s="10"/>
      <c r="BY924" s="10"/>
      <c r="B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c r="BM925" s="10"/>
      <c r="BN925" s="10"/>
      <c r="BO925" s="10"/>
      <c r="BP925" s="10"/>
      <c r="BQ925" s="10"/>
      <c r="BR925" s="10"/>
      <c r="BS925" s="10"/>
      <c r="BT925" s="10"/>
      <c r="BU925" s="10"/>
      <c r="BV925" s="10"/>
      <c r="BW925" s="10"/>
      <c r="BX925" s="10"/>
      <c r="BY925" s="10"/>
      <c r="B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c r="BM926" s="10"/>
      <c r="BN926" s="10"/>
      <c r="BO926" s="10"/>
      <c r="BP926" s="10"/>
      <c r="BQ926" s="10"/>
      <c r="BR926" s="10"/>
      <c r="BS926" s="10"/>
      <c r="BT926" s="10"/>
      <c r="BU926" s="10"/>
      <c r="BV926" s="10"/>
      <c r="BW926" s="10"/>
      <c r="BX926" s="10"/>
      <c r="BY926" s="10"/>
      <c r="B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c r="BM927" s="10"/>
      <c r="BN927" s="10"/>
      <c r="BO927" s="10"/>
      <c r="BP927" s="10"/>
      <c r="BQ927" s="10"/>
      <c r="BR927" s="10"/>
      <c r="BS927" s="10"/>
      <c r="BT927" s="10"/>
      <c r="BU927" s="10"/>
      <c r="BV927" s="10"/>
      <c r="BW927" s="10"/>
      <c r="BX927" s="10"/>
      <c r="BY927" s="10"/>
      <c r="B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c r="BM928" s="10"/>
      <c r="BN928" s="10"/>
      <c r="BO928" s="10"/>
      <c r="BP928" s="10"/>
      <c r="BQ928" s="10"/>
      <c r="BR928" s="10"/>
      <c r="BS928" s="10"/>
      <c r="BT928" s="10"/>
      <c r="BU928" s="10"/>
      <c r="BV928" s="10"/>
      <c r="BW928" s="10"/>
      <c r="BX928" s="10"/>
      <c r="BY928" s="10"/>
      <c r="B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c r="BM929" s="10"/>
      <c r="BN929" s="10"/>
      <c r="BO929" s="10"/>
      <c r="BP929" s="10"/>
      <c r="BQ929" s="10"/>
      <c r="BR929" s="10"/>
      <c r="BS929" s="10"/>
      <c r="BT929" s="10"/>
      <c r="BU929" s="10"/>
      <c r="BV929" s="10"/>
      <c r="BW929" s="10"/>
      <c r="BX929" s="10"/>
      <c r="BY929" s="10"/>
      <c r="B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c r="BM930" s="10"/>
      <c r="BN930" s="10"/>
      <c r="BO930" s="10"/>
      <c r="BP930" s="10"/>
      <c r="BQ930" s="10"/>
      <c r="BR930" s="10"/>
      <c r="BS930" s="10"/>
      <c r="BT930" s="10"/>
      <c r="BU930" s="10"/>
      <c r="BV930" s="10"/>
      <c r="BW930" s="10"/>
      <c r="BX930" s="10"/>
      <c r="BY930" s="10"/>
      <c r="B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c r="BM931" s="10"/>
      <c r="BN931" s="10"/>
      <c r="BO931" s="10"/>
      <c r="BP931" s="10"/>
      <c r="BQ931" s="10"/>
      <c r="BR931" s="10"/>
      <c r="BS931" s="10"/>
      <c r="BT931" s="10"/>
      <c r="BU931" s="10"/>
      <c r="BV931" s="10"/>
      <c r="BW931" s="10"/>
      <c r="BX931" s="10"/>
      <c r="BY931" s="10"/>
      <c r="B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c r="BQ932" s="10"/>
      <c r="BR932" s="10"/>
      <c r="BS932" s="10"/>
      <c r="BT932" s="10"/>
      <c r="BU932" s="10"/>
      <c r="BV932" s="10"/>
      <c r="BW932" s="10"/>
      <c r="BX932" s="10"/>
      <c r="BY932" s="10"/>
      <c r="B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c r="BM933" s="10"/>
      <c r="BN933" s="10"/>
      <c r="BO933" s="10"/>
      <c r="BP933" s="10"/>
      <c r="BQ933" s="10"/>
      <c r="BR933" s="10"/>
      <c r="BS933" s="10"/>
      <c r="BT933" s="10"/>
      <c r="BU933" s="10"/>
      <c r="BV933" s="10"/>
      <c r="BW933" s="10"/>
      <c r="BX933" s="10"/>
      <c r="BY933" s="10"/>
      <c r="B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c r="BM934" s="10"/>
      <c r="BN934" s="10"/>
      <c r="BO934" s="10"/>
      <c r="BP934" s="10"/>
      <c r="BQ934" s="10"/>
      <c r="BR934" s="10"/>
      <c r="BS934" s="10"/>
      <c r="BT934" s="10"/>
      <c r="BU934" s="10"/>
      <c r="BV934" s="10"/>
      <c r="BW934" s="10"/>
      <c r="BX934" s="10"/>
      <c r="BY934" s="10"/>
      <c r="B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c r="BQ935" s="10"/>
      <c r="BR935" s="10"/>
      <c r="BS935" s="10"/>
      <c r="BT935" s="10"/>
      <c r="BU935" s="10"/>
      <c r="BV935" s="10"/>
      <c r="BW935" s="10"/>
      <c r="BX935" s="10"/>
      <c r="BY935" s="10"/>
      <c r="B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c r="BM936" s="10"/>
      <c r="BN936" s="10"/>
      <c r="BO936" s="10"/>
      <c r="BP936" s="10"/>
      <c r="BQ936" s="10"/>
      <c r="BR936" s="10"/>
      <c r="BS936" s="10"/>
      <c r="BT936" s="10"/>
      <c r="BU936" s="10"/>
      <c r="BV936" s="10"/>
      <c r="BW936" s="10"/>
      <c r="BX936" s="10"/>
      <c r="BY936" s="10"/>
      <c r="B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c r="BM937" s="10"/>
      <c r="BN937" s="10"/>
      <c r="BO937" s="10"/>
      <c r="BP937" s="10"/>
      <c r="BQ937" s="10"/>
      <c r="BR937" s="10"/>
      <c r="BS937" s="10"/>
      <c r="BT937" s="10"/>
      <c r="BU937" s="10"/>
      <c r="BV937" s="10"/>
      <c r="BW937" s="10"/>
      <c r="BX937" s="10"/>
      <c r="BY937" s="10"/>
      <c r="B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c r="BM938" s="10"/>
      <c r="BN938" s="10"/>
      <c r="BO938" s="10"/>
      <c r="BP938" s="10"/>
      <c r="BQ938" s="10"/>
      <c r="BR938" s="10"/>
      <c r="BS938" s="10"/>
      <c r="BT938" s="10"/>
      <c r="BU938" s="10"/>
      <c r="BV938" s="10"/>
      <c r="BW938" s="10"/>
      <c r="BX938" s="10"/>
      <c r="BY938" s="10"/>
      <c r="B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c r="BM939" s="10"/>
      <c r="BN939" s="10"/>
      <c r="BO939" s="10"/>
      <c r="BP939" s="10"/>
      <c r="BQ939" s="10"/>
      <c r="BR939" s="10"/>
      <c r="BS939" s="10"/>
      <c r="BT939" s="10"/>
      <c r="BU939" s="10"/>
      <c r="BV939" s="10"/>
      <c r="BW939" s="10"/>
      <c r="BX939" s="10"/>
      <c r="BY939" s="10"/>
      <c r="B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c r="BM940" s="10"/>
      <c r="BN940" s="10"/>
      <c r="BO940" s="10"/>
      <c r="BP940" s="10"/>
      <c r="BQ940" s="10"/>
      <c r="BR940" s="10"/>
      <c r="BS940" s="10"/>
      <c r="BT940" s="10"/>
      <c r="BU940" s="10"/>
      <c r="BV940" s="10"/>
      <c r="BW940" s="10"/>
      <c r="BX940" s="10"/>
      <c r="BY940" s="10"/>
      <c r="B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c r="BM941" s="10"/>
      <c r="BN941" s="10"/>
      <c r="BO941" s="10"/>
      <c r="BP941" s="10"/>
      <c r="BQ941" s="10"/>
      <c r="BR941" s="10"/>
      <c r="BS941" s="10"/>
      <c r="BT941" s="10"/>
      <c r="BU941" s="10"/>
      <c r="BV941" s="10"/>
      <c r="BW941" s="10"/>
      <c r="BX941" s="10"/>
      <c r="BY941" s="10"/>
      <c r="B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c r="BM942" s="10"/>
      <c r="BN942" s="10"/>
      <c r="BO942" s="10"/>
      <c r="BP942" s="10"/>
      <c r="BQ942" s="10"/>
      <c r="BR942" s="10"/>
      <c r="BS942" s="10"/>
      <c r="BT942" s="10"/>
      <c r="BU942" s="10"/>
      <c r="BV942" s="10"/>
      <c r="BW942" s="10"/>
      <c r="BX942" s="10"/>
      <c r="BY942" s="10"/>
      <c r="B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c r="BS943" s="10"/>
      <c r="BT943" s="10"/>
      <c r="BU943" s="10"/>
      <c r="BV943" s="10"/>
      <c r="BW943" s="10"/>
      <c r="BX943" s="10"/>
      <c r="BY943" s="10"/>
      <c r="B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c r="BQ944" s="10"/>
      <c r="BR944" s="10"/>
      <c r="BS944" s="10"/>
      <c r="BT944" s="10"/>
      <c r="BU944" s="10"/>
      <c r="BV944" s="10"/>
      <c r="BW944" s="10"/>
      <c r="BX944" s="10"/>
      <c r="BY944" s="10"/>
      <c r="B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c r="BM945" s="10"/>
      <c r="BN945" s="10"/>
      <c r="BO945" s="10"/>
      <c r="BP945" s="10"/>
      <c r="BQ945" s="10"/>
      <c r="BR945" s="10"/>
      <c r="BS945" s="10"/>
      <c r="BT945" s="10"/>
      <c r="BU945" s="10"/>
      <c r="BV945" s="10"/>
      <c r="BW945" s="10"/>
      <c r="BX945" s="10"/>
      <c r="BY945" s="10"/>
      <c r="B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c r="BM946" s="10"/>
      <c r="BN946" s="10"/>
      <c r="BO946" s="10"/>
      <c r="BP946" s="10"/>
      <c r="BQ946" s="10"/>
      <c r="BR946" s="10"/>
      <c r="BS946" s="10"/>
      <c r="BT946" s="10"/>
      <c r="BU946" s="10"/>
      <c r="BV946" s="10"/>
      <c r="BW946" s="10"/>
      <c r="BX946" s="10"/>
      <c r="BY946" s="10"/>
      <c r="B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c r="BR947" s="10"/>
      <c r="BS947" s="10"/>
      <c r="BT947" s="10"/>
      <c r="BU947" s="10"/>
      <c r="BV947" s="10"/>
      <c r="BW947" s="10"/>
      <c r="BX947" s="10"/>
      <c r="BY947" s="10"/>
      <c r="B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c r="BQ948" s="10"/>
      <c r="BR948" s="10"/>
      <c r="BS948" s="10"/>
      <c r="BT948" s="10"/>
      <c r="BU948" s="10"/>
      <c r="BV948" s="10"/>
      <c r="BW948" s="10"/>
      <c r="BX948" s="10"/>
      <c r="BY948" s="10"/>
      <c r="B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c r="BM949" s="10"/>
      <c r="BN949" s="10"/>
      <c r="BO949" s="10"/>
      <c r="BP949" s="10"/>
      <c r="BQ949" s="10"/>
      <c r="BR949" s="10"/>
      <c r="BS949" s="10"/>
      <c r="BT949" s="10"/>
      <c r="BU949" s="10"/>
      <c r="BV949" s="10"/>
      <c r="BW949" s="10"/>
      <c r="BX949" s="10"/>
      <c r="BY949" s="10"/>
      <c r="B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c r="BM950" s="10"/>
      <c r="BN950" s="10"/>
      <c r="BO950" s="10"/>
      <c r="BP950" s="10"/>
      <c r="BQ950" s="10"/>
      <c r="BR950" s="10"/>
      <c r="BS950" s="10"/>
      <c r="BT950" s="10"/>
      <c r="BU950" s="10"/>
      <c r="BV950" s="10"/>
      <c r="BW950" s="10"/>
      <c r="BX950" s="10"/>
      <c r="BY950" s="10"/>
      <c r="B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c r="BQ951" s="10"/>
      <c r="BR951" s="10"/>
      <c r="BS951" s="10"/>
      <c r="BT951" s="10"/>
      <c r="BU951" s="10"/>
      <c r="BV951" s="10"/>
      <c r="BW951" s="10"/>
      <c r="BX951" s="10"/>
      <c r="BY951" s="10"/>
      <c r="B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c r="BQ952" s="10"/>
      <c r="BR952" s="10"/>
      <c r="BS952" s="10"/>
      <c r="BT952" s="10"/>
      <c r="BU952" s="10"/>
      <c r="BV952" s="10"/>
      <c r="BW952" s="10"/>
      <c r="BX952" s="10"/>
      <c r="BY952" s="10"/>
      <c r="B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c r="BM953" s="10"/>
      <c r="BN953" s="10"/>
      <c r="BO953" s="10"/>
      <c r="BP953" s="10"/>
      <c r="BQ953" s="10"/>
      <c r="BR953" s="10"/>
      <c r="BS953" s="10"/>
      <c r="BT953" s="10"/>
      <c r="BU953" s="10"/>
      <c r="BV953" s="10"/>
      <c r="BW953" s="10"/>
      <c r="BX953" s="10"/>
      <c r="BY953" s="10"/>
      <c r="B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c r="BM954" s="10"/>
      <c r="BN954" s="10"/>
      <c r="BO954" s="10"/>
      <c r="BP954" s="10"/>
      <c r="BQ954" s="10"/>
      <c r="BR954" s="10"/>
      <c r="BS954" s="10"/>
      <c r="BT954" s="10"/>
      <c r="BU954" s="10"/>
      <c r="BV954" s="10"/>
      <c r="BW954" s="10"/>
      <c r="BX954" s="10"/>
      <c r="BY954" s="10"/>
      <c r="B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c r="BM955" s="10"/>
      <c r="BN955" s="10"/>
      <c r="BO955" s="10"/>
      <c r="BP955" s="10"/>
      <c r="BQ955" s="10"/>
      <c r="BR955" s="10"/>
      <c r="BS955" s="10"/>
      <c r="BT955" s="10"/>
      <c r="BU955" s="10"/>
      <c r="BV955" s="10"/>
      <c r="BW955" s="10"/>
      <c r="BX955" s="10"/>
      <c r="BY955" s="10"/>
      <c r="B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c r="BQ956" s="10"/>
      <c r="BR956" s="10"/>
      <c r="BS956" s="10"/>
      <c r="BT956" s="10"/>
      <c r="BU956" s="10"/>
      <c r="BV956" s="10"/>
      <c r="BW956" s="10"/>
      <c r="BX956" s="10"/>
      <c r="BY956" s="10"/>
      <c r="B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c r="BM957" s="10"/>
      <c r="BN957" s="10"/>
      <c r="BO957" s="10"/>
      <c r="BP957" s="10"/>
      <c r="BQ957" s="10"/>
      <c r="BR957" s="10"/>
      <c r="BS957" s="10"/>
      <c r="BT957" s="10"/>
      <c r="BU957" s="10"/>
      <c r="BV957" s="10"/>
      <c r="BW957" s="10"/>
      <c r="BX957" s="10"/>
      <c r="BY957" s="10"/>
      <c r="B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c r="BL958" s="10"/>
      <c r="BM958" s="10"/>
      <c r="BN958" s="10"/>
      <c r="BO958" s="10"/>
      <c r="BP958" s="10"/>
      <c r="BQ958" s="10"/>
      <c r="BR958" s="10"/>
      <c r="BS958" s="10"/>
      <c r="BT958" s="10"/>
      <c r="BU958" s="10"/>
      <c r="BV958" s="10"/>
      <c r="BW958" s="10"/>
      <c r="BX958" s="10"/>
      <c r="BY958" s="10"/>
      <c r="B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c r="BL959" s="10"/>
      <c r="BM959" s="10"/>
      <c r="BN959" s="10"/>
      <c r="BO959" s="10"/>
      <c r="BP959" s="10"/>
      <c r="BQ959" s="10"/>
      <c r="BR959" s="10"/>
      <c r="BS959" s="10"/>
      <c r="BT959" s="10"/>
      <c r="BU959" s="10"/>
      <c r="BV959" s="10"/>
      <c r="BW959" s="10"/>
      <c r="BX959" s="10"/>
      <c r="BY959" s="10"/>
      <c r="B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c r="BM960" s="10"/>
      <c r="BN960" s="10"/>
      <c r="BO960" s="10"/>
      <c r="BP960" s="10"/>
      <c r="BQ960" s="10"/>
      <c r="BR960" s="10"/>
      <c r="BS960" s="10"/>
      <c r="BT960" s="10"/>
      <c r="BU960" s="10"/>
      <c r="BV960" s="10"/>
      <c r="BW960" s="10"/>
      <c r="BX960" s="10"/>
      <c r="BY960" s="10"/>
      <c r="B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c r="BL961" s="10"/>
      <c r="BM961" s="10"/>
      <c r="BN961" s="10"/>
      <c r="BO961" s="10"/>
      <c r="BP961" s="10"/>
      <c r="BQ961" s="10"/>
      <c r="BR961" s="10"/>
      <c r="BS961" s="10"/>
      <c r="BT961" s="10"/>
      <c r="BU961" s="10"/>
      <c r="BV961" s="10"/>
      <c r="BW961" s="10"/>
      <c r="BX961" s="10"/>
      <c r="BY961" s="10"/>
      <c r="B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c r="BL962" s="10"/>
      <c r="BM962" s="10"/>
      <c r="BN962" s="10"/>
      <c r="BO962" s="10"/>
      <c r="BP962" s="10"/>
      <c r="BQ962" s="10"/>
      <c r="BR962" s="10"/>
      <c r="BS962" s="10"/>
      <c r="BT962" s="10"/>
      <c r="BU962" s="10"/>
      <c r="BV962" s="10"/>
      <c r="BW962" s="10"/>
      <c r="BX962" s="10"/>
      <c r="BY962" s="10"/>
      <c r="B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c r="BM963" s="10"/>
      <c r="BN963" s="10"/>
      <c r="BO963" s="10"/>
      <c r="BP963" s="10"/>
      <c r="BQ963" s="10"/>
      <c r="BR963" s="10"/>
      <c r="BS963" s="10"/>
      <c r="BT963" s="10"/>
      <c r="BU963" s="10"/>
      <c r="BV963" s="10"/>
      <c r="BW963" s="10"/>
      <c r="BX963" s="10"/>
      <c r="BY963" s="10"/>
      <c r="B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c r="BM964" s="10"/>
      <c r="BN964" s="10"/>
      <c r="BO964" s="10"/>
      <c r="BP964" s="10"/>
      <c r="BQ964" s="10"/>
      <c r="BR964" s="10"/>
      <c r="BS964" s="10"/>
      <c r="BT964" s="10"/>
      <c r="BU964" s="10"/>
      <c r="BV964" s="10"/>
      <c r="BW964" s="10"/>
      <c r="BX964" s="10"/>
      <c r="BY964" s="10"/>
      <c r="B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c r="BM965" s="10"/>
      <c r="BN965" s="10"/>
      <c r="BO965" s="10"/>
      <c r="BP965" s="10"/>
      <c r="BQ965" s="10"/>
      <c r="BR965" s="10"/>
      <c r="BS965" s="10"/>
      <c r="BT965" s="10"/>
      <c r="BU965" s="10"/>
      <c r="BV965" s="10"/>
      <c r="BW965" s="10"/>
      <c r="BX965" s="10"/>
      <c r="BY965" s="10"/>
      <c r="B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c r="BS966" s="10"/>
      <c r="BT966" s="10"/>
      <c r="BU966" s="10"/>
      <c r="BV966" s="10"/>
      <c r="BW966" s="10"/>
      <c r="BX966" s="10"/>
      <c r="BY966" s="10"/>
      <c r="B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c r="BS967" s="10"/>
      <c r="BT967" s="10"/>
      <c r="BU967" s="10"/>
      <c r="BV967" s="10"/>
      <c r="BW967" s="10"/>
      <c r="BX967" s="10"/>
      <c r="BY967" s="10"/>
      <c r="B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c r="BS968" s="10"/>
      <c r="BT968" s="10"/>
      <c r="BU968" s="10"/>
      <c r="BV968" s="10"/>
      <c r="BW968" s="10"/>
      <c r="BX968" s="10"/>
      <c r="BY968" s="10"/>
      <c r="B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c r="BM969" s="10"/>
      <c r="BN969" s="10"/>
      <c r="BO969" s="10"/>
      <c r="BP969" s="10"/>
      <c r="BQ969" s="10"/>
      <c r="BR969" s="10"/>
      <c r="BS969" s="10"/>
      <c r="BT969" s="10"/>
      <c r="BU969" s="10"/>
      <c r="BV969" s="10"/>
      <c r="BW969" s="10"/>
      <c r="BX969" s="10"/>
      <c r="BY969" s="10"/>
      <c r="B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c r="BM970" s="10"/>
      <c r="BN970" s="10"/>
      <c r="BO970" s="10"/>
      <c r="BP970" s="10"/>
      <c r="BQ970" s="10"/>
      <c r="BR970" s="10"/>
      <c r="BS970" s="10"/>
      <c r="BT970" s="10"/>
      <c r="BU970" s="10"/>
      <c r="BV970" s="10"/>
      <c r="BW970" s="10"/>
      <c r="BX970" s="10"/>
      <c r="BY970" s="10"/>
      <c r="B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c r="BS971" s="10"/>
      <c r="BT971" s="10"/>
      <c r="BU971" s="10"/>
      <c r="BV971" s="10"/>
      <c r="BW971" s="10"/>
      <c r="BX971" s="10"/>
      <c r="BY971" s="10"/>
      <c r="B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c r="BL972" s="10"/>
      <c r="BM972" s="10"/>
      <c r="BN972" s="10"/>
      <c r="BO972" s="10"/>
      <c r="BP972" s="10"/>
      <c r="BQ972" s="10"/>
      <c r="BR972" s="10"/>
      <c r="BS972" s="10"/>
      <c r="BT972" s="10"/>
      <c r="BU972" s="10"/>
      <c r="BV972" s="10"/>
      <c r="BW972" s="10"/>
      <c r="BX972" s="10"/>
      <c r="BY972" s="10"/>
      <c r="B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c r="BL973" s="10"/>
      <c r="BM973" s="10"/>
      <c r="BN973" s="10"/>
      <c r="BO973" s="10"/>
      <c r="BP973" s="10"/>
      <c r="BQ973" s="10"/>
      <c r="BR973" s="10"/>
      <c r="BS973" s="10"/>
      <c r="BT973" s="10"/>
      <c r="BU973" s="10"/>
      <c r="BV973" s="10"/>
      <c r="BW973" s="10"/>
      <c r="BX973" s="10"/>
      <c r="BY973" s="10"/>
      <c r="B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c r="BL974" s="10"/>
      <c r="BM974" s="10"/>
      <c r="BN974" s="10"/>
      <c r="BO974" s="10"/>
      <c r="BP974" s="10"/>
      <c r="BQ974" s="10"/>
      <c r="BR974" s="10"/>
      <c r="BS974" s="10"/>
      <c r="BT974" s="10"/>
      <c r="BU974" s="10"/>
      <c r="BV974" s="10"/>
      <c r="BW974" s="10"/>
      <c r="BX974" s="10"/>
      <c r="BY974" s="10"/>
      <c r="B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c r="BL975" s="10"/>
      <c r="BM975" s="10"/>
      <c r="BN975" s="10"/>
      <c r="BO975" s="10"/>
      <c r="BP975" s="10"/>
      <c r="BQ975" s="10"/>
      <c r="BR975" s="10"/>
      <c r="BS975" s="10"/>
      <c r="BT975" s="10"/>
      <c r="BU975" s="10"/>
      <c r="BV975" s="10"/>
      <c r="BW975" s="10"/>
      <c r="BX975" s="10"/>
      <c r="BY975" s="10"/>
      <c r="B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c r="BL976" s="10"/>
      <c r="BM976" s="10"/>
      <c r="BN976" s="10"/>
      <c r="BO976" s="10"/>
      <c r="BP976" s="10"/>
      <c r="BQ976" s="10"/>
      <c r="BR976" s="10"/>
      <c r="BS976" s="10"/>
      <c r="BT976" s="10"/>
      <c r="BU976" s="10"/>
      <c r="BV976" s="10"/>
      <c r="BW976" s="10"/>
      <c r="BX976" s="10"/>
      <c r="BY976" s="10"/>
      <c r="B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c r="BL977" s="10"/>
      <c r="BM977" s="10"/>
      <c r="BN977" s="10"/>
      <c r="BO977" s="10"/>
      <c r="BP977" s="10"/>
      <c r="BQ977" s="10"/>
      <c r="BR977" s="10"/>
      <c r="BS977" s="10"/>
      <c r="BT977" s="10"/>
      <c r="BU977" s="10"/>
      <c r="BV977" s="10"/>
      <c r="BW977" s="10"/>
      <c r="BX977" s="10"/>
      <c r="BY977" s="10"/>
      <c r="B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c r="BL978" s="10"/>
      <c r="BM978" s="10"/>
      <c r="BN978" s="10"/>
      <c r="BO978" s="10"/>
      <c r="BP978" s="10"/>
      <c r="BQ978" s="10"/>
      <c r="BR978" s="10"/>
      <c r="BS978" s="10"/>
      <c r="BT978" s="10"/>
      <c r="BU978" s="10"/>
      <c r="BV978" s="10"/>
      <c r="BW978" s="10"/>
      <c r="BX978" s="10"/>
      <c r="BY978" s="10"/>
      <c r="B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c r="BL979" s="10"/>
      <c r="BM979" s="10"/>
      <c r="BN979" s="10"/>
      <c r="BO979" s="10"/>
      <c r="BP979" s="10"/>
      <c r="BQ979" s="10"/>
      <c r="BR979" s="10"/>
      <c r="BS979" s="10"/>
      <c r="BT979" s="10"/>
      <c r="BU979" s="10"/>
      <c r="BV979" s="10"/>
      <c r="BW979" s="10"/>
      <c r="BX979" s="10"/>
      <c r="BY979" s="10"/>
      <c r="B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c r="BL980" s="10"/>
      <c r="BM980" s="10"/>
      <c r="BN980" s="10"/>
      <c r="BO980" s="10"/>
      <c r="BP980" s="10"/>
      <c r="BQ980" s="10"/>
      <c r="BR980" s="10"/>
      <c r="BS980" s="10"/>
      <c r="BT980" s="10"/>
      <c r="BU980" s="10"/>
      <c r="BV980" s="10"/>
      <c r="BW980" s="10"/>
      <c r="BX980" s="10"/>
      <c r="BY980" s="10"/>
      <c r="B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c r="BL981" s="10"/>
      <c r="BM981" s="10"/>
      <c r="BN981" s="10"/>
      <c r="BO981" s="10"/>
      <c r="BP981" s="10"/>
      <c r="BQ981" s="10"/>
      <c r="BR981" s="10"/>
      <c r="BS981" s="10"/>
      <c r="BT981" s="10"/>
      <c r="BU981" s="10"/>
      <c r="BV981" s="10"/>
      <c r="BW981" s="10"/>
      <c r="BX981" s="10"/>
      <c r="BY981" s="10"/>
      <c r="B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c r="BL982" s="10"/>
      <c r="BM982" s="10"/>
      <c r="BN982" s="10"/>
      <c r="BO982" s="10"/>
      <c r="BP982" s="10"/>
      <c r="BQ982" s="10"/>
      <c r="BR982" s="10"/>
      <c r="BS982" s="10"/>
      <c r="BT982" s="10"/>
      <c r="BU982" s="10"/>
      <c r="BV982" s="10"/>
      <c r="BW982" s="10"/>
      <c r="BX982" s="10"/>
      <c r="BY982" s="10"/>
      <c r="B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c r="BL983" s="10"/>
      <c r="BM983" s="10"/>
      <c r="BN983" s="10"/>
      <c r="BO983" s="10"/>
      <c r="BP983" s="10"/>
      <c r="BQ983" s="10"/>
      <c r="BR983" s="10"/>
      <c r="BS983" s="10"/>
      <c r="BT983" s="10"/>
      <c r="BU983" s="10"/>
      <c r="BV983" s="10"/>
      <c r="BW983" s="10"/>
      <c r="BX983" s="10"/>
      <c r="BY983" s="10"/>
      <c r="B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c r="BL984" s="10"/>
      <c r="BM984" s="10"/>
      <c r="BN984" s="10"/>
      <c r="BO984" s="10"/>
      <c r="BP984" s="10"/>
      <c r="BQ984" s="10"/>
      <c r="BR984" s="10"/>
      <c r="BS984" s="10"/>
      <c r="BT984" s="10"/>
      <c r="BU984" s="10"/>
      <c r="BV984" s="10"/>
      <c r="BW984" s="10"/>
      <c r="BX984" s="10"/>
      <c r="BY984" s="10"/>
      <c r="B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c r="BL985" s="10"/>
      <c r="BM985" s="10"/>
      <c r="BN985" s="10"/>
      <c r="BO985" s="10"/>
      <c r="BP985" s="10"/>
      <c r="BQ985" s="10"/>
      <c r="BR985" s="10"/>
      <c r="BS985" s="10"/>
      <c r="BT985" s="10"/>
      <c r="BU985" s="10"/>
      <c r="BV985" s="10"/>
      <c r="BW985" s="10"/>
      <c r="BX985" s="10"/>
      <c r="BY985" s="10"/>
      <c r="B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c r="BL986" s="10"/>
      <c r="BM986" s="10"/>
      <c r="BN986" s="10"/>
      <c r="BO986" s="10"/>
      <c r="BP986" s="10"/>
      <c r="BQ986" s="10"/>
      <c r="BR986" s="10"/>
      <c r="BS986" s="10"/>
      <c r="BT986" s="10"/>
      <c r="BU986" s="10"/>
      <c r="BV986" s="10"/>
      <c r="BW986" s="10"/>
      <c r="BX986" s="10"/>
      <c r="BY986" s="10"/>
      <c r="B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c r="BL987" s="10"/>
      <c r="BM987" s="10"/>
      <c r="BN987" s="10"/>
      <c r="BO987" s="10"/>
      <c r="BP987" s="10"/>
      <c r="BQ987" s="10"/>
      <c r="BR987" s="10"/>
      <c r="BS987" s="10"/>
      <c r="BT987" s="10"/>
      <c r="BU987" s="10"/>
      <c r="BV987" s="10"/>
      <c r="BW987" s="10"/>
      <c r="BX987" s="10"/>
      <c r="BY987" s="10"/>
      <c r="B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c r="BL988" s="10"/>
      <c r="BM988" s="10"/>
      <c r="BN988" s="10"/>
      <c r="BO988" s="10"/>
      <c r="BP988" s="10"/>
      <c r="BQ988" s="10"/>
      <c r="BR988" s="10"/>
      <c r="BS988" s="10"/>
      <c r="BT988" s="10"/>
      <c r="BU988" s="10"/>
      <c r="BV988" s="10"/>
      <c r="BW988" s="10"/>
      <c r="BX988" s="10"/>
      <c r="BY988" s="10"/>
      <c r="B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c r="BL989" s="10"/>
      <c r="BM989" s="10"/>
      <c r="BN989" s="10"/>
      <c r="BO989" s="10"/>
      <c r="BP989" s="10"/>
      <c r="BQ989" s="10"/>
      <c r="BR989" s="10"/>
      <c r="BS989" s="10"/>
      <c r="BT989" s="10"/>
      <c r="BU989" s="10"/>
      <c r="BV989" s="10"/>
      <c r="BW989" s="10"/>
      <c r="BX989" s="10"/>
      <c r="BY989" s="10"/>
      <c r="B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c r="BL990" s="10"/>
      <c r="BM990" s="10"/>
      <c r="BN990" s="10"/>
      <c r="BO990" s="10"/>
      <c r="BP990" s="10"/>
      <c r="BQ990" s="10"/>
      <c r="BR990" s="10"/>
      <c r="BS990" s="10"/>
      <c r="BT990" s="10"/>
      <c r="BU990" s="10"/>
      <c r="BV990" s="10"/>
      <c r="BW990" s="10"/>
      <c r="BX990" s="10"/>
      <c r="BY990" s="10"/>
      <c r="B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c r="BL991" s="10"/>
      <c r="BM991" s="10"/>
      <c r="BN991" s="10"/>
      <c r="BO991" s="10"/>
      <c r="BP991" s="10"/>
      <c r="BQ991" s="10"/>
      <c r="BR991" s="10"/>
      <c r="BS991" s="10"/>
      <c r="BT991" s="10"/>
      <c r="BU991" s="10"/>
      <c r="BV991" s="10"/>
      <c r="BW991" s="10"/>
      <c r="BX991" s="10"/>
      <c r="BY991" s="10"/>
      <c r="B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c r="BL992" s="10"/>
      <c r="BM992" s="10"/>
      <c r="BN992" s="10"/>
      <c r="BO992" s="10"/>
      <c r="BP992" s="10"/>
      <c r="BQ992" s="10"/>
      <c r="BR992" s="10"/>
      <c r="BS992" s="10"/>
      <c r="BT992" s="10"/>
      <c r="BU992" s="10"/>
      <c r="BV992" s="10"/>
      <c r="BW992" s="10"/>
      <c r="BX992" s="10"/>
      <c r="BY992" s="10"/>
      <c r="B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c r="BL993" s="10"/>
      <c r="BM993" s="10"/>
      <c r="BN993" s="10"/>
      <c r="BO993" s="10"/>
      <c r="BP993" s="10"/>
      <c r="BQ993" s="10"/>
      <c r="BR993" s="10"/>
      <c r="BS993" s="10"/>
      <c r="BT993" s="10"/>
      <c r="BU993" s="10"/>
      <c r="BV993" s="10"/>
      <c r="BW993" s="10"/>
      <c r="BX993" s="10"/>
      <c r="BY993" s="10"/>
      <c r="B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c r="BL994" s="10"/>
      <c r="BM994" s="10"/>
      <c r="BN994" s="10"/>
      <c r="BO994" s="10"/>
      <c r="BP994" s="10"/>
      <c r="BQ994" s="10"/>
      <c r="BR994" s="10"/>
      <c r="BS994" s="10"/>
      <c r="BT994" s="10"/>
      <c r="BU994" s="10"/>
      <c r="BV994" s="10"/>
      <c r="BW994" s="10"/>
      <c r="BX994" s="10"/>
      <c r="BY994" s="10"/>
      <c r="B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c r="BL995" s="10"/>
      <c r="BM995" s="10"/>
      <c r="BN995" s="10"/>
      <c r="BO995" s="10"/>
      <c r="BP995" s="10"/>
      <c r="BQ995" s="10"/>
      <c r="BR995" s="10"/>
      <c r="BS995" s="10"/>
      <c r="BT995" s="10"/>
      <c r="BU995" s="10"/>
      <c r="BV995" s="10"/>
      <c r="BW995" s="10"/>
      <c r="BX995" s="10"/>
      <c r="BY995" s="10"/>
      <c r="B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c r="BL996" s="10"/>
      <c r="BM996" s="10"/>
      <c r="BN996" s="10"/>
      <c r="BO996" s="10"/>
      <c r="BP996" s="10"/>
      <c r="BQ996" s="10"/>
      <c r="BR996" s="10"/>
      <c r="BS996" s="10"/>
      <c r="BT996" s="10"/>
      <c r="BU996" s="10"/>
      <c r="BV996" s="10"/>
      <c r="BW996" s="10"/>
      <c r="BX996" s="10"/>
      <c r="BY996" s="10"/>
      <c r="B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c r="BL997" s="10"/>
      <c r="BM997" s="10"/>
      <c r="BN997" s="10"/>
      <c r="BO997" s="10"/>
      <c r="BP997" s="10"/>
      <c r="BQ997" s="10"/>
      <c r="BR997" s="10"/>
      <c r="BS997" s="10"/>
      <c r="BT997" s="10"/>
      <c r="BU997" s="10"/>
      <c r="BV997" s="10"/>
      <c r="BW997" s="10"/>
      <c r="BX997" s="10"/>
      <c r="BY997" s="10"/>
      <c r="B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c r="BL998" s="10"/>
      <c r="BM998" s="10"/>
      <c r="BN998" s="10"/>
      <c r="BO998" s="10"/>
      <c r="BP998" s="10"/>
      <c r="BQ998" s="10"/>
      <c r="BR998" s="10"/>
      <c r="BS998" s="10"/>
      <c r="BT998" s="10"/>
      <c r="BU998" s="10"/>
      <c r="BV998" s="10"/>
      <c r="BW998" s="10"/>
      <c r="BX998" s="10"/>
      <c r="BY998" s="10"/>
      <c r="B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c r="BL999" s="10"/>
      <c r="BM999" s="10"/>
      <c r="BN999" s="10"/>
      <c r="BO999" s="10"/>
      <c r="BP999" s="10"/>
      <c r="BQ999" s="10"/>
      <c r="BR999" s="10"/>
      <c r="BS999" s="10"/>
      <c r="BT999" s="10"/>
      <c r="BU999" s="10"/>
      <c r="BV999" s="10"/>
      <c r="BW999" s="10"/>
      <c r="BX999" s="10"/>
      <c r="BY999" s="10"/>
      <c r="B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c r="BL1000" s="10"/>
      <c r="BM1000" s="10"/>
      <c r="BN1000" s="10"/>
      <c r="BO1000" s="10"/>
      <c r="BP1000" s="10"/>
      <c r="BQ1000" s="10"/>
      <c r="BR1000" s="10"/>
      <c r="BS1000" s="10"/>
      <c r="BT1000" s="10"/>
      <c r="BU1000" s="10"/>
      <c r="BV1000" s="10"/>
      <c r="BW1000" s="10"/>
      <c r="BX1000" s="10"/>
      <c r="BY1000" s="10"/>
      <c r="BZ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c r="BK1001" s="10"/>
      <c r="BL1001" s="10"/>
      <c r="BM1001" s="10"/>
      <c r="BN1001" s="10"/>
      <c r="BO1001" s="10"/>
      <c r="BP1001" s="10"/>
      <c r="BQ1001" s="10"/>
      <c r="BR1001" s="10"/>
      <c r="BS1001" s="10"/>
      <c r="BT1001" s="10"/>
      <c r="BU1001" s="10"/>
      <c r="BV1001" s="10"/>
      <c r="BW1001" s="10"/>
      <c r="BX1001" s="10"/>
      <c r="BY1001" s="10"/>
      <c r="BZ1001"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8" max="8" width="43.57"/>
    <col customWidth="1" min="19" max="19" width="61.14"/>
    <col customWidth="1" min="30" max="30" width="37.71"/>
    <col customWidth="1" min="36" max="36" width="80.14"/>
  </cols>
  <sheetData>
    <row r="1" ht="58.5" customHeight="1">
      <c r="A1" s="33" t="str">
        <f>IFERROR(__xludf.DUMMYFUNCTION("IMPORTRANGE(""https://docs.google.com/spreadsheets/d/17j-pgvBRwY78QIetPsCKIJlokCavkBGxzW23Rmmhde4/edit?ts=59441a2c#gid=2099907267"", ""Control Tracking!A1:A29"")"),"Subject #")</f>
        <v>Subject #</v>
      </c>
      <c r="B1" s="33" t="str">
        <f>IFERROR(__xludf.DUMMYFUNCTION("IMPORTRANGE(""https://docs.google.com/spreadsheets/d/17j-pgvBRwY78QIetPsCKIJlokCavkBGxzW23Rmmhde4/edit?ts=59441a2c#gid=2099907267"", ""Control Tracking!H1:AZ29"")"),"Date of birth")</f>
        <v>Date of birth</v>
      </c>
      <c r="C1" s="34" t="str">
        <f>IFERROR(__xludf.DUMMYFUNCTION("""COMPUTED_VALUE"""),"Age @ appt 1")</f>
        <v>Age @ appt 1</v>
      </c>
      <c r="D1" s="33" t="str">
        <f>IFERROR(__xludf.DUMMYFUNCTION("""COMPUTED_VALUE"""),"Sex")</f>
        <v>Sex</v>
      </c>
      <c r="E1" s="33" t="str">
        <f>IFERROR(__xludf.DUMMYFUNCTION("""COMPUTED_VALUE"""),"Phone screening date")</f>
        <v>Phone screening date</v>
      </c>
      <c r="F1" s="33" t="str">
        <f>IFERROR(__xludf.DUMMYFUNCTION("""COMPUTED_VALUE"""),"recruited by")</f>
        <v>recruited by</v>
      </c>
      <c r="G1" s="33" t="str">
        <f>IFERROR(__xludf.DUMMYFUNCTION("""COMPUTED_VALUE"""),"medications")</f>
        <v>medications</v>
      </c>
      <c r="H1" s="33" t="str">
        <f>IFERROR(__xludf.DUMMYFUNCTION("""COMPUTED_VALUE"""),"recruitment notes")</f>
        <v>recruitment notes</v>
      </c>
      <c r="I1" s="33" t="str">
        <f>IFERROR(__xludf.DUMMYFUNCTION("""COMPUTED_VALUE"""),"MEG appt date &amp; time")</f>
        <v>MEG appt date &amp; time</v>
      </c>
      <c r="J1" s="33" t="str">
        <f>IFERROR(__xludf.DUMMYFUNCTION("""COMPUTED_VALUE"""),"MEG appt staff")</f>
        <v>MEG appt staff</v>
      </c>
      <c r="K1" s="33" t="str">
        <f>IFERROR(__xludf.DUMMYFUNCTION("""COMPUTED_VALUE"""),"Edinburgh date")</f>
        <v>Edinburgh date</v>
      </c>
      <c r="L1" s="33" t="str">
        <f>IFERROR(__xludf.DUMMYFUNCTION("""COMPUTED_VALUE"""),"% Right Handed")</f>
        <v>% Right Handed</v>
      </c>
      <c r="M1" s="33" t="str">
        <f>IFERROR(__xludf.DUMMYFUNCTION("""COMPUTED_VALUE"""),"Hearing Screening Date")</f>
        <v>Hearing Screening Date</v>
      </c>
      <c r="N1" s="33" t="str">
        <f>IFERROR(__xludf.DUMMYFUNCTION("""COMPUTED_VALUE"""),"Hearing loss @ 20dB")</f>
        <v>Hearing loss @ 20dB</v>
      </c>
      <c r="O1" s="33" t="str">
        <f>IFERROR(__xludf.DUMMYFUNCTION("""COMPUTED_VALUE"""),"Demographic Questionnaire ID")</f>
        <v>Demographic Questionnaire ID</v>
      </c>
      <c r="P1" s="33" t="str">
        <f>IFERROR(__xludf.DUMMYFUNCTION("""COMPUTED_VALUE"""),"Ethnicity")</f>
        <v>Ethnicity</v>
      </c>
      <c r="Q1" s="33" t="str">
        <f>IFERROR(__xludf.DUMMYFUNCTION("""COMPUTED_VALUE"""),"Demographic Questionnaire Date")</f>
        <v>Demographic Questionnaire Date</v>
      </c>
      <c r="R1" s="33" t="str">
        <f>IFERROR(__xludf.DUMMYFUNCTION("""COMPUTED_VALUE"""),"MRI screening date")</f>
        <v>MRI screening date</v>
      </c>
      <c r="S1" s="33" t="str">
        <f>IFERROR(__xludf.DUMMYFUNCTION("""COMPUTED_VALUE"""),"Metal in body?")</f>
        <v>Metal in body?</v>
      </c>
      <c r="T1" s="33" t="str">
        <f>IFERROR(__xludf.DUMMYFUNCTION("""COMPUTED_VALUE"""),"MEG file name")</f>
        <v>MEG file name</v>
      </c>
      <c r="U1" s="33" t="str">
        <f>IFERROR(__xludf.DUMMYFUNCTION("""COMPUTED_VALUE"""),"Record Average")</f>
        <v>Record Average</v>
      </c>
      <c r="V1" s="33" t="str">
        <f>IFERROR(__xludf.DUMMYFUNCTION("""COMPUTED_VALUE"""),"RPA")</f>
        <v>RPA</v>
      </c>
      <c r="W1" s="33" t="str">
        <f>IFERROR(__xludf.DUMMYFUNCTION("""COMPUTED_VALUE"""),"LPA")</f>
        <v>LPA</v>
      </c>
      <c r="X1" s="33" t="str">
        <f>IFERROR(__xludf.DUMMYFUNCTION("""COMPUTED_VALUE"""),"# Averages")</f>
        <v># Averages</v>
      </c>
      <c r="Y1" s="33" t="str">
        <f>IFERROR(__xludf.DUMMYFUNCTION("""COMPUTED_VALUE"""),"Technician")</f>
        <v>Technician</v>
      </c>
      <c r="Z1" s="33" t="str">
        <f>IFERROR(__xludf.DUMMYFUNCTION("""COMPUTED_VALUE"""),"Researcher")</f>
        <v>Researcher</v>
      </c>
      <c r="AA1" s="33" t="str">
        <f>IFERROR(__xludf.DUMMYFUNCTION("""COMPUTED_VALUE"""),"cHPI Accept")</f>
        <v>cHPI Accept</v>
      </c>
      <c r="AB1" s="33" t="str">
        <f>IFERROR(__xludf.DUMMYFUNCTION("""COMPUTED_VALUE"""),"Channels")</f>
        <v>Channels</v>
      </c>
      <c r="AC1" s="33" t="str">
        <f>IFERROR(__xludf.DUMMYFUNCTION("""COMPUTED_VALUE"""),"EOG")</f>
        <v>EOG</v>
      </c>
      <c r="AD1" s="33" t="str">
        <f>IFERROR(__xludf.DUMMYFUNCTION("""COMPUTED_VALUE"""),"ECG")</f>
        <v>ECG</v>
      </c>
      <c r="AE1" s="33" t="str">
        <f>IFERROR(__xludf.DUMMYFUNCTION("""COMPUTED_VALUE"""),"MEG notes")</f>
        <v>MEG notes</v>
      </c>
      <c r="AF1" s="33" t="str">
        <f>IFERROR(__xludf.DUMMYFUNCTION("""COMPUTED_VALUE"""),"MRI appt date &amp; time")</f>
        <v>MRI appt date &amp; time</v>
      </c>
      <c r="AG1" s="33" t="str">
        <f>IFERROR(__xludf.DUMMYFUNCTION("""COMPUTED_VALUE"""),"MRI appt staff")</f>
        <v>MRI appt staff</v>
      </c>
      <c r="AH1" s="33" t="str">
        <f>IFERROR(__xludf.DUMMYFUNCTION("""COMPUTED_VALUE"""),"MRI operators")</f>
        <v>MRI operators</v>
      </c>
      <c r="AI1" s="33" t="str">
        <f>IFERROR(__xludf.DUMMYFUNCTION("""COMPUTED_VALUE"""),"MRI file name")</f>
        <v>MRI file name</v>
      </c>
      <c r="AJ1" s="33" t="str">
        <f>IFERROR(__xludf.DUMMYFUNCTION("""COMPUTED_VALUE"""),"Phantom file name")</f>
        <v>Phantom file name</v>
      </c>
      <c r="AK1" s="33" t="str">
        <f>IFERROR(__xludf.DUMMYFUNCTION("""COMPUTED_VALUE"""),"Phantom Date")</f>
        <v>Phantom Date</v>
      </c>
      <c r="AL1" s="33" t="str">
        <f>IFERROR(__xludf.DUMMYFUNCTION("""COMPUTED_VALUE"""),"Pre-Phantom temperature time")</f>
        <v>Pre-Phantom temperature time</v>
      </c>
      <c r="AM1" s="33" t="str">
        <f>IFERROR(__xludf.DUMMYFUNCTION("""COMPUTED_VALUE"""),"Pre-Phantom temperature")</f>
        <v>Pre-Phantom temperature</v>
      </c>
      <c r="AN1" s="33" t="str">
        <f>IFERROR(__xludf.DUMMYFUNCTION("""COMPUTED_VALUE"""),"Post-Phantom temperature time")</f>
        <v>Post-Phantom temperature time</v>
      </c>
      <c r="AO1" s="33" t="str">
        <f>IFERROR(__xludf.DUMMYFUNCTION("""COMPUTED_VALUE"""),"Post-Phantom temperature")</f>
        <v>Post-Phantom temperature</v>
      </c>
      <c r="AP1" s="33" t="str">
        <f>IFERROR(__xludf.DUMMYFUNCTION("""COMPUTED_VALUE"""),"MRI notes")</f>
        <v>MRI notes</v>
      </c>
      <c r="AQ1" s="33" t="str">
        <f>IFERROR(__xludf.DUMMYFUNCTION("""COMPUTED_VALUE"""),"Zip File Location on XNAT")</f>
        <v>Zip File Location on XNAT</v>
      </c>
      <c r="AR1" s="33" t="str">
        <f>IFERROR(__xludf.DUMMYFUNCTION("""COMPUTED_VALUE"""),"MEG date")</f>
        <v>MEG date</v>
      </c>
      <c r="AS1" s="33" t="str">
        <f>IFERROR(__xludf.DUMMYFUNCTION("""COMPUTED_VALUE"""),"MRI date")</f>
        <v>MRI date</v>
      </c>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row>
    <row r="2">
      <c r="A2" s="36" t="str">
        <f>IFERROR(__xludf.DUMMYFUNCTION("""COMPUTED_VALUE"""),"GABA_401")</f>
        <v>GABA_401</v>
      </c>
      <c r="B2" s="37">
        <f>IFERROR(__xludf.DUMMYFUNCTION("""COMPUTED_VALUE"""),35371.0)</f>
        <v>35371</v>
      </c>
      <c r="C2" s="38">
        <f>IFERROR(__xludf.DUMMYFUNCTION("""COMPUTED_VALUE"""),20.706849315068492)</f>
        <v>20.70684932</v>
      </c>
      <c r="D2" s="39" t="str">
        <f>IFERROR(__xludf.DUMMYFUNCTION("""COMPUTED_VALUE"""),"Female")</f>
        <v>Female</v>
      </c>
      <c r="E2" s="40">
        <f>IFERROR(__xludf.DUMMYFUNCTION("""COMPUTED_VALUE"""),42922.0)</f>
        <v>42922</v>
      </c>
      <c r="F2" s="39" t="str">
        <f>IFERROR(__xludf.DUMMYFUNCTION("""COMPUTED_VALUE"""),"Bo &amp; Julia")</f>
        <v>Bo &amp; Julia</v>
      </c>
      <c r="G2" s="39" t="str">
        <f>IFERROR(__xludf.DUMMYFUNCTION("""COMPUTED_VALUE"""),"none")</f>
        <v>none</v>
      </c>
      <c r="H2" s="39" t="str">
        <f>IFERROR(__xludf.DUMMYFUNCTION("""COMPUTED_VALUE"""),"current I-LABS summer intern. ")</f>
        <v>current I-LABS summer intern. </v>
      </c>
      <c r="I2" s="39" t="str">
        <f>IFERROR(__xludf.DUMMYFUNCTION("""COMPUTED_VALUE"""),"Thursday 7/13/17 @ 1pm")</f>
        <v>Thursday 7/13/17 @ 1pm</v>
      </c>
      <c r="J2" s="39" t="str">
        <f>IFERROR(__xludf.DUMMYFUNCTION("""COMPUTED_VALUE"""),"Julia")</f>
        <v>Julia</v>
      </c>
      <c r="K2" s="40">
        <f>IFERROR(__xludf.DUMMYFUNCTION("""COMPUTED_VALUE"""),42929.0)</f>
        <v>42929</v>
      </c>
      <c r="L2" s="41">
        <f>IFERROR(__xludf.DUMMYFUNCTION("""COMPUTED_VALUE"""),0.977)</f>
        <v>0.977</v>
      </c>
      <c r="M2" s="40">
        <f>IFERROR(__xludf.DUMMYFUNCTION("""COMPUTED_VALUE"""),42929.0)</f>
        <v>42929</v>
      </c>
      <c r="N2" s="39" t="str">
        <f>IFERROR(__xludf.DUMMYFUNCTION("""COMPUTED_VALUE"""),"no loss")</f>
        <v>no loss</v>
      </c>
      <c r="O2" s="39" t="str">
        <f>IFERROR(__xludf.DUMMYFUNCTION("""COMPUTED_VALUE"""),"F843BK (17046536 )")</f>
        <v>F843BK (17046536 )</v>
      </c>
      <c r="P2" s="39" t="str">
        <f>IFERROR(__xludf.DUMMYFUNCTION("""COMPUTED_VALUE"""),"White")</f>
        <v>White</v>
      </c>
      <c r="Q2" s="40">
        <f>IFERROR(__xludf.DUMMYFUNCTION("""COMPUTED_VALUE"""),42965.0)</f>
        <v>42965</v>
      </c>
      <c r="R2" s="40">
        <f>IFERROR(__xludf.DUMMYFUNCTION("""COMPUTED_VALUE"""),42929.0)</f>
        <v>42929</v>
      </c>
      <c r="S2" s="39" t="str">
        <f>IFERROR(__xludf.DUMMYFUNCTION("""COMPUTED_VALUE"""),"none")</f>
        <v>none</v>
      </c>
      <c r="T2" s="39" t="str">
        <f>IFERROR(__xludf.DUMMYFUNCTION("""COMPUTED_VALUE"""),"Sub-02_task_lexicaldecision_run-01_meg.fif")</f>
        <v>Sub-02_task_lexicaldecision_run-01_meg.fif</v>
      </c>
      <c r="U2" s="39" t="str">
        <f>IFERROR(__xludf.DUMMYFUNCTION("""COMPUTED_VALUE"""),"Yes")</f>
        <v>Yes</v>
      </c>
      <c r="V2" s="39" t="str">
        <f>IFERROR(__xludf.DUMMYFUNCTION("""COMPUTED_VALUE"""),"not documented")</f>
        <v>not documented</v>
      </c>
      <c r="W2" s="39" t="str">
        <f>IFERROR(__xludf.DUMMYFUNCTION("""COMPUTED_VALUE"""),"not documented")</f>
        <v>not documented</v>
      </c>
      <c r="X2" s="39">
        <f>IFERROR(__xludf.DUMMYFUNCTION("""COMPUTED_VALUE"""),240.0)</f>
        <v>240</v>
      </c>
      <c r="Y2" s="39" t="str">
        <f>IFERROR(__xludf.DUMMYFUNCTION("""COMPUTED_VALUE"""),"Myles")</f>
        <v>Myles</v>
      </c>
      <c r="Z2" s="39" t="str">
        <f>IFERROR(__xludf.DUMMYFUNCTION("""COMPUTED_VALUE"""),"Kam")</f>
        <v>Kam</v>
      </c>
      <c r="AA2" s="39" t="str">
        <f>IFERROR(__xludf.DUMMYFUNCTION("""COMPUTED_VALUE"""),"yes")</f>
        <v>yes</v>
      </c>
      <c r="AB2" s="39">
        <f>IFERROR(__xludf.DUMMYFUNCTION("""COMPUTED_VALUE"""),1743.0)</f>
        <v>1743</v>
      </c>
      <c r="AC2" s="39" t="str">
        <f>IFERROR(__xludf.DUMMYFUNCTION("""COMPUTED_VALUE"""),"61/62")</f>
        <v>61/62</v>
      </c>
      <c r="AD2" s="39">
        <f>IFERROR(__xludf.DUMMYFUNCTION("""COMPUTED_VALUE"""),63.0)</f>
        <v>63</v>
      </c>
      <c r="AE2" s="39" t="str">
        <f>IFERROR(__xludf.DUMMYFUNCTION("""COMPUTED_VALUE"""),"file name: BIDs FN format; RT ERF response looked excellent")</f>
        <v>file name: BIDs FN format; RT ERF response looked excellent</v>
      </c>
      <c r="AF2" s="39" t="str">
        <f>IFERROR(__xludf.DUMMYFUNCTION("""COMPUTED_VALUE"""),"Tuesday 7/25/17 @ 10am")</f>
        <v>Tuesday 7/25/17 @ 10am</v>
      </c>
      <c r="AG2" s="39" t="str">
        <f>IFERROR(__xludf.DUMMYFUNCTION("""COMPUTED_VALUE"""),"Bo &amp; Julia")</f>
        <v>Bo &amp; Julia</v>
      </c>
      <c r="AH2" s="39" t="str">
        <f>IFERROR(__xludf.DUMMYFUNCTION("""COMPUTED_VALUE"""),"Jeff &amp; Kam")</f>
        <v>Jeff &amp; Kam</v>
      </c>
      <c r="AI2" s="39" t="str">
        <f>IFERROR(__xludf.DUMMYFUNCTION("""COMPUTED_VALUE"""),"sub-nbwr401
NBWR401, NBWR998")</f>
        <v>sub-nbwr401
NBWR401, NBWR998</v>
      </c>
      <c r="AJ2" s="39" t="str">
        <f>IFERROR(__xludf.DUMMYFUNCTION("""COMPUTED_VALUE"""),"sub_nbwr317_phantom")</f>
        <v>sub_nbwr317_phantom</v>
      </c>
      <c r="AK2" s="39" t="str">
        <f>IFERROR(__xludf.DUMMYFUNCTION("""COMPUTED_VALUE"""),"7/25/17 @ 4:03 pm")</f>
        <v>7/25/17 @ 4:03 pm</v>
      </c>
      <c r="AL2" s="42">
        <f>IFERROR(__xludf.DUMMYFUNCTION("""COMPUTED_VALUE"""),0.6666666666666666)</f>
        <v>0.6666666667</v>
      </c>
      <c r="AM2" s="39">
        <f>IFERROR(__xludf.DUMMYFUNCTION("""COMPUTED_VALUE"""),23.9)</f>
        <v>23.9</v>
      </c>
      <c r="AN2" s="42">
        <f>IFERROR(__xludf.DUMMYFUNCTION("""COMPUTED_VALUE"""),0.6944444444444444)</f>
        <v>0.6944444444</v>
      </c>
      <c r="AO2" s="39">
        <f>IFERROR(__xludf.DUMMYFUNCTION("""COMPUTED_VALUE"""),25.0)</f>
        <v>25</v>
      </c>
      <c r="AP2" s="39" t="str">
        <f>IFERROR(__xludf.DUMMYFUNCTION("""COMPUTED_VALUE"""),"FWMAX LEFT 16Hz RIGHT 14Hz. Also was pilot subject NBWR998 w/ an MRI")</f>
        <v>FWMAX LEFT 16Hz RIGHT 14Hz. Also was pilot subject NBWR998 w/ an MRI</v>
      </c>
      <c r="AQ2" s="39" t="str">
        <f>IFERROR(__xludf.DUMMYFUNCTION("""COMPUTED_VALUE"""),"NBWR401")</f>
        <v>NBWR401</v>
      </c>
      <c r="AR2" s="37">
        <f>IFERROR(__xludf.DUMMYFUNCTION("""COMPUTED_VALUE"""),42929.0)</f>
        <v>42929</v>
      </c>
      <c r="AS2" s="40">
        <f>IFERROR(__xludf.DUMMYFUNCTION("""COMPUTED_VALUE"""),42941.0)</f>
        <v>42941</v>
      </c>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row>
    <row r="3">
      <c r="A3" s="44" t="str">
        <f>IFERROR(__xludf.DUMMYFUNCTION("""COMPUTED_VALUE"""),"GABA_404")</f>
        <v>GABA_404</v>
      </c>
      <c r="B3" s="45">
        <f>IFERROR(__xludf.DUMMYFUNCTION("""COMPUTED_VALUE"""),35275.0)</f>
        <v>35275</v>
      </c>
      <c r="C3" s="46">
        <f>IFERROR(__xludf.DUMMYFUNCTION("""COMPUTED_VALUE"""),20.98904109589041)</f>
        <v>20.9890411</v>
      </c>
      <c r="D3" s="47" t="str">
        <f>IFERROR(__xludf.DUMMYFUNCTION("""COMPUTED_VALUE"""),"Male")</f>
        <v>Male</v>
      </c>
      <c r="E3" s="48">
        <f>IFERROR(__xludf.DUMMYFUNCTION("""COMPUTED_VALUE"""),42934.0)</f>
        <v>42934</v>
      </c>
      <c r="F3" s="47" t="str">
        <f>IFERROR(__xludf.DUMMYFUNCTION("""COMPUTED_VALUE"""),"Julia")</f>
        <v>Julia</v>
      </c>
      <c r="G3" s="47" t="str">
        <f>IFERROR(__xludf.DUMMYFUNCTION("""COMPUTED_VALUE"""),"none")</f>
        <v>none</v>
      </c>
      <c r="H3" s="47" t="str">
        <f>IFERROR(__xludf.DUMMYFUNCTION("""COMPUTED_VALUE"""),"current I-LABS summer intern (Jason's lab)")</f>
        <v>current I-LABS summer intern (Jason's lab)</v>
      </c>
      <c r="I3" s="47" t="str">
        <f>IFERROR(__xludf.DUMMYFUNCTION("""COMPUTED_VALUE"""),"Thursday 7/20/17 @ 3pm")</f>
        <v>Thursday 7/20/17 @ 3pm</v>
      </c>
      <c r="J3" s="47" t="str">
        <f>IFERROR(__xludf.DUMMYFUNCTION("""COMPUTED_VALUE"""),"Bo")</f>
        <v>Bo</v>
      </c>
      <c r="K3" s="48">
        <f>IFERROR(__xludf.DUMMYFUNCTION("""COMPUTED_VALUE"""),42936.0)</f>
        <v>42936</v>
      </c>
      <c r="L3" s="49">
        <f>IFERROR(__xludf.DUMMYFUNCTION("""COMPUTED_VALUE"""),0.864)</f>
        <v>0.864</v>
      </c>
      <c r="M3" s="48">
        <f>IFERROR(__xludf.DUMMYFUNCTION("""COMPUTED_VALUE"""),42936.0)</f>
        <v>42936</v>
      </c>
      <c r="N3" s="47" t="str">
        <f>IFERROR(__xludf.DUMMYFUNCTION("""COMPUTED_VALUE"""),"no loss")</f>
        <v>no loss</v>
      </c>
      <c r="O3" s="47" t="str">
        <f>IFERROR(__xludf.DUMMYFUNCTION("""COMPUTED_VALUE"""),"G367PT (17045362)")</f>
        <v>G367PT (17045362)</v>
      </c>
      <c r="P3" s="47" t="str">
        <f>IFERROR(__xludf.DUMMYFUNCTION("""COMPUTED_VALUE"""),"White")</f>
        <v>White</v>
      </c>
      <c r="Q3" s="48">
        <f>IFERROR(__xludf.DUMMYFUNCTION("""COMPUTED_VALUE"""),42964.0)</f>
        <v>42964</v>
      </c>
      <c r="R3" s="48">
        <f>IFERROR(__xludf.DUMMYFUNCTION("""COMPUTED_VALUE"""),42936.0)</f>
        <v>42936</v>
      </c>
      <c r="S3" s="47" t="str">
        <f>IFERROR(__xludf.DUMMYFUNCTION("""COMPUTED_VALUE"""),"none")</f>
        <v>none</v>
      </c>
      <c r="T3" s="47" t="str">
        <f>IFERROR(__xludf.DUMMYFUNCTION("""COMPUTED_VALUE"""),"sub_gaba404_lexicaldecision_01_raw")</f>
        <v>sub_gaba404_lexicaldecision_01_raw</v>
      </c>
      <c r="U3" s="47" t="str">
        <f>IFERROR(__xludf.DUMMYFUNCTION("""COMPUTED_VALUE"""),"Yes")</f>
        <v>Yes</v>
      </c>
      <c r="V3" s="47">
        <f>IFERROR(__xludf.DUMMYFUNCTION("""COMPUTED_VALUE"""),74.6)</f>
        <v>74.6</v>
      </c>
      <c r="W3" s="47">
        <f>IFERROR(__xludf.DUMMYFUNCTION("""COMPUTED_VALUE"""),-74.3)</f>
        <v>-74.3</v>
      </c>
      <c r="X3" s="47" t="str">
        <f>IFERROR(__xludf.DUMMYFUNCTION("""COMPUTED_VALUE"""),"not documented")</f>
        <v>not documented</v>
      </c>
      <c r="Y3" s="47" t="str">
        <f>IFERROR(__xludf.DUMMYFUNCTION("""COMPUTED_VALUE"""),"Maggie")</f>
        <v>Maggie</v>
      </c>
      <c r="Z3" s="47" t="str">
        <f>IFERROR(__xludf.DUMMYFUNCTION("""COMPUTED_VALUE"""),"Kam")</f>
        <v>Kam</v>
      </c>
      <c r="AA3" s="47" t="str">
        <f>IFERROR(__xludf.DUMMYFUNCTION("""COMPUTED_VALUE"""),"unknown")</f>
        <v>unknown</v>
      </c>
      <c r="AB3" s="47" t="str">
        <f>IFERROR(__xludf.DUMMYFUNCTION("""COMPUTED_VALUE"""),"N/A")</f>
        <v>N/A</v>
      </c>
      <c r="AC3" s="47" t="str">
        <f>IFERROR(__xludf.DUMMYFUNCTION("""COMPUTED_VALUE"""),"61/62")</f>
        <v>61/62</v>
      </c>
      <c r="AD3" s="47">
        <f>IFERROR(__xludf.DUMMYFUNCTION("""COMPUTED_VALUE"""),63.0)</f>
        <v>63</v>
      </c>
      <c r="AE3" s="47" t="str">
        <f>IFERROR(__xludf.DUMMYFUNCTION("""COMPUTED_VALUE"""),"triggers+buttons seen on Acq. Good online avgs. EOG+ECG=good signal")</f>
        <v>triggers+buttons seen on Acq. Good online avgs. EOG+ECG=good signal</v>
      </c>
      <c r="AF3" s="47" t="str">
        <f>IFERROR(__xludf.DUMMYFUNCTION("""COMPUTED_VALUE"""),"Thursday 7/27/17 @ 2:30pm")</f>
        <v>Thursday 7/27/17 @ 2:30pm</v>
      </c>
      <c r="AG3" s="47" t="str">
        <f>IFERROR(__xludf.DUMMYFUNCTION("""COMPUTED_VALUE"""),"Bo")</f>
        <v>Bo</v>
      </c>
      <c r="AH3" s="47" t="str">
        <f>IFERROR(__xludf.DUMMYFUNCTION("""COMPUTED_VALUE"""),"Jeff, Todd")</f>
        <v>Jeff, Todd</v>
      </c>
      <c r="AI3" s="47" t="str">
        <f>IFERROR(__xludf.DUMMYFUNCTION("""COMPUTED_VALUE"""),"sub-nbwr404c")</f>
        <v>sub-nbwr404c</v>
      </c>
      <c r="AJ3" s="47" t="str">
        <f>IFERROR(__xludf.DUMMYFUNCTION("""COMPUTED_VALUE"""),"sub-nbwr404_phantom")</f>
        <v>sub-nbwr404_phantom</v>
      </c>
      <c r="AK3" s="47" t="str">
        <f>IFERROR(__xludf.DUMMYFUNCTION("""COMPUTED_VALUE"""),"7/27/17 @ 1:10 pm")</f>
        <v>7/27/17 @ 1:10 pm</v>
      </c>
      <c r="AL3" s="47" t="str">
        <f>IFERROR(__xludf.DUMMYFUNCTION("""COMPUTED_VALUE"""),"N/A")</f>
        <v>N/A</v>
      </c>
      <c r="AM3" s="39" t="str">
        <f>IFERROR(__xludf.DUMMYFUNCTION("""COMPUTED_VALUE"""),"N/A")</f>
        <v>N/A</v>
      </c>
      <c r="AN3" s="39" t="str">
        <f>IFERROR(__xludf.DUMMYFUNCTION("""COMPUTED_VALUE"""),"N/A")</f>
        <v>N/A</v>
      </c>
      <c r="AO3" s="39" t="str">
        <f>IFERROR(__xludf.DUMMYFUNCTION("""COMPUTED_VALUE"""),"N/A")</f>
        <v>N/A</v>
      </c>
      <c r="AP3" s="39" t="str">
        <f>IFERROR(__xludf.DUMMYFUNCTION("""COMPUTED_VALUE"""),"Left side FWHM 17 Hz. Right side FWHM 17 Hz")</f>
        <v>Left side FWHM 17 Hz. Right side FWHM 17 Hz</v>
      </c>
      <c r="AQ3" s="39" t="str">
        <f>IFERROR(__xludf.DUMMYFUNCTION("""COMPUTED_VALUE"""),"sub-nbwr404c")</f>
        <v>sub-nbwr404c</v>
      </c>
      <c r="AR3" s="37">
        <f>IFERROR(__xludf.DUMMYFUNCTION("""COMPUTED_VALUE"""),42936.0)</f>
        <v>42936</v>
      </c>
      <c r="AS3" s="37">
        <f>IFERROR(__xludf.DUMMYFUNCTION("""COMPUTED_VALUE"""),42943.0)</f>
        <v>42943</v>
      </c>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row>
    <row r="4">
      <c r="A4" s="50" t="str">
        <f>IFERROR(__xludf.DUMMYFUNCTION("""COMPUTED_VALUE"""),"GABA_409")</f>
        <v>GABA_409</v>
      </c>
      <c r="B4" s="37">
        <f>IFERROR(__xludf.DUMMYFUNCTION("""COMPUTED_VALUE"""),35619.0)</f>
        <v>35619</v>
      </c>
      <c r="C4" s="38">
        <f>IFERROR(__xludf.DUMMYFUNCTION("""COMPUTED_VALUE"""),20.087671232876712)</f>
        <v>20.08767123</v>
      </c>
      <c r="D4" s="39" t="str">
        <f>IFERROR(__xludf.DUMMYFUNCTION("""COMPUTED_VALUE"""),"Female")</f>
        <v>Female</v>
      </c>
      <c r="E4" s="40">
        <f>IFERROR(__xludf.DUMMYFUNCTION("""COMPUTED_VALUE"""),42947.0)</f>
        <v>42947</v>
      </c>
      <c r="F4" s="39" t="str">
        <f>IFERROR(__xludf.DUMMYFUNCTION("""COMPUTED_VALUE"""),"Bo &amp; Julia")</f>
        <v>Bo &amp; Julia</v>
      </c>
      <c r="G4" s="39" t="str">
        <f>IFERROR(__xludf.DUMMYFUNCTION("""COMPUTED_VALUE"""),"BC")</f>
        <v>BC</v>
      </c>
      <c r="H4" s="39" t="str">
        <f>IFERROR(__xludf.DUMMYFUNCTION("""COMPUTED_VALUE"""),"I-LABS summer intern")</f>
        <v>I-LABS summer intern</v>
      </c>
      <c r="I4" s="39" t="str">
        <f>IFERROR(__xludf.DUMMYFUNCTION("""COMPUTED_VALUE"""),"Friday 8/4/17 @ 1:15pm")</f>
        <v>Friday 8/4/17 @ 1:15pm</v>
      </c>
      <c r="J4" s="39" t="str">
        <f>IFERROR(__xludf.DUMMYFUNCTION("""COMPUTED_VALUE"""),"Julia and Bo")</f>
        <v>Julia and Bo</v>
      </c>
      <c r="K4" s="40">
        <f>IFERROR(__xludf.DUMMYFUNCTION("""COMPUTED_VALUE"""),42951.0)</f>
        <v>42951</v>
      </c>
      <c r="L4" s="51">
        <f>IFERROR(__xludf.DUMMYFUNCTION("""COMPUTED_VALUE"""),0.909)</f>
        <v>0.909</v>
      </c>
      <c r="M4" s="40">
        <f>IFERROR(__xludf.DUMMYFUNCTION("""COMPUTED_VALUE"""),42954.0)</f>
        <v>42954</v>
      </c>
      <c r="N4" s="39" t="str">
        <f>IFERROR(__xludf.DUMMYFUNCTION("""COMPUTED_VALUE"""),"Right: 6kHz (with retest)")</f>
        <v>Right: 6kHz (with retest)</v>
      </c>
      <c r="O4" s="39" t="str">
        <f>IFERROR(__xludf.DUMMYFUNCTION("""COMPUTED_VALUE"""),"n/a")</f>
        <v>n/a</v>
      </c>
      <c r="P4" s="39" t="str">
        <f>IFERROR(__xludf.DUMMYFUNCTION("""COMPUTED_VALUE"""),"White")</f>
        <v>White</v>
      </c>
      <c r="Q4" s="40">
        <f>IFERROR(__xludf.DUMMYFUNCTION("""COMPUTED_VALUE"""),42975.0)</f>
        <v>42975</v>
      </c>
      <c r="R4" s="40">
        <f>IFERROR(__xludf.DUMMYFUNCTION("""COMPUTED_VALUE"""),42951.0)</f>
        <v>42951</v>
      </c>
      <c r="S4" s="39" t="str">
        <f>IFERROR(__xludf.DUMMYFUNCTION("""COMPUTED_VALUE"""),"none")</f>
        <v>none</v>
      </c>
      <c r="T4" s="39" t="str">
        <f>IFERROR(__xludf.DUMMYFUNCTION("""COMPUTED_VALUE"""),"sub_gaba409_lexicaldecision_01_raw.fif")</f>
        <v>sub_gaba409_lexicaldecision_01_raw.fif</v>
      </c>
      <c r="U4" s="39" t="str">
        <f>IFERROR(__xludf.DUMMYFUNCTION("""COMPUTED_VALUE"""),"not known")</f>
        <v>not known</v>
      </c>
      <c r="V4" s="39">
        <f>IFERROR(__xludf.DUMMYFUNCTION("""COMPUTED_VALUE"""),69.5)</f>
        <v>69.5</v>
      </c>
      <c r="W4" s="39">
        <f>IFERROR(__xludf.DUMMYFUNCTION("""COMPUTED_VALUE"""),-62.0)</f>
        <v>-62</v>
      </c>
      <c r="X4" s="39">
        <f>IFERROR(__xludf.DUMMYFUNCTION("""COMPUTED_VALUE"""),240.0)</f>
        <v>240</v>
      </c>
      <c r="Y4" s="39" t="str">
        <f>IFERROR(__xludf.DUMMYFUNCTION("""COMPUTED_VALUE"""),"Myles")</f>
        <v>Myles</v>
      </c>
      <c r="Z4" s="39" t="str">
        <f>IFERROR(__xludf.DUMMYFUNCTION("""COMPUTED_VALUE"""),"Kam")</f>
        <v>Kam</v>
      </c>
      <c r="AA4" s="39" t="str">
        <f>IFERROR(__xludf.DUMMYFUNCTION("""COMPUTED_VALUE"""),"yes")</f>
        <v>yes</v>
      </c>
      <c r="AB4" s="39" t="str">
        <f>IFERROR(__xludf.DUMMYFUNCTION("""COMPUTED_VALUE"""),"1743, 2122")</f>
        <v>1743, 2122</v>
      </c>
      <c r="AC4" s="39" t="str">
        <f>IFERROR(__xludf.DUMMYFUNCTION("""COMPUTED_VALUE"""),"61/62")</f>
        <v>61/62</v>
      </c>
      <c r="AD4" s="39">
        <f>IFERROR(__xludf.DUMMYFUNCTION("""COMPUTED_VALUE"""),63.0)</f>
        <v>63</v>
      </c>
      <c r="AE4" s="39"/>
      <c r="AF4" s="39" t="str">
        <f>IFERROR(__xludf.DUMMYFUNCTION("""COMPUTED_VALUE"""),"Wednesday 8/30/17 @ 10:30am")</f>
        <v>Wednesday 8/30/17 @ 10:30am</v>
      </c>
      <c r="AG4" s="39" t="str">
        <f>IFERROR(__xludf.DUMMYFUNCTION("""COMPUTED_VALUE"""),"Bo")</f>
        <v>Bo</v>
      </c>
      <c r="AH4" s="39" t="str">
        <f>IFERROR(__xludf.DUMMYFUNCTION("""COMPUTED_VALUE"""),"Jeff, Todd, Serena")</f>
        <v>Jeff, Todd, Serena</v>
      </c>
      <c r="AI4" s="39" t="str">
        <f>IFERROR(__xludf.DUMMYFUNCTION("""COMPUTED_VALUE"""),"sub_nbwr409")</f>
        <v>sub_nbwr409</v>
      </c>
      <c r="AJ4" s="39" t="str">
        <f>IFERROR(__xludf.DUMMYFUNCTION("""COMPUTED_VALUE"""),"sub_nbwr409_phantom")</f>
        <v>sub_nbwr409_phantom</v>
      </c>
      <c r="AK4" s="39" t="str">
        <f>IFERROR(__xludf.DUMMYFUNCTION("""COMPUTED_VALUE"""),"8/30/17 @ 9:45-10:15 am")</f>
        <v>8/30/17 @ 9:45-10:15 am</v>
      </c>
      <c r="AL4" s="42">
        <f>IFERROR(__xludf.DUMMYFUNCTION("""COMPUTED_VALUE"""),0.40625)</f>
        <v>0.40625</v>
      </c>
      <c r="AM4" s="39">
        <f>IFERROR(__xludf.DUMMYFUNCTION("""COMPUTED_VALUE"""),24.8)</f>
        <v>24.8</v>
      </c>
      <c r="AN4" s="42">
        <f>IFERROR(__xludf.DUMMYFUNCTION("""COMPUTED_VALUE"""),0.4270833333333333)</f>
        <v>0.4270833333</v>
      </c>
      <c r="AO4" s="39">
        <f>IFERROR(__xludf.DUMMYFUNCTION("""COMPUTED_VALUE"""),23.3)</f>
        <v>23.3</v>
      </c>
      <c r="AP4" s="39" t="str">
        <f>IFERROR(__xludf.DUMMYFUNCTION("""COMPUTED_VALUE"""),"adjusted LT VDI on spec, 1 spin 20Hg FWHM, move up and FWHM=17")</f>
        <v>adjusted LT VDI on spec, 1 spin 20Hg FWHM, move up and FWHM=17</v>
      </c>
      <c r="AQ4" s="39" t="str">
        <f>IFERROR(__xludf.DUMMYFUNCTION("""COMPUTED_VALUE"""),"sib-nbwr409")</f>
        <v>sib-nbwr409</v>
      </c>
      <c r="AR4" s="37">
        <f>IFERROR(__xludf.DUMMYFUNCTION("""COMPUTED_VALUE"""),42951.0)</f>
        <v>42951</v>
      </c>
      <c r="AS4" s="40">
        <f>IFERROR(__xludf.DUMMYFUNCTION("""COMPUTED_VALUE"""),42977.0)</f>
        <v>42977</v>
      </c>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row>
    <row r="5">
      <c r="A5" s="50" t="str">
        <f>IFERROR(__xludf.DUMMYFUNCTION("""COMPUTED_VALUE"""),"GABA_407")</f>
        <v>GABA_407</v>
      </c>
      <c r="B5" s="40">
        <f>IFERROR(__xludf.DUMMYFUNCTION("""COMPUTED_VALUE"""),35302.0)</f>
        <v>35302</v>
      </c>
      <c r="C5" s="38">
        <f>IFERROR(__xludf.DUMMYFUNCTION("""COMPUTED_VALUE"""),20.972602739726028)</f>
        <v>20.97260274</v>
      </c>
      <c r="D5" s="39" t="str">
        <f>IFERROR(__xludf.DUMMYFUNCTION("""COMPUTED_VALUE"""),"Male")</f>
        <v>Male</v>
      </c>
      <c r="E5" s="40">
        <f>IFERROR(__xludf.DUMMYFUNCTION("""COMPUTED_VALUE"""),42942.0)</f>
        <v>42942</v>
      </c>
      <c r="F5" s="39" t="str">
        <f>IFERROR(__xludf.DUMMYFUNCTION("""COMPUTED_VALUE"""),"Bo &amp; Julia")</f>
        <v>Bo &amp; Julia</v>
      </c>
      <c r="G5" s="39" t="str">
        <f>IFERROR(__xludf.DUMMYFUNCTION("""COMPUTED_VALUE"""),"none")</f>
        <v>none</v>
      </c>
      <c r="H5" s="39" t="str">
        <f>IFERROR(__xludf.DUMMYFUNCTION("""COMPUTED_VALUE"""),"Adi's friend")</f>
        <v>Adi's friend</v>
      </c>
      <c r="I5" s="39" t="str">
        <f>IFERROR(__xludf.DUMMYFUNCTION("""COMPUTED_VALUE"""),"Thursday 8/10/17 @ 10am")</f>
        <v>Thursday 8/10/17 @ 10am</v>
      </c>
      <c r="J5" s="39" t="str">
        <f>IFERROR(__xludf.DUMMYFUNCTION("""COMPUTED_VALUE"""),"Julia and Bo")</f>
        <v>Julia and Bo</v>
      </c>
      <c r="K5" s="40">
        <f>IFERROR(__xludf.DUMMYFUNCTION("""COMPUTED_VALUE"""),42957.0)</f>
        <v>42957</v>
      </c>
      <c r="L5" s="52">
        <f>IFERROR(__xludf.DUMMYFUNCTION("""COMPUTED_VALUE"""),1.0)</f>
        <v>1</v>
      </c>
      <c r="M5" s="40">
        <f>IFERROR(__xludf.DUMMYFUNCTION("""COMPUTED_VALUE"""),42957.0)</f>
        <v>42957</v>
      </c>
      <c r="N5" s="39" t="str">
        <f>IFERROR(__xludf.DUMMYFUNCTION("""COMPUTED_VALUE"""),"no loss")</f>
        <v>no loss</v>
      </c>
      <c r="O5" s="39" t="str">
        <f>IFERROR(__xludf.DUMMYFUNCTION("""COMPUTED_VALUE"""),"H285MB (17045085 )")</f>
        <v>H285MB (17045085 )</v>
      </c>
      <c r="P5" s="39" t="str">
        <f>IFERROR(__xludf.DUMMYFUNCTION("""COMPUTED_VALUE"""),"Asian/Pacific Islander")</f>
        <v>Asian/Pacific Islander</v>
      </c>
      <c r="Q5" s="40">
        <f>IFERROR(__xludf.DUMMYFUNCTION("""COMPUTED_VALUE"""),42964.0)</f>
        <v>42964</v>
      </c>
      <c r="R5" s="40">
        <f>IFERROR(__xludf.DUMMYFUNCTION("""COMPUTED_VALUE"""),42957.0)</f>
        <v>42957</v>
      </c>
      <c r="S5" s="39" t="str">
        <f>IFERROR(__xludf.DUMMYFUNCTION("""COMPUTED_VALUE"""),"none")</f>
        <v>none</v>
      </c>
      <c r="T5" s="39" t="str">
        <f>IFERROR(__xludf.DUMMYFUNCTION("""COMPUTED_VALUE"""),"sub_Nbwr407_ses001_lexicaldecision_run-01_meg")</f>
        <v>sub_Nbwr407_ses001_lexicaldecision_run-01_meg</v>
      </c>
      <c r="U5" s="39" t="str">
        <f>IFERROR(__xludf.DUMMYFUNCTION("""COMPUTED_VALUE"""),"yes")</f>
        <v>yes</v>
      </c>
      <c r="V5" s="39">
        <f>IFERROR(__xludf.DUMMYFUNCTION("""COMPUTED_VALUE"""),76.9)</f>
        <v>76.9</v>
      </c>
      <c r="W5" s="39">
        <f>IFERROR(__xludf.DUMMYFUNCTION("""COMPUTED_VALUE"""),-71.8)</f>
        <v>-71.8</v>
      </c>
      <c r="X5" s="39">
        <f>IFERROR(__xludf.DUMMYFUNCTION("""COMPUTED_VALUE"""),240.0)</f>
        <v>240</v>
      </c>
      <c r="Y5" s="39" t="str">
        <f>IFERROR(__xludf.DUMMYFUNCTION("""COMPUTED_VALUE"""),"Maggie")</f>
        <v>Maggie</v>
      </c>
      <c r="Z5" s="39" t="str">
        <f>IFERROR(__xludf.DUMMYFUNCTION("""COMPUTED_VALUE"""),"Kam out")</f>
        <v>Kam out</v>
      </c>
      <c r="AA5" s="39" t="str">
        <f>IFERROR(__xludf.DUMMYFUNCTION("""COMPUTED_VALUE"""),"yes")</f>
        <v>yes</v>
      </c>
      <c r="AB5" s="39" t="str">
        <f>IFERROR(__xludf.DUMMYFUNCTION("""COMPUTED_VALUE"""),"1811, 1743 (flat)")</f>
        <v>1811, 1743 (flat)</v>
      </c>
      <c r="AC5" s="39" t="str">
        <f>IFERROR(__xludf.DUMMYFUNCTION("""COMPUTED_VALUE"""),"61/62")</f>
        <v>61/62</v>
      </c>
      <c r="AD5" s="39">
        <f>IFERROR(__xludf.DUMMYFUNCTION("""COMPUTED_VALUE"""),63.0)</f>
        <v>63</v>
      </c>
      <c r="AE5" s="39" t="str">
        <f>IFERROR(__xludf.DUMMYFUNCTION("""COMPUTED_VALUE"""),"EOG+ECG=good signal, triggers +buttons on Acq checked, great avg responses")</f>
        <v>EOG+ECG=good signal, triggers +buttons on Acq checked, great avg responses</v>
      </c>
      <c r="AF5" s="39" t="str">
        <f>IFERROR(__xludf.DUMMYFUNCTION("""COMPUTED_VALUE"""),"Tuesday 8/15/17 @ 12pm")</f>
        <v>Tuesday 8/15/17 @ 12pm</v>
      </c>
      <c r="AG5" s="39" t="str">
        <f>IFERROR(__xludf.DUMMYFUNCTION("""COMPUTED_VALUE"""),"Bo")</f>
        <v>Bo</v>
      </c>
      <c r="AH5" s="39" t="str">
        <f>IFERROR(__xludf.DUMMYFUNCTION("""COMPUTED_VALUE"""),"Jeff, Todd")</f>
        <v>Jeff, Todd</v>
      </c>
      <c r="AI5" s="39" t="str">
        <f>IFERROR(__xludf.DUMMYFUNCTION("""COMPUTED_VALUE"""),"sub-nbwr407")</f>
        <v>sub-nbwr407</v>
      </c>
      <c r="AJ5" s="39" t="str">
        <f>IFERROR(__xludf.DUMMYFUNCTION("""COMPUTED_VALUE"""),"sub-nbwr407_phantom")</f>
        <v>sub-nbwr407_phantom</v>
      </c>
      <c r="AK5" s="39" t="str">
        <f>IFERROR(__xludf.DUMMYFUNCTION("""COMPUTED_VALUE"""),"8/14/17 @ 1:45 pm")</f>
        <v>8/14/17 @ 1:45 pm</v>
      </c>
      <c r="AL5" s="42">
        <f>IFERROR(__xludf.DUMMYFUNCTION("""COMPUTED_VALUE"""),0.5805555555555556)</f>
        <v>0.5805555556</v>
      </c>
      <c r="AM5" s="39">
        <f>IFERROR(__xludf.DUMMYFUNCTION("""COMPUTED_VALUE"""),27.3)</f>
        <v>27.3</v>
      </c>
      <c r="AN5" s="42">
        <f>IFERROR(__xludf.DUMMYFUNCTION("""COMPUTED_VALUE"""),0.6041666666666666)</f>
        <v>0.6041666667</v>
      </c>
      <c r="AO5" s="39">
        <f>IFERROR(__xludf.DUMMYFUNCTION("""COMPUTED_VALUE"""),23.1)</f>
        <v>23.1</v>
      </c>
      <c r="AP5" s="39" t="str">
        <f>IFERROR(__xludf.DUMMYFUNCTION("""COMPUTED_VALUE"""),"we pushed appointment back 45 min because Todd has BS tour @ 10am, Left FWHM13, Right FWHM 15.5 (GABA MRS), Headphones uncomfortable, restarted qJ, after removing headphones")</f>
        <v>we pushed appointment back 45 min because Todd has BS tour @ 10am, Left FWHM13, Right FWHM 15.5 (GABA MRS), Headphones uncomfortable, restarted qJ, after removing headphones</v>
      </c>
      <c r="AQ5" s="39" t="str">
        <f>IFERROR(__xludf.DUMMYFUNCTION("""COMPUTED_VALUE"""),"sub-nbwr407")</f>
        <v>sub-nbwr407</v>
      </c>
      <c r="AR5" s="37">
        <f>IFERROR(__xludf.DUMMYFUNCTION("""COMPUTED_VALUE"""),42957.0)</f>
        <v>42957</v>
      </c>
      <c r="AS5" s="40">
        <f>IFERROR(__xludf.DUMMYFUNCTION("""COMPUTED_VALUE"""),42962.0)</f>
        <v>42962</v>
      </c>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row>
    <row r="6">
      <c r="A6" s="50" t="str">
        <f>IFERROR(__xludf.DUMMYFUNCTION("""COMPUTED_VALUE"""),"GABA_405")</f>
        <v>GABA_405</v>
      </c>
      <c r="B6" s="40">
        <f>IFERROR(__xludf.DUMMYFUNCTION("""COMPUTED_VALUE"""),35628.0)</f>
        <v>35628</v>
      </c>
      <c r="C6" s="38">
        <f>IFERROR(__xludf.DUMMYFUNCTION("""COMPUTED_VALUE"""),20.08219178082192)</f>
        <v>20.08219178</v>
      </c>
      <c r="D6" s="39" t="str">
        <f>IFERROR(__xludf.DUMMYFUNCTION("""COMPUTED_VALUE"""),"Male")</f>
        <v>Male</v>
      </c>
      <c r="E6" s="40">
        <f>IFERROR(__xludf.DUMMYFUNCTION("""COMPUTED_VALUE"""),42941.0)</f>
        <v>42941</v>
      </c>
      <c r="F6" s="39" t="str">
        <f>IFERROR(__xludf.DUMMYFUNCTION("""COMPUTED_VALUE"""),"Bo &amp; Julia")</f>
        <v>Bo &amp; Julia</v>
      </c>
      <c r="G6" s="39" t="str">
        <f>IFERROR(__xludf.DUMMYFUNCTION("""COMPUTED_VALUE"""),"none")</f>
        <v>none</v>
      </c>
      <c r="H6" s="39" t="str">
        <f>IFERROR(__xludf.DUMMYFUNCTION("""COMPUTED_VALUE"""),"Adi's friend")</f>
        <v>Adi's friend</v>
      </c>
      <c r="I6" s="39" t="str">
        <f>IFERROR(__xludf.DUMMYFUNCTION("""COMPUTED_VALUE"""),"Friday 8/11/17 @ 1pm")</f>
        <v>Friday 8/11/17 @ 1pm</v>
      </c>
      <c r="J6" s="39" t="str">
        <f>IFERROR(__xludf.DUMMYFUNCTION("""COMPUTED_VALUE"""),"Julia and Bo")</f>
        <v>Julia and Bo</v>
      </c>
      <c r="K6" s="40">
        <f>IFERROR(__xludf.DUMMYFUNCTION("""COMPUTED_VALUE"""),42958.0)</f>
        <v>42958</v>
      </c>
      <c r="L6" s="51">
        <f>IFERROR(__xludf.DUMMYFUNCTION("""COMPUTED_VALUE"""),0.841)</f>
        <v>0.841</v>
      </c>
      <c r="M6" s="40">
        <f>IFERROR(__xludf.DUMMYFUNCTION("""COMPUTED_VALUE"""),42958.0)</f>
        <v>42958</v>
      </c>
      <c r="N6" s="39" t="str">
        <f>IFERROR(__xludf.DUMMYFUNCTION("""COMPUTED_VALUE"""),"Right 250Hz and 6kHz (maybe retest)")</f>
        <v>Right 250Hz and 6kHz (maybe retest)</v>
      </c>
      <c r="O6" s="39" t="str">
        <f>IFERROR(__xludf.DUMMYFUNCTION("""COMPUTED_VALUE"""),"n/a")</f>
        <v>n/a</v>
      </c>
      <c r="P6" s="39" t="str">
        <f>IFERROR(__xludf.DUMMYFUNCTION("""COMPUTED_VALUE"""),"Decline to Respond")</f>
        <v>Decline to Respond</v>
      </c>
      <c r="Q6" s="40">
        <f>IFERROR(__xludf.DUMMYFUNCTION("""COMPUTED_VALUE"""),42978.0)</f>
        <v>42978</v>
      </c>
      <c r="R6" s="40">
        <f>IFERROR(__xludf.DUMMYFUNCTION("""COMPUTED_VALUE"""),42958.0)</f>
        <v>42958</v>
      </c>
      <c r="S6" s="39" t="str">
        <f>IFERROR(__xludf.DUMMYFUNCTION("""COMPUTED_VALUE"""),"none")</f>
        <v>none</v>
      </c>
      <c r="T6" s="39" t="str">
        <f>IFERROR(__xludf.DUMMYFUNCTION("""COMPUTED_VALUE"""),"sub-nbwr405_ses001_task_lexicaldecision_run_01_meg.fif")</f>
        <v>sub-nbwr405_ses001_task_lexicaldecision_run_01_meg.fif</v>
      </c>
      <c r="U6" s="39" t="str">
        <f>IFERROR(__xludf.DUMMYFUNCTION("""COMPUTED_VALUE"""),"yes")</f>
        <v>yes</v>
      </c>
      <c r="V6" s="39">
        <f>IFERROR(__xludf.DUMMYFUNCTION("""COMPUTED_VALUE"""),73.6)</f>
        <v>73.6</v>
      </c>
      <c r="W6" s="39">
        <f>IFERROR(__xludf.DUMMYFUNCTION("""COMPUTED_VALUE"""),-74.3)</f>
        <v>-74.3</v>
      </c>
      <c r="X6" s="39" t="str">
        <f>IFERROR(__xludf.DUMMYFUNCTION("""COMPUTED_VALUE"""),"not documented")</f>
        <v>not documented</v>
      </c>
      <c r="Y6" s="39" t="str">
        <f>IFERROR(__xludf.DUMMYFUNCTION("""COMPUTED_VALUE"""),"Maggie")</f>
        <v>Maggie</v>
      </c>
      <c r="Z6" s="39" t="str">
        <f>IFERROR(__xludf.DUMMYFUNCTION("""COMPUTED_VALUE"""),"Kam out")</f>
        <v>Kam out</v>
      </c>
      <c r="AA6" s="39" t="str">
        <f>IFERROR(__xludf.DUMMYFUNCTION("""COMPUTED_VALUE"""),"yes")</f>
        <v>yes</v>
      </c>
      <c r="AB6" s="39" t="str">
        <f>IFERROR(__xludf.DUMMYFUNCTION("""COMPUTED_VALUE"""),"1811, 1743 (flat)")</f>
        <v>1811, 1743 (flat)</v>
      </c>
      <c r="AC6" s="39" t="str">
        <f>IFERROR(__xludf.DUMMYFUNCTION("""COMPUTED_VALUE"""),"61/62")</f>
        <v>61/62</v>
      </c>
      <c r="AD6" s="39">
        <f>IFERROR(__xludf.DUMMYFUNCTION("""COMPUTED_VALUE"""),63.0)</f>
        <v>63</v>
      </c>
      <c r="AE6" s="39" t="str">
        <f>IFERROR(__xludf.DUMMYFUNCTION("""COMPUTED_VALUE"""),"buttons + triggers seen on Acq.")</f>
        <v>buttons + triggers seen on Acq.</v>
      </c>
      <c r="AF6" s="39" t="str">
        <f>IFERROR(__xludf.DUMMYFUNCTION("""COMPUTED_VALUE"""),"Thursday 8/31/17 @ 11:30am")</f>
        <v>Thursday 8/31/17 @ 11:30am</v>
      </c>
      <c r="AG6" s="39" t="str">
        <f>IFERROR(__xludf.DUMMYFUNCTION("""COMPUTED_VALUE"""),"Bo")</f>
        <v>Bo</v>
      </c>
      <c r="AH6" s="39" t="str">
        <f>IFERROR(__xludf.DUMMYFUNCTION("""COMPUTED_VALUE"""),"Jeff, Todd, Kam")</f>
        <v>Jeff, Todd, Kam</v>
      </c>
      <c r="AI6" s="39" t="str">
        <f>IFERROR(__xludf.DUMMYFUNCTION("""COMPUTED_VALUE"""),"sub-nbwr405")</f>
        <v>sub-nbwr405</v>
      </c>
      <c r="AJ6" s="39" t="str">
        <f>IFERROR(__xludf.DUMMYFUNCTION("""COMPUTED_VALUE"""),"sub-nbwr_phantom")</f>
        <v>sub-nbwr_phantom</v>
      </c>
      <c r="AK6" s="39" t="str">
        <f>IFERROR(__xludf.DUMMYFUNCTION("""COMPUTED_VALUE"""),"8/31/17 @ 1:00 pm")</f>
        <v>8/31/17 @ 1:00 pm</v>
      </c>
      <c r="AL6" s="39" t="str">
        <f>IFERROR(__xludf.DUMMYFUNCTION("""COMPUTED_VALUE"""),"N/A")</f>
        <v>N/A</v>
      </c>
      <c r="AM6" s="39">
        <f>IFERROR(__xludf.DUMMYFUNCTION("""COMPUTED_VALUE"""),24.1)</f>
        <v>24.1</v>
      </c>
      <c r="AN6" s="39" t="str">
        <f>IFERROR(__xludf.DUMMYFUNCTION("""COMPUTED_VALUE"""),"N/A")</f>
        <v>N/A</v>
      </c>
      <c r="AO6" s="39">
        <f>IFERROR(__xludf.DUMMYFUNCTION("""COMPUTED_VALUE"""),23.9)</f>
        <v>23.9</v>
      </c>
      <c r="AP6" s="39" t="str">
        <f>IFERROR(__xludf.DUMMYFUNCTION("""COMPUTED_VALUE"""),"retested hearing, completed demo Q (SLU running 15 min behind), didn't want to watch a movie, FWHM=15Hg, good IQ, call back for test/retest (agreed)")</f>
        <v>retested hearing, completed demo Q (SLU running 15 min behind), didn't want to watch a movie, FWHM=15Hg, good IQ, call back for test/retest (agreed)</v>
      </c>
      <c r="AQ6" s="39" t="str">
        <f>IFERROR(__xludf.DUMMYFUNCTION("""COMPUTED_VALUE"""),"sub-nbwr405")</f>
        <v>sub-nbwr405</v>
      </c>
      <c r="AR6" s="40">
        <f>IFERROR(__xludf.DUMMYFUNCTION("""COMPUTED_VALUE"""),42958.0)</f>
        <v>42958</v>
      </c>
      <c r="AS6" s="40">
        <f>IFERROR(__xludf.DUMMYFUNCTION("""COMPUTED_VALUE"""),42978.0)</f>
        <v>42978</v>
      </c>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row>
    <row r="7">
      <c r="A7" s="50" t="str">
        <f>IFERROR(__xludf.DUMMYFUNCTION("""COMPUTED_VALUE"""),"GABA_421")</f>
        <v>GABA_421</v>
      </c>
      <c r="B7" s="40">
        <f>IFERROR(__xludf.DUMMYFUNCTION("""COMPUTED_VALUE"""),34049.0)</f>
        <v>34049</v>
      </c>
      <c r="C7" s="38">
        <f>IFERROR(__xludf.DUMMYFUNCTION("""COMPUTED_VALUE"""),24.56986301369863)</f>
        <v>24.56986301</v>
      </c>
      <c r="D7" s="39" t="str">
        <f>IFERROR(__xludf.DUMMYFUNCTION("""COMPUTED_VALUE"""),"Female")</f>
        <v>Female</v>
      </c>
      <c r="E7" s="40">
        <f>IFERROR(__xludf.DUMMYFUNCTION("""COMPUTED_VALUE"""),43014.0)</f>
        <v>43014</v>
      </c>
      <c r="F7" s="39" t="str">
        <f>IFERROR(__xludf.DUMMYFUNCTION("""COMPUTED_VALUE"""),"Bo")</f>
        <v>Bo</v>
      </c>
      <c r="G7" s="39" t="str">
        <f>IFERROR(__xludf.DUMMYFUNCTION("""COMPUTED_VALUE"""),"BC")</f>
        <v>BC</v>
      </c>
      <c r="H7" s="39"/>
      <c r="I7" s="39" t="str">
        <f>IFERROR(__xludf.DUMMYFUNCTION("""COMPUTED_VALUE"""),"Mon 10/9/17 @ 12:30pm")</f>
        <v>Mon 10/9/17 @ 12:30pm</v>
      </c>
      <c r="J7" s="39" t="str">
        <f>IFERROR(__xludf.DUMMYFUNCTION("""COMPUTED_VALUE"""),"Bo")</f>
        <v>Bo</v>
      </c>
      <c r="K7" s="40">
        <f>IFERROR(__xludf.DUMMYFUNCTION("""COMPUTED_VALUE"""),43017.0)</f>
        <v>43017</v>
      </c>
      <c r="L7" s="51">
        <f>IFERROR(__xludf.DUMMYFUNCTION("""COMPUTED_VALUE"""),0.9545)</f>
        <v>0.9545</v>
      </c>
      <c r="M7" s="40">
        <f>IFERROR(__xludf.DUMMYFUNCTION("""COMPUTED_VALUE"""),43017.0)</f>
        <v>43017</v>
      </c>
      <c r="N7" s="39" t="str">
        <f>IFERROR(__xludf.DUMMYFUNCTION("""COMPUTED_VALUE"""),"no loss")</f>
        <v>no loss</v>
      </c>
      <c r="O7" s="39" t="str">
        <f>IFERROR(__xludf.DUMMYFUNCTION("""COMPUTED_VALUE"""),"n/a")</f>
        <v>n/a</v>
      </c>
      <c r="P7" s="39" t="str">
        <f>IFERROR(__xludf.DUMMYFUNCTION("""COMPUTED_VALUE"""),"White")</f>
        <v>White</v>
      </c>
      <c r="Q7" s="40">
        <f>IFERROR(__xludf.DUMMYFUNCTION("""COMPUTED_VALUE"""),43017.0)</f>
        <v>43017</v>
      </c>
      <c r="R7" s="40">
        <f>IFERROR(__xludf.DUMMYFUNCTION("""COMPUTED_VALUE"""),43017.0)</f>
        <v>43017</v>
      </c>
      <c r="S7" s="39" t="str">
        <f>IFERROR(__xludf.DUMMYFUNCTION("""COMPUTED_VALUE"""),"none")</f>
        <v>none</v>
      </c>
      <c r="T7" s="39" t="str">
        <f>IFERROR(__xludf.DUMMYFUNCTION("""COMPUTED_VALUE"""),"sub_nbwr421_ses001_Task_lexicaldecisionn_run_01_meg_raw")</f>
        <v>sub_nbwr421_ses001_Task_lexicaldecisionn_run_01_meg_raw</v>
      </c>
      <c r="U7" s="39" t="str">
        <f>IFERROR(__xludf.DUMMYFUNCTION("""COMPUTED_VALUE"""),"not known")</f>
        <v>not known</v>
      </c>
      <c r="V7" s="39">
        <f>IFERROR(__xludf.DUMMYFUNCTION("""COMPUTED_VALUE"""),68.1)</f>
        <v>68.1</v>
      </c>
      <c r="W7" s="39">
        <f>IFERROR(__xludf.DUMMYFUNCTION("""COMPUTED_VALUE"""),-68.2)</f>
        <v>-68.2</v>
      </c>
      <c r="X7" s="39">
        <f>IFERROR(__xludf.DUMMYFUNCTION("""COMPUTED_VALUE"""),240.0)</f>
        <v>240</v>
      </c>
      <c r="Y7" s="39" t="str">
        <f>IFERROR(__xludf.DUMMYFUNCTION("""COMPUTED_VALUE"""),"Myles")</f>
        <v>Myles</v>
      </c>
      <c r="Z7" s="39" t="str">
        <f>IFERROR(__xludf.DUMMYFUNCTION("""COMPUTED_VALUE"""),"Kam")</f>
        <v>Kam</v>
      </c>
      <c r="AA7" s="39" t="str">
        <f>IFERROR(__xludf.DUMMYFUNCTION("""COMPUTED_VALUE"""),"yes")</f>
        <v>yes</v>
      </c>
      <c r="AB7" s="39">
        <f>IFERROR(__xludf.DUMMYFUNCTION("""COMPUTED_VALUE"""),1743.0)</f>
        <v>1743</v>
      </c>
      <c r="AC7" s="39" t="str">
        <f>IFERROR(__xludf.DUMMYFUNCTION("""COMPUTED_VALUE"""),"yes")</f>
        <v>yes</v>
      </c>
      <c r="AD7" s="39" t="str">
        <f>IFERROR(__xludf.DUMMYFUNCTION("""COMPUTED_VALUE"""),"yes")</f>
        <v>yes</v>
      </c>
      <c r="AE7" s="39"/>
      <c r="AF7" s="39" t="str">
        <f>IFERROR(__xludf.DUMMYFUNCTION("""COMPUTED_VALUE"""),"Thursday 10/26/17 @ 10:30am")</f>
        <v>Thursday 10/26/17 @ 10:30am</v>
      </c>
      <c r="AG7" s="39" t="str">
        <f>IFERROR(__xludf.DUMMYFUNCTION("""COMPUTED_VALUE"""),"Bo")</f>
        <v>Bo</v>
      </c>
      <c r="AH7" s="39" t="str">
        <f>IFERROR(__xludf.DUMMYFUNCTION("""COMPUTED_VALUE"""),"Jeff, Todd, Kam")</f>
        <v>Jeff, Todd, Kam</v>
      </c>
      <c r="AI7" s="39" t="str">
        <f>IFERROR(__xludf.DUMMYFUNCTION("""COMPUTED_VALUE"""),"sub_nbwr421")</f>
        <v>sub_nbwr421</v>
      </c>
      <c r="AJ7" s="39" t="str">
        <f>IFERROR(__xludf.DUMMYFUNCTION("""COMPUTED_VALUE"""),"sub_nbwr421_phantom")</f>
        <v>sub_nbwr421_phantom</v>
      </c>
      <c r="AK7" s="39" t="str">
        <f>IFERROR(__xludf.DUMMYFUNCTION("""COMPUTED_VALUE"""),"10/26/17 @ 12:30 pm")</f>
        <v>10/26/17 @ 12:30 pm</v>
      </c>
      <c r="AL7" s="42">
        <f>IFERROR(__xludf.DUMMYFUNCTION("""COMPUTED_VALUE"""),0.53125)</f>
        <v>0.53125</v>
      </c>
      <c r="AM7" s="39">
        <f>IFERROR(__xludf.DUMMYFUNCTION("""COMPUTED_VALUE"""),22.8)</f>
        <v>22.8</v>
      </c>
      <c r="AN7" s="42">
        <f>IFERROR(__xludf.DUMMYFUNCTION("""COMPUTED_VALUE"""),0.5590277777777778)</f>
        <v>0.5590277778</v>
      </c>
      <c r="AO7" s="39">
        <f>IFERROR(__xludf.DUMMYFUNCTION("""COMPUTED_VALUE"""),23.7)</f>
        <v>23.7</v>
      </c>
      <c r="AP7" s="39" t="str">
        <f>IFERROR(__xludf.DUMMYFUNCTION("""COMPUTED_VALUE"""),"small head but excellent IQ, FWHM left: 18 Hz, FWHM right: 14 Hz")</f>
        <v>small head but excellent IQ, FWHM left: 18 Hz, FWHM right: 14 Hz</v>
      </c>
      <c r="AQ7" s="39" t="str">
        <f>IFERROR(__xludf.DUMMYFUNCTION("""COMPUTED_VALUE"""),"NBWR")</f>
        <v>NBWR</v>
      </c>
      <c r="AR7" s="40">
        <f>IFERROR(__xludf.DUMMYFUNCTION("""COMPUTED_VALUE"""),43017.0)</f>
        <v>43017</v>
      </c>
      <c r="AS7" s="40">
        <f>IFERROR(__xludf.DUMMYFUNCTION("""COMPUTED_VALUE"""),43034.0)</f>
        <v>43034</v>
      </c>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row>
    <row r="8">
      <c r="A8" s="50" t="str">
        <f>IFERROR(__xludf.DUMMYFUNCTION("""COMPUTED_VALUE"""),"GABA_426")</f>
        <v>GABA_426</v>
      </c>
      <c r="B8" s="40">
        <f>IFERROR(__xludf.DUMMYFUNCTION("""COMPUTED_VALUE"""),35270.0)</f>
        <v>35270</v>
      </c>
      <c r="C8" s="38">
        <f>IFERROR(__xludf.DUMMYFUNCTION("""COMPUTED_VALUE"""),21.22739726027397)</f>
        <v>21.22739726</v>
      </c>
      <c r="D8" s="39" t="str">
        <f>IFERROR(__xludf.DUMMYFUNCTION("""COMPUTED_VALUE"""),"Female")</f>
        <v>Female</v>
      </c>
      <c r="E8" s="40">
        <f>IFERROR(__xludf.DUMMYFUNCTION("""COMPUTED_VALUE"""),43014.0)</f>
        <v>43014</v>
      </c>
      <c r="F8" s="39" t="str">
        <f>IFERROR(__xludf.DUMMYFUNCTION("""COMPUTED_VALUE"""),"Bo")</f>
        <v>Bo</v>
      </c>
      <c r="G8" s="39" t="str">
        <f>IFERROR(__xludf.DUMMYFUNCTION("""COMPUTED_VALUE"""),"none")</f>
        <v>none</v>
      </c>
      <c r="H8" s="39"/>
      <c r="I8" s="39" t="str">
        <f>IFERROR(__xludf.DUMMYFUNCTION("""COMPUTED_VALUE"""),"Tues 10/10/17 @ 2:30pm")</f>
        <v>Tues 10/10/17 @ 2:30pm</v>
      </c>
      <c r="J8" s="39" t="str">
        <f>IFERROR(__xludf.DUMMYFUNCTION("""COMPUTED_VALUE"""),"Bo")</f>
        <v>Bo</v>
      </c>
      <c r="K8" s="40">
        <f>IFERROR(__xludf.DUMMYFUNCTION("""COMPUTED_VALUE"""),43018.0)</f>
        <v>43018</v>
      </c>
      <c r="L8" s="51">
        <f>IFERROR(__xludf.DUMMYFUNCTION("""COMPUTED_VALUE"""),0.7954)</f>
        <v>0.7954</v>
      </c>
      <c r="M8" s="40">
        <f>IFERROR(__xludf.DUMMYFUNCTION("""COMPUTED_VALUE"""),43018.0)</f>
        <v>43018</v>
      </c>
      <c r="N8" s="39" t="str">
        <f>IFERROR(__xludf.DUMMYFUNCTION("""COMPUTED_VALUE"""),"no loss")</f>
        <v>no loss</v>
      </c>
      <c r="O8" s="39" t="str">
        <f>IFERROR(__xludf.DUMMYFUNCTION("""COMPUTED_VALUE"""),"n/a")</f>
        <v>n/a</v>
      </c>
      <c r="P8" s="39" t="str">
        <f>IFERROR(__xludf.DUMMYFUNCTION("""COMPUTED_VALUE"""),"White")</f>
        <v>White</v>
      </c>
      <c r="Q8" s="40">
        <f>IFERROR(__xludf.DUMMYFUNCTION("""COMPUTED_VALUE"""),43018.0)</f>
        <v>43018</v>
      </c>
      <c r="R8" s="40">
        <f>IFERROR(__xludf.DUMMYFUNCTION("""COMPUTED_VALUE"""),43018.0)</f>
        <v>43018</v>
      </c>
      <c r="S8" s="39" t="str">
        <f>IFERROR(__xludf.DUMMYFUNCTION("""COMPUTED_VALUE"""),"none")</f>
        <v>none</v>
      </c>
      <c r="T8" s="39" t="str">
        <f>IFERROR(__xludf.DUMMYFUNCTION("""COMPUTED_VALUE"""),"sub--nbwr426_ses001_task_lexicaldecision_run-01_meg_raw.fif")</f>
        <v>sub--nbwr426_ses001_task_lexicaldecision_run-01_meg_raw.fif</v>
      </c>
      <c r="U8" s="39" t="str">
        <f>IFERROR(__xludf.DUMMYFUNCTION("""COMPUTED_VALUE"""),"yes")</f>
        <v>yes</v>
      </c>
      <c r="V8" s="39">
        <f>IFERROR(__xludf.DUMMYFUNCTION("""COMPUTED_VALUE"""),71.9)</f>
        <v>71.9</v>
      </c>
      <c r="W8" s="39">
        <f>IFERROR(__xludf.DUMMYFUNCTION("""COMPUTED_VALUE"""),-71.5)</f>
        <v>-71.5</v>
      </c>
      <c r="X8" s="39">
        <f>IFERROR(__xludf.DUMMYFUNCTION("""COMPUTED_VALUE"""),240.0)</f>
        <v>240</v>
      </c>
      <c r="Y8" s="39" t="str">
        <f>IFERROR(__xludf.DUMMYFUNCTION("""COMPUTED_VALUE"""),"Maggie")</f>
        <v>Maggie</v>
      </c>
      <c r="Z8" s="39" t="str">
        <f>IFERROR(__xludf.DUMMYFUNCTION("""COMPUTED_VALUE"""),"Kam")</f>
        <v>Kam</v>
      </c>
      <c r="AA8" s="39" t="str">
        <f>IFERROR(__xludf.DUMMYFUNCTION("""COMPUTED_VALUE"""),"yes 5/5")</f>
        <v>yes 5/5</v>
      </c>
      <c r="AB8" s="39" t="str">
        <f>IFERROR(__xludf.DUMMYFUNCTION("""COMPUTED_VALUE"""),"1743 (flat)")</f>
        <v>1743 (flat)</v>
      </c>
      <c r="AC8" s="39" t="str">
        <f>IFERROR(__xludf.DUMMYFUNCTION("""COMPUTED_VALUE"""),"61/62")</f>
        <v>61/62</v>
      </c>
      <c r="AD8" s="39">
        <f>IFERROR(__xludf.DUMMYFUNCTION("""COMPUTED_VALUE"""),63.0)</f>
        <v>63</v>
      </c>
      <c r="AE8" s="39" t="str">
        <f>IFERROR(__xludf.DUMMYFUNCTION("""COMPUTED_VALUE"""),"good EOG+ECG")</f>
        <v>good EOG+ECG</v>
      </c>
      <c r="AF8" s="39" t="str">
        <f>IFERROR(__xludf.DUMMYFUNCTION("""COMPUTED_VALUE"""),"Thursday 10/26/17 @ 2pm")</f>
        <v>Thursday 10/26/17 @ 2pm</v>
      </c>
      <c r="AG8" s="39" t="str">
        <f>IFERROR(__xludf.DUMMYFUNCTION("""COMPUTED_VALUE"""),"Bo")</f>
        <v>Bo</v>
      </c>
      <c r="AH8" s="39" t="str">
        <f>IFERROR(__xludf.DUMMYFUNCTION("""COMPUTED_VALUE"""),"Jeff, Todd, Kam")</f>
        <v>Jeff, Todd, Kam</v>
      </c>
      <c r="AI8" s="39" t="str">
        <f>IFERROR(__xludf.DUMMYFUNCTION("""COMPUTED_VALUE"""),"sub_nbwr426")</f>
        <v>sub_nbwr426</v>
      </c>
      <c r="AJ8" s="39" t="str">
        <f>IFERROR(__xludf.DUMMYFUNCTION("""COMPUTED_VALUE"""),"sub_nbwr421_phantom")</f>
        <v>sub_nbwr421_phantom</v>
      </c>
      <c r="AK8" s="39" t="str">
        <f>IFERROR(__xludf.DUMMYFUNCTION("""COMPUTED_VALUE"""),"10/26/17 @ 12:30 pm")</f>
        <v>10/26/17 @ 12:30 pm</v>
      </c>
      <c r="AL8" s="42">
        <f>IFERROR(__xludf.DUMMYFUNCTION("""COMPUTED_VALUE"""),0.53125)</f>
        <v>0.53125</v>
      </c>
      <c r="AM8" s="39">
        <f>IFERROR(__xludf.DUMMYFUNCTION("""COMPUTED_VALUE"""),22.8)</f>
        <v>22.8</v>
      </c>
      <c r="AN8" s="42">
        <f>IFERROR(__xludf.DUMMYFUNCTION("""COMPUTED_VALUE"""),0.5590277777777778)</f>
        <v>0.5590277778</v>
      </c>
      <c r="AO8" s="39">
        <f>IFERROR(__xludf.DUMMYFUNCTION("""COMPUTED_VALUE"""),23.7)</f>
        <v>23.7</v>
      </c>
      <c r="AP8" s="39" t="str">
        <f>IFERROR(__xludf.DUMMYFUNCTION("""COMPUTED_VALUE"""),"FWHM LT = 15 Hz, FWHM RT = 16 Hz")</f>
        <v>FWHM LT = 15 Hz, FWHM RT = 16 Hz</v>
      </c>
      <c r="AQ8" s="39" t="str">
        <f>IFERROR(__xludf.DUMMYFUNCTION("""COMPUTED_VALUE"""),"NBWR")</f>
        <v>NBWR</v>
      </c>
      <c r="AR8" s="40">
        <f>IFERROR(__xludf.DUMMYFUNCTION("""COMPUTED_VALUE"""),43018.0)</f>
        <v>43018</v>
      </c>
      <c r="AS8" s="40">
        <f>IFERROR(__xludf.DUMMYFUNCTION("""COMPUTED_VALUE"""),43034.0)</f>
        <v>43034</v>
      </c>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row>
    <row r="9">
      <c r="A9" s="50" t="str">
        <f>IFERROR(__xludf.DUMMYFUNCTION("""COMPUTED_VALUE"""),"GABA_427")</f>
        <v>GABA_427</v>
      </c>
      <c r="B9" s="40">
        <f>IFERROR(__xludf.DUMMYFUNCTION("""COMPUTED_VALUE"""),34424.0)</f>
        <v>34424</v>
      </c>
      <c r="C9" s="38">
        <f>IFERROR(__xludf.DUMMYFUNCTION("""COMPUTED_VALUE"""),23.55068493150685)</f>
        <v>23.55068493</v>
      </c>
      <c r="D9" s="39" t="str">
        <f>IFERROR(__xludf.DUMMYFUNCTION("""COMPUTED_VALUE"""),"male")</f>
        <v>male</v>
      </c>
      <c r="E9" s="40">
        <f>IFERROR(__xludf.DUMMYFUNCTION("""COMPUTED_VALUE"""),43014.0)</f>
        <v>43014</v>
      </c>
      <c r="F9" s="39" t="str">
        <f>IFERROR(__xludf.DUMMYFUNCTION("""COMPUTED_VALUE"""),"Bo")</f>
        <v>Bo</v>
      </c>
      <c r="G9" s="39" t="str">
        <f>IFERROR(__xludf.DUMMYFUNCTION("""COMPUTED_VALUE"""),"PrEP (HIV prevention)")</f>
        <v>PrEP (HIV prevention)</v>
      </c>
      <c r="H9" s="39"/>
      <c r="I9" s="39" t="str">
        <f>IFERROR(__xludf.DUMMYFUNCTION("""COMPUTED_VALUE"""),"Thurs 10/17/17 @ 8am")</f>
        <v>Thurs 10/17/17 @ 8am</v>
      </c>
      <c r="J9" s="39" t="str">
        <f>IFERROR(__xludf.DUMMYFUNCTION("""COMPUTED_VALUE"""),"Bo")</f>
        <v>Bo</v>
      </c>
      <c r="K9" s="40">
        <f>IFERROR(__xludf.DUMMYFUNCTION("""COMPUTED_VALUE"""),43025.0)</f>
        <v>43025</v>
      </c>
      <c r="L9" s="51">
        <f>IFERROR(__xludf.DUMMYFUNCTION("""COMPUTED_VALUE"""),0.9545)</f>
        <v>0.9545</v>
      </c>
      <c r="M9" s="40">
        <f>IFERROR(__xludf.DUMMYFUNCTION("""COMPUTED_VALUE"""),43025.0)</f>
        <v>43025</v>
      </c>
      <c r="N9" s="39" t="str">
        <f>IFERROR(__xludf.DUMMYFUNCTION("""COMPUTED_VALUE"""),"Left: 250Hz")</f>
        <v>Left: 250Hz</v>
      </c>
      <c r="O9" s="39" t="str">
        <f>IFERROR(__xludf.DUMMYFUNCTION("""COMPUTED_VALUE"""),"n/a")</f>
        <v>n/a</v>
      </c>
      <c r="P9" s="39" t="str">
        <f>IFERROR(__xludf.DUMMYFUNCTION("""COMPUTED_VALUE"""),"White and Black/African American")</f>
        <v>White and Black/African American</v>
      </c>
      <c r="Q9" s="40">
        <f>IFERROR(__xludf.DUMMYFUNCTION("""COMPUTED_VALUE"""),43025.0)</f>
        <v>43025</v>
      </c>
      <c r="R9" s="40">
        <f>IFERROR(__xludf.DUMMYFUNCTION("""COMPUTED_VALUE"""),43025.0)</f>
        <v>43025</v>
      </c>
      <c r="S9" s="39" t="str">
        <f>IFERROR(__xludf.DUMMYFUNCTION("""COMPUTED_VALUE"""),"none")</f>
        <v>none</v>
      </c>
      <c r="T9" s="39" t="str">
        <f>IFERROR(__xludf.DUMMYFUNCTION("""COMPUTED_VALUE"""),"sub-nbwr427_ses001_task-leicaldecision_run-01_meg_raw")</f>
        <v>sub-nbwr427_ses001_task-leicaldecision_run-01_meg_raw</v>
      </c>
      <c r="U9" s="39" t="str">
        <f>IFERROR(__xludf.DUMMYFUNCTION("""COMPUTED_VALUE"""),"yes")</f>
        <v>yes</v>
      </c>
      <c r="V9" s="39">
        <f>IFERROR(__xludf.DUMMYFUNCTION("""COMPUTED_VALUE"""),73.9)</f>
        <v>73.9</v>
      </c>
      <c r="W9" s="39">
        <f>IFERROR(__xludf.DUMMYFUNCTION("""COMPUTED_VALUE"""),-79.4)</f>
        <v>-79.4</v>
      </c>
      <c r="X9" s="39" t="str">
        <f>IFERROR(__xludf.DUMMYFUNCTION("""COMPUTED_VALUE"""),"not documented")</f>
        <v>not documented</v>
      </c>
      <c r="Y9" s="39" t="str">
        <f>IFERROR(__xludf.DUMMYFUNCTION("""COMPUTED_VALUE"""),"Maggie")</f>
        <v>Maggie</v>
      </c>
      <c r="Z9" s="39" t="str">
        <f>IFERROR(__xludf.DUMMYFUNCTION("""COMPUTED_VALUE"""),"Kam out")</f>
        <v>Kam out</v>
      </c>
      <c r="AA9" s="39" t="str">
        <f>IFERROR(__xludf.DUMMYFUNCTION("""COMPUTED_VALUE"""),"yes 5/5")</f>
        <v>yes 5/5</v>
      </c>
      <c r="AB9" s="39" t="str">
        <f>IFERROR(__xludf.DUMMYFUNCTION("""COMPUTED_VALUE"""),"MEG 1743(off)")</f>
        <v>MEG 1743(off)</v>
      </c>
      <c r="AC9" s="39" t="str">
        <f>IFERROR(__xludf.DUMMYFUNCTION("""COMPUTED_VALUE"""),"61/62")</f>
        <v>61/62</v>
      </c>
      <c r="AD9" s="39">
        <f>IFERROR(__xludf.DUMMYFUNCTION("""COMPUTED_VALUE"""),63.0)</f>
        <v>63</v>
      </c>
      <c r="AE9" s="39" t="str">
        <f>IFERROR(__xludf.DUMMYFUNCTION("""COMPUTED_VALUE"""),"EOG_ECG=good, 274 add pts., triggers +button seen on Acq, good online avgs")</f>
        <v>EOG_ECG=good, 274 add pts., triggers +button seen on Acq, good online avgs</v>
      </c>
      <c r="AF9" s="39" t="str">
        <f>IFERROR(__xludf.DUMMYFUNCTION("""COMPUTED_VALUE"""),"Monday 10/30/17 @ 10am")</f>
        <v>Monday 10/30/17 @ 10am</v>
      </c>
      <c r="AG9" s="39" t="str">
        <f>IFERROR(__xludf.DUMMYFUNCTION("""COMPUTED_VALUE"""),"Bo")</f>
        <v>Bo</v>
      </c>
      <c r="AH9" s="39" t="str">
        <f>IFERROR(__xludf.DUMMYFUNCTION("""COMPUTED_VALUE"""),"Serena, Jeff/Todd/Kam (late)")</f>
        <v>Serena, Jeff/Todd/Kam (late)</v>
      </c>
      <c r="AI9" s="39" t="str">
        <f>IFERROR(__xludf.DUMMYFUNCTION("""COMPUTED_VALUE"""),"sub-nbwr427")</f>
        <v>sub-nbwr427</v>
      </c>
      <c r="AJ9" s="39" t="str">
        <f>IFERROR(__xludf.DUMMYFUNCTION("""COMPUTED_VALUE"""),"sub-nbwr427_phantom")</f>
        <v>sub-nbwr427_phantom</v>
      </c>
      <c r="AK9" s="39" t="str">
        <f>IFERROR(__xludf.DUMMYFUNCTION("""COMPUTED_VALUE"""),"10/30/17 @ 10:30am")</f>
        <v>10/30/17 @ 10:30am</v>
      </c>
      <c r="AL9" s="42">
        <f>IFERROR(__xludf.DUMMYFUNCTION("""COMPUTED_VALUE"""),0.4354166666666667)</f>
        <v>0.4354166667</v>
      </c>
      <c r="AM9" s="39">
        <f>IFERROR(__xludf.DUMMYFUNCTION("""COMPUTED_VALUE"""),22.2)</f>
        <v>22.2</v>
      </c>
      <c r="AN9" s="42">
        <f>IFERROR(__xludf.DUMMYFUNCTION("""COMPUTED_VALUE"""),0.4583333333333333)</f>
        <v>0.4583333333</v>
      </c>
      <c r="AO9" s="39">
        <f>IFERROR(__xludf.DUMMYFUNCTION("""COMPUTED_VALUE"""),22.8)</f>
        <v>22.8</v>
      </c>
      <c r="AP9" s="39" t="str">
        <f>IFERROR(__xludf.DUMMYFUNCTION("""COMPUTED_VALUE"""),"one vial on phantom slightly out of place, FWHM LT = 15 Hz, FWM LT = 15 Hz")</f>
        <v>one vial on phantom slightly out of place, FWHM LT = 15 Hz, FWM LT = 15 Hz</v>
      </c>
      <c r="AQ9" s="39" t="str">
        <f>IFERROR(__xludf.DUMMYFUNCTION("""COMPUTED_VALUE"""),"NBWR")</f>
        <v>NBWR</v>
      </c>
      <c r="AR9" s="40">
        <f>IFERROR(__xludf.DUMMYFUNCTION("""COMPUTED_VALUE"""),43020.0)</f>
        <v>43020</v>
      </c>
      <c r="AS9" s="40">
        <f>IFERROR(__xludf.DUMMYFUNCTION("""COMPUTED_VALUE"""),43038.0)</f>
        <v>43038</v>
      </c>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row>
    <row r="10">
      <c r="A10" s="50" t="str">
        <f>IFERROR(__xludf.DUMMYFUNCTION("""COMPUTED_VALUE"""),"GABA_428")</f>
        <v>GABA_428</v>
      </c>
      <c r="B10" s="40">
        <f>IFERROR(__xludf.DUMMYFUNCTION("""COMPUTED_VALUE"""),35615.0)</f>
        <v>35615</v>
      </c>
      <c r="C10" s="38">
        <f>IFERROR(__xludf.DUMMYFUNCTION("""COMPUTED_VALUE"""),20.301369863013697)</f>
        <v>20.30136986</v>
      </c>
      <c r="D10" s="39" t="str">
        <f>IFERROR(__xludf.DUMMYFUNCTION("""COMPUTED_VALUE"""),"male")</f>
        <v>male</v>
      </c>
      <c r="E10" s="40">
        <f>IFERROR(__xludf.DUMMYFUNCTION("""COMPUTED_VALUE"""),43017.0)</f>
        <v>43017</v>
      </c>
      <c r="F10" s="39" t="str">
        <f>IFERROR(__xludf.DUMMYFUNCTION("""COMPUTED_VALUE"""),"Bo")</f>
        <v>Bo</v>
      </c>
      <c r="G10" s="39" t="str">
        <f>IFERROR(__xludf.DUMMYFUNCTION("""COMPUTED_VALUE"""),"none")</f>
        <v>none</v>
      </c>
      <c r="H10" s="39"/>
      <c r="I10" s="39" t="str">
        <f>IFERROR(__xludf.DUMMYFUNCTION("""COMPUTED_VALUE"""),"Tues 10/17/17 @ 9:30am")</f>
        <v>Tues 10/17/17 @ 9:30am</v>
      </c>
      <c r="J10" s="39" t="str">
        <f>IFERROR(__xludf.DUMMYFUNCTION("""COMPUTED_VALUE"""),"Bo")</f>
        <v>Bo</v>
      </c>
      <c r="K10" s="40">
        <f>IFERROR(__xludf.DUMMYFUNCTION("""COMPUTED_VALUE"""),43025.0)</f>
        <v>43025</v>
      </c>
      <c r="L10" s="51">
        <f>IFERROR(__xludf.DUMMYFUNCTION("""COMPUTED_VALUE"""),0.9318)</f>
        <v>0.9318</v>
      </c>
      <c r="M10" s="40">
        <f>IFERROR(__xludf.DUMMYFUNCTION("""COMPUTED_VALUE"""),43025.0)</f>
        <v>43025</v>
      </c>
      <c r="N10" s="39" t="str">
        <f>IFERROR(__xludf.DUMMYFUNCTION("""COMPUTED_VALUE"""),"Left: 250Hz Right: 6kHz")</f>
        <v>Left: 250Hz Right: 6kHz</v>
      </c>
      <c r="O10" s="39" t="str">
        <f>IFERROR(__xludf.DUMMYFUNCTION("""COMPUTED_VALUE"""),"n/a")</f>
        <v>n/a</v>
      </c>
      <c r="P10" s="39" t="str">
        <f>IFERROR(__xludf.DUMMYFUNCTION("""COMPUTED_VALUE"""),"White")</f>
        <v>White</v>
      </c>
      <c r="Q10" s="40">
        <f>IFERROR(__xludf.DUMMYFUNCTION("""COMPUTED_VALUE"""),43025.0)</f>
        <v>43025</v>
      </c>
      <c r="R10" s="40">
        <f>IFERROR(__xludf.DUMMYFUNCTION("""COMPUTED_VALUE"""),43025.0)</f>
        <v>43025</v>
      </c>
      <c r="S10" s="39" t="str">
        <f>IFERROR(__xludf.DUMMYFUNCTION("""COMPUTED_VALUE"""),"none")</f>
        <v>none</v>
      </c>
      <c r="T10" s="39" t="str">
        <f>IFERROR(__xludf.DUMMYFUNCTION("""COMPUTED_VALUE"""),"sub-nbwr428_ses001_erm_meg_raw.fif")</f>
        <v>sub-nbwr428_ses001_erm_meg_raw.fif</v>
      </c>
      <c r="U10" s="39" t="str">
        <f>IFERROR(__xludf.DUMMYFUNCTION("""COMPUTED_VALUE"""),"yes")</f>
        <v>yes</v>
      </c>
      <c r="V10" s="39">
        <f>IFERROR(__xludf.DUMMYFUNCTION("""COMPUTED_VALUE"""),70.4)</f>
        <v>70.4</v>
      </c>
      <c r="W10" s="39">
        <f>IFERROR(__xludf.DUMMYFUNCTION("""COMPUTED_VALUE"""),-75.8)</f>
        <v>-75.8</v>
      </c>
      <c r="X10" s="39" t="str">
        <f>IFERROR(__xludf.DUMMYFUNCTION("""COMPUTED_VALUE"""),"not documented")</f>
        <v>not documented</v>
      </c>
      <c r="Y10" s="39" t="str">
        <f>IFERROR(__xludf.DUMMYFUNCTION("""COMPUTED_VALUE"""),"Maggie")</f>
        <v>Maggie</v>
      </c>
      <c r="Z10" s="39" t="str">
        <f>IFERROR(__xludf.DUMMYFUNCTION("""COMPUTED_VALUE"""),"Kam")</f>
        <v>Kam</v>
      </c>
      <c r="AA10" s="39" t="str">
        <f>IFERROR(__xludf.DUMMYFUNCTION("""COMPUTED_VALUE"""),"yes 5/5")</f>
        <v>yes 5/5</v>
      </c>
      <c r="AB10" s="39" t="str">
        <f>IFERROR(__xludf.DUMMYFUNCTION("""COMPUTED_VALUE"""),"MEG 1743 (off)")</f>
        <v>MEG 1743 (off)</v>
      </c>
      <c r="AC10" s="39" t="str">
        <f>IFERROR(__xludf.DUMMYFUNCTION("""COMPUTED_VALUE"""),"61/62")</f>
        <v>61/62</v>
      </c>
      <c r="AD10" s="39">
        <f>IFERROR(__xludf.DUMMYFUNCTION("""COMPUTED_VALUE"""),63.0)</f>
        <v>63</v>
      </c>
      <c r="AE10" s="39" t="str">
        <f>IFERROR(__xludf.DUMMYFUNCTION("""COMPUTED_VALUE"""),"triggers +buttons see on Acq, EOG_ECG=good signal, 257 add pts.")</f>
        <v>triggers +buttons see on Acq, EOG_ECG=good signal, 257 add pts.</v>
      </c>
      <c r="AF10" s="39" t="str">
        <f>IFERROR(__xludf.DUMMYFUNCTION("""COMPUTED_VALUE"""),"Tuesday 10/31/17@ 10am")</f>
        <v>Tuesday 10/31/17@ 10am</v>
      </c>
      <c r="AG10" s="39" t="str">
        <f>IFERROR(__xludf.DUMMYFUNCTION("""COMPUTED_VALUE"""),"Bo and Anna")</f>
        <v>Bo and Anna</v>
      </c>
      <c r="AH10" s="39" t="str">
        <f>IFERROR(__xludf.DUMMYFUNCTION("""COMPUTED_VALUE"""),"Jeff, Todd, Kam")</f>
        <v>Jeff, Todd, Kam</v>
      </c>
      <c r="AI10" s="39" t="str">
        <f>IFERROR(__xludf.DUMMYFUNCTION("""COMPUTED_VALUE"""),"sub-nbwr428")</f>
        <v>sub-nbwr428</v>
      </c>
      <c r="AJ10" s="39" t="str">
        <f>IFERROR(__xludf.DUMMYFUNCTION("""COMPUTED_VALUE"""),"sub-nbwr428_phantom")</f>
        <v>sub-nbwr428_phantom</v>
      </c>
      <c r="AK10" s="39" t="str">
        <f>IFERROR(__xludf.DUMMYFUNCTION("""COMPUTED_VALUE"""),"10/31/17 @ 12:15pm")</f>
        <v>10/31/17 @ 12:15pm</v>
      </c>
      <c r="AL10" s="42">
        <f>IFERROR(__xludf.DUMMYFUNCTION("""COMPUTED_VALUE"""),0.5069444444444444)</f>
        <v>0.5069444444</v>
      </c>
      <c r="AM10" s="39">
        <f>IFERROR(__xludf.DUMMYFUNCTION("""COMPUTED_VALUE"""),22.5)</f>
        <v>22.5</v>
      </c>
      <c r="AN10" s="42">
        <f>IFERROR(__xludf.DUMMYFUNCTION("""COMPUTED_VALUE"""),0.53125)</f>
        <v>0.53125</v>
      </c>
      <c r="AO10" s="39">
        <f>IFERROR(__xludf.DUMMYFUNCTION("""COMPUTED_VALUE"""),23.5)</f>
        <v>23.5</v>
      </c>
      <c r="AP10" s="39" t="str">
        <f>IFERROR(__xludf.DUMMYFUNCTION("""COMPUTED_VALUE"""),"scanner crashed, HOS serial comm fail, hand restart of scanner and repeat all sequences, data good after reset, FWHM LT=12, RT=14")</f>
        <v>scanner crashed, HOS serial comm fail, hand restart of scanner and repeat all sequences, data good after reset, FWHM LT=12, RT=14</v>
      </c>
      <c r="AQ10" s="39" t="str">
        <f>IFERROR(__xludf.DUMMYFUNCTION("""COMPUTED_VALUE"""),"NBWR")</f>
        <v>NBWR</v>
      </c>
      <c r="AR10" s="40">
        <f>IFERROR(__xludf.DUMMYFUNCTION("""COMPUTED_VALUE"""),43025.0)</f>
        <v>43025</v>
      </c>
      <c r="AS10" s="40">
        <f>IFERROR(__xludf.DUMMYFUNCTION("""COMPUTED_VALUE"""),43039.0)</f>
        <v>43039</v>
      </c>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row>
    <row r="11">
      <c r="A11" s="50" t="str">
        <f>IFERROR(__xludf.DUMMYFUNCTION("""COMPUTED_VALUE"""),"GABA_432")</f>
        <v>GABA_432</v>
      </c>
      <c r="B11" s="40">
        <f>IFERROR(__xludf.DUMMYFUNCTION("""COMPUTED_VALUE"""),33531.0)</f>
        <v>33531</v>
      </c>
      <c r="C11" s="38">
        <f>IFERROR(__xludf.DUMMYFUNCTION("""COMPUTED_VALUE"""),25.98248494800219)</f>
        <v>25.98248495</v>
      </c>
      <c r="D11" s="39" t="str">
        <f>IFERROR(__xludf.DUMMYFUNCTION("""COMPUTED_VALUE"""),"male")</f>
        <v>male</v>
      </c>
      <c r="E11" s="40">
        <f>IFERROR(__xludf.DUMMYFUNCTION("""COMPUTED_VALUE"""),43020.0)</f>
        <v>43020</v>
      </c>
      <c r="F11" s="39" t="str">
        <f>IFERROR(__xludf.DUMMYFUNCTION("""COMPUTED_VALUE"""),"Bo")</f>
        <v>Bo</v>
      </c>
      <c r="G11" s="39" t="str">
        <f>IFERROR(__xludf.DUMMYFUNCTION("""COMPUTED_VALUE"""),"none")</f>
        <v>none</v>
      </c>
      <c r="H11" s="39"/>
      <c r="I11" s="39" t="str">
        <f>IFERROR(__xludf.DUMMYFUNCTION("""COMPUTED_VALUE"""),"Tues 10/17/17 @ 2pm")</f>
        <v>Tues 10/17/17 @ 2pm</v>
      </c>
      <c r="J11" s="39" t="str">
        <f>IFERROR(__xludf.DUMMYFUNCTION("""COMPUTED_VALUE"""),"Bo")</f>
        <v>Bo</v>
      </c>
      <c r="K11" s="40">
        <f>IFERROR(__xludf.DUMMYFUNCTION("""COMPUTED_VALUE"""),43025.0)</f>
        <v>43025</v>
      </c>
      <c r="L11" s="52">
        <f>IFERROR(__xludf.DUMMYFUNCTION("""COMPUTED_VALUE"""),1.0)</f>
        <v>1</v>
      </c>
      <c r="M11" s="40">
        <f>IFERROR(__xludf.DUMMYFUNCTION("""COMPUTED_VALUE"""),43025.0)</f>
        <v>43025</v>
      </c>
      <c r="N11" s="39" t="str">
        <f>IFERROR(__xludf.DUMMYFUNCTION("""COMPUTED_VALUE"""),"Left: 250Hz Right: 6kHz")</f>
        <v>Left: 250Hz Right: 6kHz</v>
      </c>
      <c r="O11" s="39" t="str">
        <f>IFERROR(__xludf.DUMMYFUNCTION("""COMPUTED_VALUE"""),"n/a")</f>
        <v>n/a</v>
      </c>
      <c r="P11" s="39" t="str">
        <f>IFERROR(__xludf.DUMMYFUNCTION("""COMPUTED_VALUE"""),"White")</f>
        <v>White</v>
      </c>
      <c r="Q11" s="40">
        <f>IFERROR(__xludf.DUMMYFUNCTION("""COMPUTED_VALUE"""),43025.0)</f>
        <v>43025</v>
      </c>
      <c r="R11" s="40">
        <f>IFERROR(__xludf.DUMMYFUNCTION("""COMPUTED_VALUE"""),43025.0)</f>
        <v>43025</v>
      </c>
      <c r="S11" s="39" t="str">
        <f>IFERROR(__xludf.DUMMYFUNCTION("""COMPUTED_VALUE"""),"none")</f>
        <v>none</v>
      </c>
      <c r="T11" s="39" t="str">
        <f>IFERROR(__xludf.DUMMYFUNCTION("""COMPUTED_VALUE"""),"sub_nbwr432_ses001_task_lexicaldecision_run_01-meg_raw.fif")</f>
        <v>sub_nbwr432_ses001_task_lexicaldecision_run_01-meg_raw.fif</v>
      </c>
      <c r="U11" s="39" t="str">
        <f>IFERROR(__xludf.DUMMYFUNCTION("""COMPUTED_VALUE"""),"yes")</f>
        <v>yes</v>
      </c>
      <c r="V11" s="39">
        <f>IFERROR(__xludf.DUMMYFUNCTION("""COMPUTED_VALUE"""),70.6)</f>
        <v>70.6</v>
      </c>
      <c r="W11" s="39">
        <f>IFERROR(__xludf.DUMMYFUNCTION("""COMPUTED_VALUE"""),-70.8)</f>
        <v>-70.8</v>
      </c>
      <c r="X11" s="39">
        <f>IFERROR(__xludf.DUMMYFUNCTION("""COMPUTED_VALUE"""),239.0)</f>
        <v>239</v>
      </c>
      <c r="Y11" s="39" t="str">
        <f>IFERROR(__xludf.DUMMYFUNCTION("""COMPUTED_VALUE"""),"Myles")</f>
        <v>Myles</v>
      </c>
      <c r="Z11" s="39" t="str">
        <f>IFERROR(__xludf.DUMMYFUNCTION("""COMPUTED_VALUE"""),"Kam")</f>
        <v>Kam</v>
      </c>
      <c r="AA11" s="39" t="str">
        <f>IFERROR(__xludf.DUMMYFUNCTION("""COMPUTED_VALUE"""),"yes")</f>
        <v>yes</v>
      </c>
      <c r="AB11" s="39">
        <f>IFERROR(__xludf.DUMMYFUNCTION("""COMPUTED_VALUE"""),1743.0)</f>
        <v>1743</v>
      </c>
      <c r="AC11" s="39" t="str">
        <f>IFERROR(__xludf.DUMMYFUNCTION("""COMPUTED_VALUE"""),"61/62")</f>
        <v>61/62</v>
      </c>
      <c r="AD11" s="39">
        <f>IFERROR(__xludf.DUMMYFUNCTION("""COMPUTED_VALUE"""),63.0)</f>
        <v>63</v>
      </c>
      <c r="AE11" s="39"/>
      <c r="AF11" s="39" t="str">
        <f>IFERROR(__xludf.DUMMYFUNCTION("""COMPUTED_VALUE"""),"Tuesday 10/31/17 @ 2pm")</f>
        <v>Tuesday 10/31/17 @ 2pm</v>
      </c>
      <c r="AG11" s="39" t="str">
        <f>IFERROR(__xludf.DUMMYFUNCTION("""COMPUTED_VALUE"""),"Bo")</f>
        <v>Bo</v>
      </c>
      <c r="AH11" s="39" t="str">
        <f>IFERROR(__xludf.DUMMYFUNCTION("""COMPUTED_VALUE"""),"Jeff, Todd, Kam")</f>
        <v>Jeff, Todd, Kam</v>
      </c>
      <c r="AI11" s="39" t="str">
        <f>IFERROR(__xludf.DUMMYFUNCTION("""COMPUTED_VALUE"""),"sub-nbwr432")</f>
        <v>sub-nbwr432</v>
      </c>
      <c r="AJ11" s="39" t="str">
        <f>IFERROR(__xludf.DUMMYFUNCTION("""COMPUTED_VALUE"""),"sub-nbwr428_phantom")</f>
        <v>sub-nbwr428_phantom</v>
      </c>
      <c r="AK11" s="39" t="str">
        <f>IFERROR(__xludf.DUMMYFUNCTION("""COMPUTED_VALUE"""),"10/31/17 @ 12:15pm")</f>
        <v>10/31/17 @ 12:15pm</v>
      </c>
      <c r="AL11" s="42">
        <f>IFERROR(__xludf.DUMMYFUNCTION("""COMPUTED_VALUE"""),0.5069444444444444)</f>
        <v>0.5069444444</v>
      </c>
      <c r="AM11" s="39">
        <f>IFERROR(__xludf.DUMMYFUNCTION("""COMPUTED_VALUE"""),22.5)</f>
        <v>22.5</v>
      </c>
      <c r="AN11" s="42">
        <f>IFERROR(__xludf.DUMMYFUNCTION("""COMPUTED_VALUE"""),0.53125)</f>
        <v>0.53125</v>
      </c>
      <c r="AO11" s="39">
        <f>IFERROR(__xludf.DUMMYFUNCTION("""COMPUTED_VALUE"""),23.5)</f>
        <v>23.5</v>
      </c>
      <c r="AP11" s="39" t="str">
        <f>IFERROR(__xludf.DUMMYFUNCTION("""COMPUTED_VALUE"""),"use GABA_428 phantom on same day, please note ACDC999 was archived again with this study as precaution, FWHM LT=13 no RT listed ")</f>
        <v>use GABA_428 phantom on same day, please note ACDC999 was archived again with this study as precaution, FWHM LT=13 no RT listed </v>
      </c>
      <c r="AQ11" s="39" t="str">
        <f>IFERROR(__xludf.DUMMYFUNCTION("""COMPUTED_VALUE"""),"NBWR")</f>
        <v>NBWR</v>
      </c>
      <c r="AR11" s="40">
        <f>IFERROR(__xludf.DUMMYFUNCTION("""COMPUTED_VALUE"""),43025.0)</f>
        <v>43025</v>
      </c>
      <c r="AS11" s="40">
        <f>IFERROR(__xludf.DUMMYFUNCTION("""COMPUTED_VALUE"""),43039.0)</f>
        <v>43039</v>
      </c>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row>
    <row r="12">
      <c r="A12" s="53" t="str">
        <f>IFERROR(__xludf.DUMMYFUNCTION("""COMPUTED_VALUE"""),"GABA_431")</f>
        <v>GABA_431</v>
      </c>
      <c r="B12" s="40">
        <f>IFERROR(__xludf.DUMMYFUNCTION("""COMPUTED_VALUE"""),35958.0)</f>
        <v>35958</v>
      </c>
      <c r="C12" s="38">
        <f>IFERROR(__xludf.DUMMYFUNCTION("""COMPUTED_VALUE"""),19.386301369863013)</f>
        <v>19.38630137</v>
      </c>
      <c r="D12" s="39" t="str">
        <f>IFERROR(__xludf.DUMMYFUNCTION("""COMPUTED_VALUE"""),"male")</f>
        <v>male</v>
      </c>
      <c r="E12" s="40">
        <f>IFERROR(__xludf.DUMMYFUNCTION("""COMPUTED_VALUE"""),43020.0)</f>
        <v>43020</v>
      </c>
      <c r="F12" s="39" t="str">
        <f>IFERROR(__xludf.DUMMYFUNCTION("""COMPUTED_VALUE"""),"Bo")</f>
        <v>Bo</v>
      </c>
      <c r="G12" s="39" t="str">
        <f>IFERROR(__xludf.DUMMYFUNCTION("""COMPUTED_VALUE"""),"none")</f>
        <v>none</v>
      </c>
      <c r="H12" s="39"/>
      <c r="I12" s="39" t="str">
        <f>IFERROR(__xludf.DUMMYFUNCTION("""COMPUTED_VALUE"""),"Thurs 10/26/17 @ 12:30pm")</f>
        <v>Thurs 10/26/17 @ 12:30pm</v>
      </c>
      <c r="J12" s="39" t="str">
        <f>IFERROR(__xludf.DUMMYFUNCTION("""COMPUTED_VALUE"""),"Julia and Anna")</f>
        <v>Julia and Anna</v>
      </c>
      <c r="K12" s="40">
        <f>IFERROR(__xludf.DUMMYFUNCTION("""COMPUTED_VALUE"""),43034.0)</f>
        <v>43034</v>
      </c>
      <c r="L12" s="51">
        <f>IFERROR(__xludf.DUMMYFUNCTION("""COMPUTED_VALUE"""),0.9545)</f>
        <v>0.9545</v>
      </c>
      <c r="M12" s="40">
        <f>IFERROR(__xludf.DUMMYFUNCTION("""COMPUTED_VALUE"""),43034.0)</f>
        <v>43034</v>
      </c>
      <c r="N12" s="39" t="str">
        <f>IFERROR(__xludf.DUMMYFUNCTION("""COMPUTED_VALUE"""),"no loss, did not test Right 2kHz")</f>
        <v>no loss, did not test Right 2kHz</v>
      </c>
      <c r="O12" s="39" t="str">
        <f>IFERROR(__xludf.DUMMYFUNCTION("""COMPUTED_VALUE"""),"n/a")</f>
        <v>n/a</v>
      </c>
      <c r="P12" s="39" t="str">
        <f>IFERROR(__xludf.DUMMYFUNCTION("""COMPUTED_VALUE"""),"Asian/Pacific Islander")</f>
        <v>Asian/Pacific Islander</v>
      </c>
      <c r="Q12" s="40">
        <f>IFERROR(__xludf.DUMMYFUNCTION("""COMPUTED_VALUE"""),43034.0)</f>
        <v>43034</v>
      </c>
      <c r="R12" s="40">
        <f>IFERROR(__xludf.DUMMYFUNCTION("""COMPUTED_VALUE"""),43034.0)</f>
        <v>43034</v>
      </c>
      <c r="S12" s="39" t="str">
        <f>IFERROR(__xludf.DUMMYFUNCTION("""COMPUTED_VALUE"""),"none")</f>
        <v>none</v>
      </c>
      <c r="T12" s="39" t="str">
        <f>IFERROR(__xludf.DUMMYFUNCTION("""COMPUTED_VALUE"""),"sub-nbwr_ses001_Task-lexicaldecision_run_01_meg_raw")</f>
        <v>sub-nbwr_ses001_Task-lexicaldecision_run_01_meg_raw</v>
      </c>
      <c r="U12" s="39" t="str">
        <f>IFERROR(__xludf.DUMMYFUNCTION("""COMPUTED_VALUE"""),"yes")</f>
        <v>yes</v>
      </c>
      <c r="V12" s="39">
        <f>IFERROR(__xludf.DUMMYFUNCTION("""COMPUTED_VALUE"""),76.7)</f>
        <v>76.7</v>
      </c>
      <c r="W12" s="39">
        <f>IFERROR(__xludf.DUMMYFUNCTION("""COMPUTED_VALUE"""),-75.9)</f>
        <v>-75.9</v>
      </c>
      <c r="X12" s="39">
        <f>IFERROR(__xludf.DUMMYFUNCTION("""COMPUTED_VALUE"""),240.0)</f>
        <v>240</v>
      </c>
      <c r="Y12" s="39" t="str">
        <f>IFERROR(__xludf.DUMMYFUNCTION("""COMPUTED_VALUE"""),"Myles, Julia")</f>
        <v>Myles, Julia</v>
      </c>
      <c r="Z12" s="39" t="str">
        <f>IFERROR(__xludf.DUMMYFUNCTION("""COMPUTED_VALUE"""),"Kam")</f>
        <v>Kam</v>
      </c>
      <c r="AA12" s="39" t="str">
        <f>IFERROR(__xludf.DUMMYFUNCTION("""COMPUTED_VALUE"""),"yes")</f>
        <v>yes</v>
      </c>
      <c r="AB12" s="39">
        <f>IFERROR(__xludf.DUMMYFUNCTION("""COMPUTED_VALUE"""),1743.0)</f>
        <v>1743</v>
      </c>
      <c r="AC12" s="39" t="str">
        <f>IFERROR(__xludf.DUMMYFUNCTION("""COMPUTED_VALUE"""),"61/62")</f>
        <v>61/62</v>
      </c>
      <c r="AD12" s="39">
        <f>IFERROR(__xludf.DUMMYFUNCTION("""COMPUTED_VALUE"""),63.0)</f>
        <v>63</v>
      </c>
      <c r="AE12" s="39"/>
      <c r="AF12" s="39" t="str">
        <f>IFERROR(__xludf.DUMMYFUNCTION("""COMPUTED_VALUE"""),"Thursday 11/16/17 @ 11:30am")</f>
        <v>Thursday 11/16/17 @ 11:30am</v>
      </c>
      <c r="AG12" s="39" t="str">
        <f>IFERROR(__xludf.DUMMYFUNCTION("""COMPUTED_VALUE"""),"Bo and Anna")</f>
        <v>Bo and Anna</v>
      </c>
      <c r="AH12" s="39" t="str">
        <f>IFERROR(__xludf.DUMMYFUNCTION("""COMPUTED_VALUE"""),"Jeff, Todd, Kam")</f>
        <v>Jeff, Todd, Kam</v>
      </c>
      <c r="AI12" s="39" t="str">
        <f>IFERROR(__xludf.DUMMYFUNCTION("""COMPUTED_VALUE"""),"sub-nbwr431")</f>
        <v>sub-nbwr431</v>
      </c>
      <c r="AJ12" s="39" t="str">
        <f>IFERROR(__xludf.DUMMYFUNCTION("""COMPUTED_VALUE"""),"sub-nbwr431_phantom")</f>
        <v>sub-nbwr431_phantom</v>
      </c>
      <c r="AK12" s="39" t="str">
        <f>IFERROR(__xludf.DUMMYFUNCTION("""COMPUTED_VALUE"""),"11/16/17 @ 1:00 pm")</f>
        <v>11/16/17 @ 1:00 pm</v>
      </c>
      <c r="AL12" s="42">
        <f>IFERROR(__xludf.DUMMYFUNCTION("""COMPUTED_VALUE"""),0.5416666666666666)</f>
        <v>0.5416666667</v>
      </c>
      <c r="AM12" s="39">
        <f>IFERROR(__xludf.DUMMYFUNCTION("""COMPUTED_VALUE"""),22.5)</f>
        <v>22.5</v>
      </c>
      <c r="AN12" s="42">
        <f>IFERROR(__xludf.DUMMYFUNCTION("""COMPUTED_VALUE"""),0.5729166666666666)</f>
        <v>0.5729166667</v>
      </c>
      <c r="AO12" s="39">
        <f>IFERROR(__xludf.DUMMYFUNCTION("""COMPUTED_VALUE"""),23.3)</f>
        <v>23.3</v>
      </c>
      <c r="AP12" s="39" t="str">
        <f>IFERROR(__xludf.DUMMYFUNCTION("""COMPUTED_VALUE"""),"FWHM LT = 16 Hz, RT = 16 Hz")</f>
        <v>FWHM LT = 16 Hz, RT = 16 Hz</v>
      </c>
      <c r="AQ12" s="39" t="str">
        <f>IFERROR(__xludf.DUMMYFUNCTION("""COMPUTED_VALUE"""),"NBWR")</f>
        <v>NBWR</v>
      </c>
      <c r="AR12" s="40">
        <f>IFERROR(__xludf.DUMMYFUNCTION("""COMPUTED_VALUE"""),43034.0)</f>
        <v>43034</v>
      </c>
      <c r="AS12" s="40">
        <f>IFERROR(__xludf.DUMMYFUNCTION("""COMPUTED_VALUE"""),43055.0)</f>
        <v>43055</v>
      </c>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row>
    <row r="13">
      <c r="A13" s="54" t="str">
        <f>IFERROR(__xludf.DUMMYFUNCTION("""COMPUTED_VALUE"""),"GABA_436")</f>
        <v>GABA_436</v>
      </c>
      <c r="B13" s="40">
        <f>IFERROR(__xludf.DUMMYFUNCTION("""COMPUTED_VALUE"""),35246.0)</f>
        <v>35246</v>
      </c>
      <c r="C13" s="38">
        <f>IFERROR(__xludf.DUMMYFUNCTION("""COMPUTED_VALUE"""),21.353424657534248)</f>
        <v>21.35342466</v>
      </c>
      <c r="D13" s="39" t="str">
        <f>IFERROR(__xludf.DUMMYFUNCTION("""COMPUTED_VALUE"""),"male")</f>
        <v>male</v>
      </c>
      <c r="E13" s="40">
        <f>IFERROR(__xludf.DUMMYFUNCTION("""COMPUTED_VALUE"""),43032.0)</f>
        <v>43032</v>
      </c>
      <c r="F13" s="39" t="str">
        <f>IFERROR(__xludf.DUMMYFUNCTION("""COMPUTED_VALUE"""),"Bo")</f>
        <v>Bo</v>
      </c>
      <c r="G13" s="39" t="str">
        <f>IFERROR(__xludf.DUMMYFUNCTION("""COMPUTED_VALUE"""),"none")</f>
        <v>none</v>
      </c>
      <c r="H13" s="39"/>
      <c r="I13" s="39" t="str">
        <f>IFERROR(__xludf.DUMMYFUNCTION("""COMPUTED_VALUE"""),"Wed 11/1/17 @ 11:30am")</f>
        <v>Wed 11/1/17 @ 11:30am</v>
      </c>
      <c r="J13" s="39" t="str">
        <f>IFERROR(__xludf.DUMMYFUNCTION("""COMPUTED_VALUE"""),"Bo and anna")</f>
        <v>Bo and anna</v>
      </c>
      <c r="K13" s="40">
        <f>IFERROR(__xludf.DUMMYFUNCTION("""COMPUTED_VALUE"""),43040.0)</f>
        <v>43040</v>
      </c>
      <c r="L13" s="52">
        <f>IFERROR(__xludf.DUMMYFUNCTION("""COMPUTED_VALUE"""),1.0)</f>
        <v>1</v>
      </c>
      <c r="M13" s="40">
        <f>IFERROR(__xludf.DUMMYFUNCTION("""COMPUTED_VALUE"""),43040.0)</f>
        <v>43040</v>
      </c>
      <c r="N13" s="39" t="str">
        <f>IFERROR(__xludf.DUMMYFUNCTION("""COMPUTED_VALUE"""),"no loss")</f>
        <v>no loss</v>
      </c>
      <c r="O13" s="39" t="str">
        <f>IFERROR(__xludf.DUMMYFUNCTION("""COMPUTED_VALUE"""),"n/a")</f>
        <v>n/a</v>
      </c>
      <c r="P13" s="39" t="str">
        <f>IFERROR(__xludf.DUMMYFUNCTION("""COMPUTED_VALUE"""),"White, Hispanic/Latino")</f>
        <v>White, Hispanic/Latino</v>
      </c>
      <c r="Q13" s="40">
        <f>IFERROR(__xludf.DUMMYFUNCTION("""COMPUTED_VALUE"""),43040.0)</f>
        <v>43040</v>
      </c>
      <c r="R13" s="40">
        <f>IFERROR(__xludf.DUMMYFUNCTION("""COMPUTED_VALUE"""),43040.0)</f>
        <v>43040</v>
      </c>
      <c r="S13" s="39" t="str">
        <f>IFERROR(__xludf.DUMMYFUNCTION("""COMPUTED_VALUE"""),"none")</f>
        <v>none</v>
      </c>
      <c r="T13" s="39" t="str">
        <f>IFERROR(__xludf.DUMMYFUNCTION("""COMPUTED_VALUE"""),"sub-nbwr436_ses001_task-lexicaldecision_run-01_meg-raw.fif")</f>
        <v>sub-nbwr436_ses001_task-lexicaldecision_run-01_meg-raw.fif</v>
      </c>
      <c r="U13" s="39" t="str">
        <f>IFERROR(__xludf.DUMMYFUNCTION("""COMPUTED_VALUE"""),"yes")</f>
        <v>yes</v>
      </c>
      <c r="V13" s="39">
        <f>IFERROR(__xludf.DUMMYFUNCTION("""COMPUTED_VALUE"""),82.1)</f>
        <v>82.1</v>
      </c>
      <c r="W13" s="39">
        <f>IFERROR(__xludf.DUMMYFUNCTION("""COMPUTED_VALUE"""),-78.9)</f>
        <v>-78.9</v>
      </c>
      <c r="X13" s="39" t="str">
        <f>IFERROR(__xludf.DUMMYFUNCTION("""COMPUTED_VALUE"""),"not documented")</f>
        <v>not documented</v>
      </c>
      <c r="Y13" s="39" t="str">
        <f>IFERROR(__xludf.DUMMYFUNCTION("""COMPUTED_VALUE"""),"Myles")</f>
        <v>Myles</v>
      </c>
      <c r="Z13" s="39" t="str">
        <f>IFERROR(__xludf.DUMMYFUNCTION("""COMPUTED_VALUE"""),"Kam")</f>
        <v>Kam</v>
      </c>
      <c r="AA13" s="39" t="str">
        <f>IFERROR(__xludf.DUMMYFUNCTION("""COMPUTED_VALUE"""),"unknown")</f>
        <v>unknown</v>
      </c>
      <c r="AB13" s="39" t="str">
        <f>IFERROR(__xludf.DUMMYFUNCTION("""COMPUTED_VALUE"""),"1743, 0533")</f>
        <v>1743, 0533</v>
      </c>
      <c r="AC13" s="39" t="str">
        <f>IFERROR(__xludf.DUMMYFUNCTION("""COMPUTED_VALUE"""),"61/62")</f>
        <v>61/62</v>
      </c>
      <c r="AD13" s="39">
        <f>IFERROR(__xludf.DUMMYFUNCTION("""COMPUTED_VALUE"""),63.0)</f>
        <v>63</v>
      </c>
      <c r="AE13" s="39" t="str">
        <f>IFERROR(__xludf.DUMMYFUNCTION("""COMPUTED_VALUE"""),"cough at around 7:20")</f>
        <v>cough at around 7:20</v>
      </c>
      <c r="AF13" s="39"/>
      <c r="AG13" s="39"/>
      <c r="AH13" s="39"/>
      <c r="AI13" s="39"/>
      <c r="AJ13" s="39"/>
      <c r="AK13" s="39"/>
      <c r="AL13" s="39"/>
      <c r="AM13" s="39"/>
      <c r="AN13" s="39"/>
      <c r="AO13" s="39"/>
      <c r="AP13" s="39" t="str">
        <f>IFERROR(__xludf.DUMMYFUNCTION("""COMPUTED_VALUE"""),"Cancelled appointment evening before scan, email on 11/20, VM on 11/27. Difficult to reach (found replacement GABA_448)")</f>
        <v>Cancelled appointment evening before scan, email on 11/20, VM on 11/27. Difficult to reach (found replacement GABA_448)</v>
      </c>
      <c r="AQ13" s="39"/>
      <c r="AR13" s="40">
        <f>IFERROR(__xludf.DUMMYFUNCTION("""COMPUTED_VALUE"""),43040.0)</f>
        <v>43040</v>
      </c>
      <c r="AS13" s="39"/>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row>
    <row r="14">
      <c r="A14" s="55" t="str">
        <f>IFERROR(__xludf.DUMMYFUNCTION("""COMPUTED_VALUE"""),"GABA_437")</f>
        <v>GABA_437</v>
      </c>
      <c r="B14" s="37">
        <f>IFERROR(__xludf.DUMMYFUNCTION("""COMPUTED_VALUE"""),35018.0)</f>
        <v>35018</v>
      </c>
      <c r="C14" s="38">
        <f>IFERROR(__xludf.DUMMYFUNCTION("""COMPUTED_VALUE"""),21.97808219178082)</f>
        <v>21.97808219</v>
      </c>
      <c r="D14" s="39" t="str">
        <f>IFERROR(__xludf.DUMMYFUNCTION("""COMPUTED_VALUE"""),"Male")</f>
        <v>Male</v>
      </c>
      <c r="E14" s="40">
        <f>IFERROR(__xludf.DUMMYFUNCTION("""COMPUTED_VALUE"""),43033.0)</f>
        <v>43033</v>
      </c>
      <c r="F14" s="39" t="str">
        <f>IFERROR(__xludf.DUMMYFUNCTION("""COMPUTED_VALUE"""),"Bo")</f>
        <v>Bo</v>
      </c>
      <c r="G14" s="39" t="str">
        <f>IFERROR(__xludf.DUMMYFUNCTION("""COMPUTED_VALUE"""),"none")</f>
        <v>none</v>
      </c>
      <c r="H14" s="39" t="str">
        <f>IFERROR(__xludf.DUMMYFUNCTION("""COMPUTED_VALUE"""),"Wednesday and Friday are best")</f>
        <v>Wednesday and Friday are best</v>
      </c>
      <c r="I14" s="39" t="str">
        <f>IFERROR(__xludf.DUMMYFUNCTION("""COMPUTED_VALUE"""),"Wed 11/1/17 @ 12:45pm")</f>
        <v>Wed 11/1/17 @ 12:45pm</v>
      </c>
      <c r="J14" s="39" t="str">
        <f>IFERROR(__xludf.DUMMYFUNCTION("""COMPUTED_VALUE"""),"Bo and Anna")</f>
        <v>Bo and Anna</v>
      </c>
      <c r="K14" s="40">
        <f>IFERROR(__xludf.DUMMYFUNCTION("""COMPUTED_VALUE"""),43040.0)</f>
        <v>43040</v>
      </c>
      <c r="L14" s="52">
        <f>IFERROR(__xludf.DUMMYFUNCTION("""COMPUTED_VALUE"""),0.91)</f>
        <v>0.91</v>
      </c>
      <c r="M14" s="40">
        <f>IFERROR(__xludf.DUMMYFUNCTION("""COMPUTED_VALUE"""),43040.0)</f>
        <v>43040</v>
      </c>
      <c r="N14" s="39" t="str">
        <f>IFERROR(__xludf.DUMMYFUNCTION("""COMPUTED_VALUE"""),"Right: 6KHz, 8KHz")</f>
        <v>Right: 6KHz, 8KHz</v>
      </c>
      <c r="O14" s="39" t="str">
        <f>IFERROR(__xludf.DUMMYFUNCTION("""COMPUTED_VALUE"""),"n/a")</f>
        <v>n/a</v>
      </c>
      <c r="P14" s="39" t="str">
        <f>IFERROR(__xludf.DUMMYFUNCTION("""COMPUTED_VALUE"""),"White")</f>
        <v>White</v>
      </c>
      <c r="Q14" s="40">
        <f>IFERROR(__xludf.DUMMYFUNCTION("""COMPUTED_VALUE"""),43040.0)</f>
        <v>43040</v>
      </c>
      <c r="R14" s="40">
        <f>IFERROR(__xludf.DUMMYFUNCTION("""COMPUTED_VALUE"""),43040.0)</f>
        <v>43040</v>
      </c>
      <c r="S14" s="39" t="str">
        <f>IFERROR(__xludf.DUMMYFUNCTION("""COMPUTED_VALUE"""),"none")</f>
        <v>none</v>
      </c>
      <c r="T14" s="39" t="str">
        <f>IFERROR(__xludf.DUMMYFUNCTION("""COMPUTED_VALUE"""),"sub_nbwr437_ses001_tasklexicaldecision_run01_meg_scan")</f>
        <v>sub_nbwr437_ses001_tasklexicaldecision_run01_meg_scan</v>
      </c>
      <c r="U14" s="39" t="str">
        <f>IFERROR(__xludf.DUMMYFUNCTION("""COMPUTED_VALUE"""),"yes")</f>
        <v>yes</v>
      </c>
      <c r="V14" s="39">
        <f>IFERROR(__xludf.DUMMYFUNCTION("""COMPUTED_VALUE"""),65.4)</f>
        <v>65.4</v>
      </c>
      <c r="W14" s="39">
        <f>IFERROR(__xludf.DUMMYFUNCTION("""COMPUTED_VALUE"""),-70.6)</f>
        <v>-70.6</v>
      </c>
      <c r="X14" s="39">
        <f>IFERROR(__xludf.DUMMYFUNCTION("""COMPUTED_VALUE"""),240.0)</f>
        <v>240</v>
      </c>
      <c r="Y14" s="39" t="str">
        <f>IFERROR(__xludf.DUMMYFUNCTION("""COMPUTED_VALUE"""),"Myles")</f>
        <v>Myles</v>
      </c>
      <c r="Z14" s="39" t="str">
        <f>IFERROR(__xludf.DUMMYFUNCTION("""COMPUTED_VALUE"""),"Kam")</f>
        <v>Kam</v>
      </c>
      <c r="AA14" s="39" t="str">
        <f>IFERROR(__xludf.DUMMYFUNCTION("""COMPUTED_VALUE"""),"yes")</f>
        <v>yes</v>
      </c>
      <c r="AB14" s="39" t="str">
        <f>IFERROR(__xludf.DUMMYFUNCTION("""COMPUTED_VALUE"""),"1743, 533")</f>
        <v>1743, 533</v>
      </c>
      <c r="AC14" s="39" t="str">
        <f>IFERROR(__xludf.DUMMYFUNCTION("""COMPUTED_VALUE"""),"yes")</f>
        <v>yes</v>
      </c>
      <c r="AD14" s="39" t="str">
        <f>IFERROR(__xludf.DUMMYFUNCTION("""COMPUTED_VALUE"""),"yes")</f>
        <v>yes</v>
      </c>
      <c r="AE14" s="39" t="str">
        <f>IFERROR(__xludf.DUMMYFUNCTION("""COMPUTED_VALUE"""),"low helium noiser than typical")</f>
        <v>low helium noiser than typical</v>
      </c>
      <c r="AF14" s="39" t="str">
        <f>IFERROR(__xludf.DUMMYFUNCTION("""COMPUTED_VALUE"""),"Wednesday 11/15/17 @ 9:00am")</f>
        <v>Wednesday 11/15/17 @ 9:00am</v>
      </c>
      <c r="AG14" s="39" t="str">
        <f>IFERROR(__xludf.DUMMYFUNCTION("""COMPUTED_VALUE"""),"Bo")</f>
        <v>Bo</v>
      </c>
      <c r="AH14" s="39" t="str">
        <f>IFERROR(__xludf.DUMMYFUNCTION("""COMPUTED_VALUE"""),"Jeff, Todd")</f>
        <v>Jeff, Todd</v>
      </c>
      <c r="AI14" s="39" t="str">
        <f>IFERROR(__xludf.DUMMYFUNCTION("""COMPUTED_VALUE"""),"sub-nbwr437")</f>
        <v>sub-nbwr437</v>
      </c>
      <c r="AJ14" s="39" t="str">
        <f>IFERROR(__xludf.DUMMYFUNCTION("""COMPUTED_VALUE"""),"sub-nbwr-437_phantom")</f>
        <v>sub-nbwr-437_phantom</v>
      </c>
      <c r="AK14" s="39" t="str">
        <f>IFERROR(__xludf.DUMMYFUNCTION("""COMPUTED_VALUE"""),"11/15/17 @ 10:30")</f>
        <v>11/15/17 @ 10:30</v>
      </c>
      <c r="AL14" s="42">
        <f>IFERROR(__xludf.DUMMYFUNCTION("""COMPUTED_VALUE"""),0.4361111111111111)</f>
        <v>0.4361111111</v>
      </c>
      <c r="AM14" s="39">
        <f>IFERROR(__xludf.DUMMYFUNCTION("""COMPUTED_VALUE"""),22.7)</f>
        <v>22.7</v>
      </c>
      <c r="AN14" s="42">
        <f>IFERROR(__xludf.DUMMYFUNCTION("""COMPUTED_VALUE"""),0.4652777777777778)</f>
        <v>0.4652777778</v>
      </c>
      <c r="AO14" s="39">
        <f>IFERROR(__xludf.DUMMYFUNCTION("""COMPUTED_VALUE"""),23.7)</f>
        <v>23.7</v>
      </c>
      <c r="AP14" s="39" t="str">
        <f>IFERROR(__xludf.DUMMYFUNCTION("""COMPUTED_VALUE"""),"no movie FMRI computer broken, FWHM LT = 17, RT = 18")</f>
        <v>no movie FMRI computer broken, FWHM LT = 17, RT = 18</v>
      </c>
      <c r="AQ14" s="39" t="str">
        <f>IFERROR(__xludf.DUMMYFUNCTION("""COMPUTED_VALUE"""),"NBWR")</f>
        <v>NBWR</v>
      </c>
      <c r="AR14" s="40">
        <f>IFERROR(__xludf.DUMMYFUNCTION("""COMPUTED_VALUE"""),43040.0)</f>
        <v>43040</v>
      </c>
      <c r="AS14" s="40">
        <f>IFERROR(__xludf.DUMMYFUNCTION("""COMPUTED_VALUE"""),43054.0)</f>
        <v>43054</v>
      </c>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row>
    <row r="15">
      <c r="A15" s="50" t="str">
        <f>IFERROR(__xludf.DUMMYFUNCTION("""COMPUTED_VALUE"""),"GABA_438")</f>
        <v>GABA_438</v>
      </c>
      <c r="B15" s="40">
        <f>IFERROR(__xludf.DUMMYFUNCTION("""COMPUTED_VALUE"""),35103.0)</f>
        <v>35103</v>
      </c>
      <c r="C15" s="38">
        <f>IFERROR(__xludf.DUMMYFUNCTION("""COMPUTED_VALUE"""),21.75068493150685)</f>
        <v>21.75068493</v>
      </c>
      <c r="D15" s="39" t="str">
        <f>IFERROR(__xludf.DUMMYFUNCTION("""COMPUTED_VALUE"""),"Male")</f>
        <v>Male</v>
      </c>
      <c r="E15" s="40">
        <f>IFERROR(__xludf.DUMMYFUNCTION("""COMPUTED_VALUE"""),43033.0)</f>
        <v>43033</v>
      </c>
      <c r="F15" s="39" t="str">
        <f>IFERROR(__xludf.DUMMYFUNCTION("""COMPUTED_VALUE"""),"Bo")</f>
        <v>Bo</v>
      </c>
      <c r="G15" s="39" t="str">
        <f>IFERROR(__xludf.DUMMYFUNCTION("""COMPUTED_VALUE"""),"fluoxetine")</f>
        <v>fluoxetine</v>
      </c>
      <c r="H15" s="39" t="str">
        <f>IFERROR(__xludf.DUMMYFUNCTION("""COMPUTED_VALUE"""),"Wednesday and Friday are best, Adi's friend, disqualified due to medications")</f>
        <v>Wednesday and Friday are best, Adi's friend, disqualified due to medications</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40">
        <f>IFERROR(__xludf.DUMMYFUNCTION("""COMPUTED_VALUE"""),43042.0)</f>
        <v>43042</v>
      </c>
      <c r="AS15" s="39"/>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row>
    <row r="16">
      <c r="A16" s="44" t="str">
        <f>IFERROR(__xludf.DUMMYFUNCTION("""COMPUTED_VALUE"""),"GABA_442")</f>
        <v>GABA_442</v>
      </c>
      <c r="B16" s="40">
        <f>IFERROR(__xludf.DUMMYFUNCTION("""COMPUTED_VALUE"""),34935.0)</f>
        <v>34935</v>
      </c>
      <c r="C16" s="38">
        <f>IFERROR(__xludf.DUMMYFUNCTION("""COMPUTED_VALUE"""),22.21095890410959)</f>
        <v>22.2109589</v>
      </c>
      <c r="D16" s="39" t="str">
        <f>IFERROR(__xludf.DUMMYFUNCTION("""COMPUTED_VALUE"""),"Male")</f>
        <v>Male</v>
      </c>
      <c r="E16" s="40">
        <f>IFERROR(__xludf.DUMMYFUNCTION("""COMPUTED_VALUE"""),43035.0)</f>
        <v>43035</v>
      </c>
      <c r="F16" s="39" t="str">
        <f>IFERROR(__xludf.DUMMYFUNCTION("""COMPUTED_VALUE"""),"Bo")</f>
        <v>Bo</v>
      </c>
      <c r="G16" s="39" t="str">
        <f>IFERROR(__xludf.DUMMYFUNCTION("""COMPUTED_VALUE"""),"none")</f>
        <v>none</v>
      </c>
      <c r="H16" s="39" t="str">
        <f>IFERROR(__xludf.DUMMYFUNCTION("""COMPUTED_VALUE"""),"Works during regular hours, prefers AM appointments")</f>
        <v>Works during regular hours, prefers AM appointments</v>
      </c>
      <c r="I16" s="39" t="str">
        <f>IFERROR(__xludf.DUMMYFUNCTION("""COMPUTED_VALUE"""),"Friday 11/3/17 @ 8am")</f>
        <v>Friday 11/3/17 @ 8am</v>
      </c>
      <c r="J16" s="39" t="str">
        <f>IFERROR(__xludf.DUMMYFUNCTION("""COMPUTED_VALUE"""),"Bo")</f>
        <v>Bo</v>
      </c>
      <c r="K16" s="40">
        <f>IFERROR(__xludf.DUMMYFUNCTION("""COMPUTED_VALUE"""),43042.0)</f>
        <v>43042</v>
      </c>
      <c r="L16" s="52">
        <f>IFERROR(__xludf.DUMMYFUNCTION("""COMPUTED_VALUE"""),0.91)</f>
        <v>0.91</v>
      </c>
      <c r="M16" s="40">
        <f>IFERROR(__xludf.DUMMYFUNCTION("""COMPUTED_VALUE"""),43042.0)</f>
        <v>43042</v>
      </c>
      <c r="N16" s="39" t="str">
        <f>IFERROR(__xludf.DUMMYFUNCTION("""COMPUTED_VALUE"""),"Left:  250 Hz")</f>
        <v>Left:  250 Hz</v>
      </c>
      <c r="O16" s="39" t="str">
        <f>IFERROR(__xludf.DUMMYFUNCTION("""COMPUTED_VALUE"""),"n/a")</f>
        <v>n/a</v>
      </c>
      <c r="P16" s="39" t="str">
        <f>IFERROR(__xludf.DUMMYFUNCTION("""COMPUTED_VALUE"""),"White")</f>
        <v>White</v>
      </c>
      <c r="Q16" s="40">
        <f>IFERROR(__xludf.DUMMYFUNCTION("""COMPUTED_VALUE"""),43042.0)</f>
        <v>43042</v>
      </c>
      <c r="R16" s="40">
        <f>IFERROR(__xludf.DUMMYFUNCTION("""COMPUTED_VALUE"""),43042.0)</f>
        <v>43042</v>
      </c>
      <c r="S16" s="39" t="str">
        <f>IFERROR(__xludf.DUMMYFUNCTION("""COMPUTED_VALUE"""),"none")</f>
        <v>none</v>
      </c>
      <c r="T16" s="39" t="str">
        <f>IFERROR(__xludf.DUMMYFUNCTION("""COMPUTED_VALUE"""),"sub-nbwr442_ses001_task-lexicaldecision_run-01_meg_raw/ave.fif")</f>
        <v>sub-nbwr442_ses001_task-lexicaldecision_run-01_meg_raw/ave.fif</v>
      </c>
      <c r="U16" s="39" t="str">
        <f>IFERROR(__xludf.DUMMYFUNCTION("""COMPUTED_VALUE"""),"yes")</f>
        <v>yes</v>
      </c>
      <c r="V16" s="39">
        <f>IFERROR(__xludf.DUMMYFUNCTION("""COMPUTED_VALUE"""),78.5)</f>
        <v>78.5</v>
      </c>
      <c r="W16" s="39">
        <f>IFERROR(__xludf.DUMMYFUNCTION("""COMPUTED_VALUE"""),-71.9)</f>
        <v>-71.9</v>
      </c>
      <c r="X16" s="39">
        <f>IFERROR(__xludf.DUMMYFUNCTION("""COMPUTED_VALUE"""),240.0)</f>
        <v>240</v>
      </c>
      <c r="Y16" s="39" t="str">
        <f>IFERROR(__xludf.DUMMYFUNCTION("""COMPUTED_VALUE"""),"Maggie")</f>
        <v>Maggie</v>
      </c>
      <c r="Z16" s="39" t="str">
        <f>IFERROR(__xludf.DUMMYFUNCTION("""COMPUTED_VALUE"""),"Kam out")</f>
        <v>Kam out</v>
      </c>
      <c r="AA16" s="39" t="str">
        <f>IFERROR(__xludf.DUMMYFUNCTION("""COMPUTED_VALUE"""),"unknown")</f>
        <v>unknown</v>
      </c>
      <c r="AB16" s="39" t="str">
        <f>IFERROR(__xludf.DUMMYFUNCTION("""COMPUTED_VALUE"""),"1743 (off)")</f>
        <v>1743 (off)</v>
      </c>
      <c r="AC16" s="39" t="str">
        <f>IFERROR(__xludf.DUMMYFUNCTION("""COMPUTED_VALUE"""),"61/62")</f>
        <v>61/62</v>
      </c>
      <c r="AD16" s="39">
        <f>IFERROR(__xludf.DUMMYFUNCTION("""COMPUTED_VALUE"""),63.0)</f>
        <v>63</v>
      </c>
      <c r="AE16" s="39" t="str">
        <f>IFERROR(__xludf.DUMMYFUNCTION("""COMPUTED_VALUE"""),"buttons and triggers seen on acq, lights = 75%, good online avg responses, ECG and EOG = good quality")</f>
        <v>buttons and triggers seen on acq, lights = 75%, good online avg responses, ECG and EOG = good quality</v>
      </c>
      <c r="AF16" s="39" t="str">
        <f>IFERROR(__xludf.DUMMYFUNCTION("""COMPUTED_VALUE"""),"Thursday 1/4/18 @ 8:00 am")</f>
        <v>Thursday 1/4/18 @ 8:00 am</v>
      </c>
      <c r="AG16" s="39" t="str">
        <f>IFERROR(__xludf.DUMMYFUNCTION("""COMPUTED_VALUE"""),"Bo")</f>
        <v>Bo</v>
      </c>
      <c r="AH16" s="39" t="str">
        <f>IFERROR(__xludf.DUMMYFUNCTION("""COMPUTED_VALUE"""),"Jeff, Todd")</f>
        <v>Jeff, Todd</v>
      </c>
      <c r="AI16" s="39" t="str">
        <f>IFERROR(__xludf.DUMMYFUNCTION("""COMPUTED_VALUE"""),"sub-nbwr442")</f>
        <v>sub-nbwr442</v>
      </c>
      <c r="AJ16" s="39" t="str">
        <f>IFERROR(__xludf.DUMMYFUNCTION("""COMPUTED_VALUE"""),"sub-nbwr442_phantom")</f>
        <v>sub-nbwr442_phantom</v>
      </c>
      <c r="AK16" s="39" t="str">
        <f>IFERROR(__xludf.DUMMYFUNCTION("""COMPUTED_VALUE"""),"1/4/18 @ 1:00 pm")</f>
        <v>1/4/18 @ 1:00 pm</v>
      </c>
      <c r="AL16" s="56">
        <f>IFERROR(__xludf.DUMMYFUNCTION("""COMPUTED_VALUE"""),0.5555555555555556)</f>
        <v>0.5555555556</v>
      </c>
      <c r="AM16" s="39">
        <f>IFERROR(__xludf.DUMMYFUNCTION("""COMPUTED_VALUE"""),22.3)</f>
        <v>22.3</v>
      </c>
      <c r="AN16" s="42">
        <f>IFERROR(__xludf.DUMMYFUNCTION("""COMPUTED_VALUE"""),0.5729166666666666)</f>
        <v>0.5729166667</v>
      </c>
      <c r="AO16" s="39">
        <f>IFERROR(__xludf.DUMMYFUNCTION("""COMPUTED_VALUE"""),22.7)</f>
        <v>22.7</v>
      </c>
      <c r="AP16" s="39" t="str">
        <f>IFERROR(__xludf.DUMMYFUNCTION("""COMPUTED_VALUE"""),"We called to cancel the day before appt (head coil issue), we will be in touch to reschedule
NO Kam, LT side VOI ANT, RT side VOI post-inf; did extra hi res BImap 1x1x2 5 min (phantom)")</f>
        <v>We called to cancel the day before appt (head coil issue), we will be in touch to reschedule
NO Kam, LT side VOI ANT, RT side VOI post-inf; did extra hi res BImap 1x1x2 5 min (phantom)</v>
      </c>
      <c r="AQ16" s="39"/>
      <c r="AR16" s="40">
        <f>IFERROR(__xludf.DUMMYFUNCTION("""COMPUTED_VALUE"""),43042.0)</f>
        <v>43042</v>
      </c>
      <c r="AS16" s="40">
        <f>IFERROR(__xludf.DUMMYFUNCTION("""COMPUTED_VALUE"""),43104.0)</f>
        <v>43104</v>
      </c>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row>
    <row r="17">
      <c r="A17" s="50" t="str">
        <f>IFERROR(__xludf.DUMMYFUNCTION("""COMPUTED_VALUE"""),"GABA_435")</f>
        <v>GABA_435</v>
      </c>
      <c r="B17" s="40">
        <f>IFERROR(__xludf.DUMMYFUNCTION("""COMPUTED_VALUE"""),35067.0)</f>
        <v>35067</v>
      </c>
      <c r="C17" s="38">
        <f>IFERROR(__xludf.DUMMYFUNCTION("""COMPUTED_VALUE"""),21.85753424657534)</f>
        <v>21.85753425</v>
      </c>
      <c r="D17" s="39" t="str">
        <f>IFERROR(__xludf.DUMMYFUNCTION("""COMPUTED_VALUE"""),"male")</f>
        <v>male</v>
      </c>
      <c r="E17" s="40">
        <f>IFERROR(__xludf.DUMMYFUNCTION("""COMPUTED_VALUE"""),43032.0)</f>
        <v>43032</v>
      </c>
      <c r="F17" s="39" t="str">
        <f>IFERROR(__xludf.DUMMYFUNCTION("""COMPUTED_VALUE"""),"Bo")</f>
        <v>Bo</v>
      </c>
      <c r="G17" s="39" t="str">
        <f>IFERROR(__xludf.DUMMYFUNCTION("""COMPUTED_VALUE"""),"none")</f>
        <v>none</v>
      </c>
      <c r="H17" s="39" t="str">
        <f>IFERROR(__xludf.DUMMYFUNCTION("""COMPUTED_VALUE"""),"VERY DIFFICULT TO SCHEDULE, likely replace if someone easier comes along")</f>
        <v>VERY DIFFICULT TO SCHEDULE, likely replace if someone easier comes along</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40">
        <f>IFERROR(__xludf.DUMMYFUNCTION("""COMPUTED_VALUE"""),43045.0)</f>
        <v>43045</v>
      </c>
      <c r="AS17" s="39"/>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row>
    <row r="18">
      <c r="A18" s="55" t="str">
        <f>IFERROR(__xludf.DUMMYFUNCTION("""COMPUTED_VALUE"""),"GABA_434")</f>
        <v>GABA_434</v>
      </c>
      <c r="B18" s="40">
        <f>IFERROR(__xludf.DUMMYFUNCTION("""COMPUTED_VALUE"""),33777.0)</f>
        <v>33777</v>
      </c>
      <c r="C18" s="38">
        <f>IFERROR(__xludf.DUMMYFUNCTION("""COMPUTED_VALUE"""),25.410958904109588)</f>
        <v>25.4109589</v>
      </c>
      <c r="D18" s="39" t="str">
        <f>IFERROR(__xludf.DUMMYFUNCTION("""COMPUTED_VALUE"""),"male")</f>
        <v>male</v>
      </c>
      <c r="E18" s="40">
        <f>IFERROR(__xludf.DUMMYFUNCTION("""COMPUTED_VALUE"""),43031.0)</f>
        <v>43031</v>
      </c>
      <c r="F18" s="39" t="str">
        <f>IFERROR(__xludf.DUMMYFUNCTION("""COMPUTED_VALUE"""),"Bo")</f>
        <v>Bo</v>
      </c>
      <c r="G18" s="39" t="str">
        <f>IFERROR(__xludf.DUMMYFUNCTION("""COMPUTED_VALUE"""),"none")</f>
        <v>none</v>
      </c>
      <c r="H18" s="39" t="str">
        <f>IFERROR(__xludf.DUMMYFUNCTION("""COMPUTED_VALUE"""),"Prefers M, W, F (M are the best)")</f>
        <v>Prefers M, W, F (M are the best)</v>
      </c>
      <c r="I18" s="39" t="str">
        <f>IFERROR(__xludf.DUMMYFUNCTION("""COMPUTED_VALUE"""),"Mon 11/13/17 @ 4pm")</f>
        <v>Mon 11/13/17 @ 4pm</v>
      </c>
      <c r="J18" s="39" t="str">
        <f>IFERROR(__xludf.DUMMYFUNCTION("""COMPUTED_VALUE"""),"Anna")</f>
        <v>Anna</v>
      </c>
      <c r="K18" s="40">
        <f>IFERROR(__xludf.DUMMYFUNCTION("""COMPUTED_VALUE"""),43052.0)</f>
        <v>43052</v>
      </c>
      <c r="L18" s="51">
        <f>IFERROR(__xludf.DUMMYFUNCTION("""COMPUTED_VALUE"""),0.932)</f>
        <v>0.932</v>
      </c>
      <c r="M18" s="40">
        <f>IFERROR(__xludf.DUMMYFUNCTION("""COMPUTED_VALUE"""),43052.0)</f>
        <v>43052</v>
      </c>
      <c r="N18" s="39" t="str">
        <f>IFERROR(__xludf.DUMMYFUNCTION("""COMPUTED_VALUE"""),"no loss")</f>
        <v>no loss</v>
      </c>
      <c r="O18" s="39" t="str">
        <f>IFERROR(__xludf.DUMMYFUNCTION("""COMPUTED_VALUE"""),"n/a")</f>
        <v>n/a</v>
      </c>
      <c r="P18" s="39" t="str">
        <f>IFERROR(__xludf.DUMMYFUNCTION("""COMPUTED_VALUE"""),"Hispanic/Latino")</f>
        <v>Hispanic/Latino</v>
      </c>
      <c r="Q18" s="40">
        <f>IFERROR(__xludf.DUMMYFUNCTION("""COMPUTED_VALUE"""),43052.0)</f>
        <v>43052</v>
      </c>
      <c r="R18" s="40">
        <f>IFERROR(__xludf.DUMMYFUNCTION("""COMPUTED_VALUE"""),43052.0)</f>
        <v>43052</v>
      </c>
      <c r="S18" s="39" t="str">
        <f>IFERROR(__xludf.DUMMYFUNCTION("""COMPUTED_VALUE"""),"permanent retainer")</f>
        <v>permanent retainer</v>
      </c>
      <c r="T18" s="39" t="str">
        <f>IFERROR(__xludf.DUMMYFUNCTION("""COMPUTED_VALUE"""),"sub-nbwr434_ses001_task-lexicaldecision_run-01_meg_raw.fif")</f>
        <v>sub-nbwr434_ses001_task-lexicaldecision_run-01_meg_raw.fif</v>
      </c>
      <c r="U18" s="39" t="str">
        <f>IFERROR(__xludf.DUMMYFUNCTION("""COMPUTED_VALUE"""),"yes")</f>
        <v>yes</v>
      </c>
      <c r="V18" s="39">
        <f>IFERROR(__xludf.DUMMYFUNCTION("""COMPUTED_VALUE"""),72.9)</f>
        <v>72.9</v>
      </c>
      <c r="W18" s="39">
        <f>IFERROR(__xludf.DUMMYFUNCTION("""COMPUTED_VALUE"""),-70.7)</f>
        <v>-70.7</v>
      </c>
      <c r="X18" s="39">
        <f>IFERROR(__xludf.DUMMYFUNCTION("""COMPUTED_VALUE"""),240.0)</f>
        <v>240</v>
      </c>
      <c r="Y18" s="39" t="str">
        <f>IFERROR(__xludf.DUMMYFUNCTION("""COMPUTED_VALUE"""),"Maggie")</f>
        <v>Maggie</v>
      </c>
      <c r="Z18" s="39" t="str">
        <f>IFERROR(__xludf.DUMMYFUNCTION("""COMPUTED_VALUE"""),"Kam")</f>
        <v>Kam</v>
      </c>
      <c r="AA18" s="39" t="str">
        <f>IFERROR(__xludf.DUMMYFUNCTION("""COMPUTED_VALUE"""),"yes")</f>
        <v>yes</v>
      </c>
      <c r="AB18" s="39" t="str">
        <f>IFERROR(__xludf.DUMMYFUNCTION("""COMPUTED_VALUE"""),"1743 (off) 1543 (noises)")</f>
        <v>1743 (off) 1543 (noises)</v>
      </c>
      <c r="AC18" s="39" t="str">
        <f>IFERROR(__xludf.DUMMYFUNCTION("""COMPUTED_VALUE"""),"61/62")</f>
        <v>61/62</v>
      </c>
      <c r="AD18" s="39">
        <f>IFERROR(__xludf.DUMMYFUNCTION("""COMPUTED_VALUE"""),63.0)</f>
        <v>63</v>
      </c>
      <c r="AE18" s="39" t="str">
        <f>IFERROR(__xludf.DUMMYFUNCTION("""COMPUTED_VALUE"""),"buttons and triggers seen on acq, EOG = good, ECK = ok, retainers causing some noise (no chs saturated) online avgs = good")</f>
        <v>buttons and triggers seen on acq, EOG = good, ECK = ok, retainers causing some noise (no chs saturated) online avgs = good</v>
      </c>
      <c r="AF18" s="39" t="str">
        <f>IFERROR(__xludf.DUMMYFUNCTION("""COMPUTED_VALUE"""),"coil problem 11/28/17, called 1/2 to reschedule, left VM")</f>
        <v>coil problem 11/28/17, called 1/2 to reschedule, left VM</v>
      </c>
      <c r="AG18" s="39" t="str">
        <f>IFERROR(__xludf.DUMMYFUNCTION("""COMPUTED_VALUE"""),"Anna")</f>
        <v>Anna</v>
      </c>
      <c r="AH18" s="39"/>
      <c r="AI18" s="39"/>
      <c r="AJ18" s="39"/>
      <c r="AK18" s="39"/>
      <c r="AL18" s="39"/>
      <c r="AM18" s="39"/>
      <c r="AN18" s="39"/>
      <c r="AO18" s="39"/>
      <c r="AP18" s="39" t="str">
        <f>IFERROR(__xludf.DUMMYFUNCTION("""COMPUTED_VALUE"""),"Got a new job, unable to continue with study.")</f>
        <v>Got a new job, unable to continue with study.</v>
      </c>
      <c r="AQ18" s="39"/>
      <c r="AR18" s="40">
        <f>IFERROR(__xludf.DUMMYFUNCTION("""COMPUTED_VALUE"""),43052.0)</f>
        <v>43052</v>
      </c>
      <c r="AS18" s="39"/>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row>
    <row r="19">
      <c r="A19" s="44" t="str">
        <f>IFERROR(__xludf.DUMMYFUNCTION("""COMPUTED_VALUE"""),"GABA_444")</f>
        <v>GABA_444</v>
      </c>
      <c r="B19" s="40">
        <f>IFERROR(__xludf.DUMMYFUNCTION("""COMPUTED_VALUE"""),34315.0)</f>
        <v>34315</v>
      </c>
      <c r="C19" s="38">
        <f>IFERROR(__xludf.DUMMYFUNCTION("""COMPUTED_VALUE"""),23.936986301369863)</f>
        <v>23.9369863</v>
      </c>
      <c r="D19" s="39" t="str">
        <f>IFERROR(__xludf.DUMMYFUNCTION("""COMPUTED_VALUE"""),"Male")</f>
        <v>Male</v>
      </c>
      <c r="E19" s="40">
        <f>IFERROR(__xludf.DUMMYFUNCTION("""COMPUTED_VALUE"""),43045.0)</f>
        <v>43045</v>
      </c>
      <c r="F19" s="39" t="str">
        <f>IFERROR(__xludf.DUMMYFUNCTION("""COMPUTED_VALUE"""),"Bo")</f>
        <v>Bo</v>
      </c>
      <c r="G19" s="39" t="str">
        <f>IFERROR(__xludf.DUMMYFUNCTION("""COMPUTED_VALUE"""),"none")</f>
        <v>none</v>
      </c>
      <c r="H19" s="39"/>
      <c r="I19" s="39" t="str">
        <f>IFERROR(__xludf.DUMMYFUNCTION("""COMPUTED_VALUE"""),"Mon 11/13/17 @ 2:30pm; Monday 12/4/17 @ 1:00 pm")</f>
        <v>Mon 11/13/17 @ 2:30pm; Monday 12/4/17 @ 1:00 pm</v>
      </c>
      <c r="J19" s="39" t="str">
        <f>IFERROR(__xludf.DUMMYFUNCTION("""COMPUTED_VALUE"""),"Bo and Anna")</f>
        <v>Bo and Anna</v>
      </c>
      <c r="K19" s="40">
        <f>IFERROR(__xludf.DUMMYFUNCTION("""COMPUTED_VALUE"""),43052.0)</f>
        <v>43052</v>
      </c>
      <c r="L19" s="51">
        <f>IFERROR(__xludf.DUMMYFUNCTION("""COMPUTED_VALUE"""),0.795)</f>
        <v>0.795</v>
      </c>
      <c r="M19" s="40">
        <f>IFERROR(__xludf.DUMMYFUNCTION("""COMPUTED_VALUE"""),43052.0)</f>
        <v>43052</v>
      </c>
      <c r="N19" s="39" t="str">
        <f>IFERROR(__xludf.DUMMYFUNCTION("""COMPUTED_VALUE"""),"no loss")</f>
        <v>no loss</v>
      </c>
      <c r="O19" s="39" t="str">
        <f>IFERROR(__xludf.DUMMYFUNCTION("""COMPUTED_VALUE"""),"n/a")</f>
        <v>n/a</v>
      </c>
      <c r="P19" s="39" t="str">
        <f>IFERROR(__xludf.DUMMYFUNCTION("""COMPUTED_VALUE"""),"Hispanic/Latino")</f>
        <v>Hispanic/Latino</v>
      </c>
      <c r="Q19" s="40">
        <f>IFERROR(__xludf.DUMMYFUNCTION("""COMPUTED_VALUE"""),43052.0)</f>
        <v>43052</v>
      </c>
      <c r="R19" s="40">
        <f>IFERROR(__xludf.DUMMYFUNCTION("""COMPUTED_VALUE"""),43052.0)</f>
        <v>43052</v>
      </c>
      <c r="S19" s="39" t="str">
        <f>IFERROR(__xludf.DUMMYFUNCTION("""COMPUTED_VALUE"""),"none")</f>
        <v>none</v>
      </c>
      <c r="T19" s="39" t="str">
        <f>IFERROR(__xludf.DUMMYFUNCTION("""COMPUTED_VALUE"""),"sub_nbwr444_ses001_task-lexicaldecision_run-01_meg-raw; sub_nbwr444_ses001_task-lexicaldecision_run-01_meg-raw.fif")</f>
        <v>sub_nbwr444_ses001_task-lexicaldecision_run-01_meg-raw; sub_nbwr444_ses001_task-lexicaldecision_run-01_meg-raw.fif</v>
      </c>
      <c r="U19" s="39" t="str">
        <f>IFERROR(__xludf.DUMMYFUNCTION("""COMPUTED_VALUE"""),"Yes")</f>
        <v>Yes</v>
      </c>
      <c r="V19" s="39" t="str">
        <f>IFERROR(__xludf.DUMMYFUNCTION("""COMPUTED_VALUE"""),"77; 77.6")</f>
        <v>77; 77.6</v>
      </c>
      <c r="W19" s="39">
        <f>IFERROR(__xludf.DUMMYFUNCTION("""COMPUTED_VALUE"""),-75.1)</f>
        <v>-75.1</v>
      </c>
      <c r="X19" s="39">
        <f>IFERROR(__xludf.DUMMYFUNCTION("""COMPUTED_VALUE"""),240.0)</f>
        <v>240</v>
      </c>
      <c r="Y19" s="39" t="str">
        <f>IFERROR(__xludf.DUMMYFUNCTION("""COMPUTED_VALUE"""),"Maggie; Kam")</f>
        <v>Maggie; Kam</v>
      </c>
      <c r="Z19" s="39" t="str">
        <f>IFERROR(__xludf.DUMMYFUNCTION("""COMPUTED_VALUE"""),"Kam")</f>
        <v>Kam</v>
      </c>
      <c r="AA19" s="39" t="str">
        <f>IFERROR(__xludf.DUMMYFUNCTION("""COMPUTED_VALUE"""),"Yes")</f>
        <v>Yes</v>
      </c>
      <c r="AB19" s="39" t="str">
        <f>IFERROR(__xludf.DUMMYFUNCTION("""COMPUTED_VALUE"""),"1743; 1743 off")</f>
        <v>1743; 1743 off</v>
      </c>
      <c r="AC19" s="39" t="str">
        <f>IFERROR(__xludf.DUMMYFUNCTION("""COMPUTED_VALUE"""),"61/62")</f>
        <v>61/62</v>
      </c>
      <c r="AD19" s="39">
        <f>IFERROR(__xludf.DUMMYFUNCTION("""COMPUTED_VALUE"""),63.0)</f>
        <v>63</v>
      </c>
      <c r="AE19" s="39" t="str">
        <f>IFERROR(__xludf.DUMMYFUNCTION("""COMPUTED_VALUE"""),"good EOG and ECG, buttons and triggers seen on Acq, good online avgs; 5/5 cHPI accepted. EOG activity still remarkable. On line averaging robust ERFs")</f>
        <v>good EOG and ECG, buttons and triggers seen on Acq, good online avgs; 5/5 cHPI accepted. EOG activity still remarkable. On line averaging robust ERFs</v>
      </c>
      <c r="AF19" s="39" t="str">
        <f>IFERROR(__xludf.DUMMYFUNCTION("""COMPUTED_VALUE"""),"Wednesday 11/22/17 @1:00pm")</f>
        <v>Wednesday 11/22/17 @1:00pm</v>
      </c>
      <c r="AG19" s="39" t="str">
        <f>IFERROR(__xludf.DUMMYFUNCTION("""COMPUTED_VALUE"""),"Anna and Bo")</f>
        <v>Anna and Bo</v>
      </c>
      <c r="AH19" s="39" t="str">
        <f>IFERROR(__xludf.DUMMYFUNCTION("""COMPUTED_VALUE"""),"Jeff, Todd")</f>
        <v>Jeff, Todd</v>
      </c>
      <c r="AI19" s="39" t="str">
        <f>IFERROR(__xludf.DUMMYFUNCTION("""COMPUTED_VALUE"""),"sub-nbwr444")</f>
        <v>sub-nbwr444</v>
      </c>
      <c r="AJ19" s="39" t="str">
        <f>IFERROR(__xludf.DUMMYFUNCTION("""COMPUTED_VALUE"""),"sub-nbwr444_phantom")</f>
        <v>sub-nbwr444_phantom</v>
      </c>
      <c r="AK19" s="39" t="str">
        <f>IFERROR(__xludf.DUMMYFUNCTION("""COMPUTED_VALUE"""),"11/22/17 @ 2:15pm")</f>
        <v>11/22/17 @ 2:15pm</v>
      </c>
      <c r="AL19" s="42">
        <f>IFERROR(__xludf.DUMMYFUNCTION("""COMPUTED_VALUE"""),0.5972222222222222)</f>
        <v>0.5972222222</v>
      </c>
      <c r="AM19" s="39">
        <f>IFERROR(__xludf.DUMMYFUNCTION("""COMPUTED_VALUE"""),23.1)</f>
        <v>23.1</v>
      </c>
      <c r="AN19" s="42">
        <f>IFERROR(__xludf.DUMMYFUNCTION("""COMPUTED_VALUE"""),0.6284722222222222)</f>
        <v>0.6284722222</v>
      </c>
      <c r="AO19" s="39">
        <f>IFERROR(__xludf.DUMMYFUNCTION("""COMPUTED_VALUE"""),24.1)</f>
        <v>24.1</v>
      </c>
      <c r="AP19" s="39" t="str">
        <f>IFERROR(__xludf.DUMMYFUNCTION("""COMPUTED_VALUE"""),"schedueld redo MEG for 12/4/17 @ 1pm, FWHMLT = 16Hg, RT=15")</f>
        <v>schedueld redo MEG for 12/4/17 @ 1pm, FWHMLT = 16Hg, RT=15</v>
      </c>
      <c r="AQ19" s="39" t="str">
        <f>IFERROR(__xludf.DUMMYFUNCTION("""COMPUTED_VALUE"""),"NBWR")</f>
        <v>NBWR</v>
      </c>
      <c r="AR19" s="40">
        <f>IFERROR(__xludf.DUMMYFUNCTION("""COMPUTED_VALUE"""),43052.0)</f>
        <v>43052</v>
      </c>
      <c r="AS19" s="40">
        <f>IFERROR(__xludf.DUMMYFUNCTION("""COMPUTED_VALUE"""),43061.0)</f>
        <v>43061</v>
      </c>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row>
    <row r="20">
      <c r="A20" s="55" t="str">
        <f>IFERROR(__xludf.DUMMYFUNCTION("""COMPUTED_VALUE"""),"GABA_443")</f>
        <v>GABA_443</v>
      </c>
      <c r="B20" s="40">
        <f>IFERROR(__xludf.DUMMYFUNCTION("""COMPUTED_VALUE"""),34175.0)</f>
        <v>34175</v>
      </c>
      <c r="C20" s="38">
        <f>IFERROR(__xludf.DUMMYFUNCTION("""COMPUTED_VALUE"""),24.339726027397262)</f>
        <v>24.33972603</v>
      </c>
      <c r="D20" s="39" t="str">
        <f>IFERROR(__xludf.DUMMYFUNCTION("""COMPUTED_VALUE"""),"Male")</f>
        <v>Male</v>
      </c>
      <c r="E20" s="40">
        <f>IFERROR(__xludf.DUMMYFUNCTION("""COMPUTED_VALUE"""),43038.0)</f>
        <v>43038</v>
      </c>
      <c r="F20" s="39" t="str">
        <f>IFERROR(__xludf.DUMMYFUNCTION("""COMPUTED_VALUE"""),"Bo")</f>
        <v>Bo</v>
      </c>
      <c r="G20" s="39" t="str">
        <f>IFERROR(__xludf.DUMMYFUNCTION("""COMPUTED_VALUE"""),"none")</f>
        <v>none</v>
      </c>
      <c r="H20" s="39" t="str">
        <f>IFERROR(__xludf.DUMMYFUNCTION("""COMPUTED_VALUE"""),"Mon and Tues later afternoon are best, needed to reschedule due to low helium problem")</f>
        <v>Mon and Tues later afternoon are best, needed to reschedule due to low helium problem</v>
      </c>
      <c r="I20" s="39" t="str">
        <f>IFERROR(__xludf.DUMMYFUNCTION("""COMPUTED_VALUE"""),"Mon 11/20/17 @ 3pm")</f>
        <v>Mon 11/20/17 @ 3pm</v>
      </c>
      <c r="J20" s="39" t="str">
        <f>IFERROR(__xludf.DUMMYFUNCTION("""COMPUTED_VALUE"""),"Anna")</f>
        <v>Anna</v>
      </c>
      <c r="K20" s="40">
        <f>IFERROR(__xludf.DUMMYFUNCTION("""COMPUTED_VALUE"""),43059.0)</f>
        <v>43059</v>
      </c>
      <c r="L20" s="51">
        <f>IFERROR(__xludf.DUMMYFUNCTION("""COMPUTED_VALUE"""),0.818)</f>
        <v>0.818</v>
      </c>
      <c r="M20" s="40">
        <f>IFERROR(__xludf.DUMMYFUNCTION("""COMPUTED_VALUE"""),43059.0)</f>
        <v>43059</v>
      </c>
      <c r="N20" s="39" t="str">
        <f>IFERROR(__xludf.DUMMYFUNCTION("""COMPUTED_VALUE"""),"no loss")</f>
        <v>no loss</v>
      </c>
      <c r="O20" s="39" t="str">
        <f>IFERROR(__xludf.DUMMYFUNCTION("""COMPUTED_VALUE"""),"n/a")</f>
        <v>n/a</v>
      </c>
      <c r="P20" s="39" t="str">
        <f>IFERROR(__xludf.DUMMYFUNCTION("""COMPUTED_VALUE"""),"White")</f>
        <v>White</v>
      </c>
      <c r="Q20" s="40">
        <f>IFERROR(__xludf.DUMMYFUNCTION("""COMPUTED_VALUE"""),43059.0)</f>
        <v>43059</v>
      </c>
      <c r="R20" s="40">
        <f>IFERROR(__xludf.DUMMYFUNCTION("""COMPUTED_VALUE"""),43059.0)</f>
        <v>43059</v>
      </c>
      <c r="S20" s="39" t="str">
        <f>IFERROR(__xludf.DUMMYFUNCTION("""COMPUTED_VALUE"""),"none")</f>
        <v>none</v>
      </c>
      <c r="T20" s="39" t="str">
        <f>IFERROR(__xludf.DUMMYFUNCTION("""COMPUTED_VALUE"""),"sub-nbwr443_ses001_task-lexicaldecision_run-01_meg-raw.fif")</f>
        <v>sub-nbwr443_ses001_task-lexicaldecision_run-01_meg-raw.fif</v>
      </c>
      <c r="U20" s="39" t="str">
        <f>IFERROR(__xludf.DUMMYFUNCTION("""COMPUTED_VALUE"""),"yes")</f>
        <v>yes</v>
      </c>
      <c r="V20" s="39">
        <f>IFERROR(__xludf.DUMMYFUNCTION("""COMPUTED_VALUE"""),71.7)</f>
        <v>71.7</v>
      </c>
      <c r="W20" s="39">
        <f>IFERROR(__xludf.DUMMYFUNCTION("""COMPUTED_VALUE"""),-72.0)</f>
        <v>-72</v>
      </c>
      <c r="X20" s="39">
        <f>IFERROR(__xludf.DUMMYFUNCTION("""COMPUTED_VALUE"""),240.0)</f>
        <v>240</v>
      </c>
      <c r="Y20" s="39" t="str">
        <f>IFERROR(__xludf.DUMMYFUNCTION("""COMPUTED_VALUE"""),"Myles")</f>
        <v>Myles</v>
      </c>
      <c r="Z20" s="39" t="str">
        <f>IFERROR(__xludf.DUMMYFUNCTION("""COMPUTED_VALUE"""),"Kam")</f>
        <v>Kam</v>
      </c>
      <c r="AA20" s="39" t="str">
        <f>IFERROR(__xludf.DUMMYFUNCTION("""COMPUTED_VALUE"""),"yes")</f>
        <v>yes</v>
      </c>
      <c r="AB20" s="39">
        <f>IFERROR(__xludf.DUMMYFUNCTION("""COMPUTED_VALUE"""),1743.0)</f>
        <v>1743</v>
      </c>
      <c r="AC20" s="39" t="str">
        <f>IFERROR(__xludf.DUMMYFUNCTION("""COMPUTED_VALUE"""),"61/62")</f>
        <v>61/62</v>
      </c>
      <c r="AD20" s="39">
        <f>IFERROR(__xludf.DUMMYFUNCTION("""COMPUTED_VALUE"""),63.0)</f>
        <v>63</v>
      </c>
      <c r="AE20" s="39" t="str">
        <f>IFERROR(__xludf.DUMMYFUNCTION("""COMPUTED_VALUE"""),"bad ch 1743")</f>
        <v>bad ch 1743</v>
      </c>
      <c r="AF20" s="39" t="str">
        <f>IFERROR(__xludf.DUMMYFUNCTION("""COMPUTED_VALUE"""),"1/23/18 @ 2:30pm")</f>
        <v>1/23/18 @ 2:30pm</v>
      </c>
      <c r="AG20" s="39" t="str">
        <f>IFERROR(__xludf.DUMMYFUNCTION("""COMPUTED_VALUE"""),"Anna")</f>
        <v>Anna</v>
      </c>
      <c r="AH20" s="39" t="str">
        <f>IFERROR(__xludf.DUMMYFUNCTION("""COMPUTED_VALUE"""),"Jeff, Todd")</f>
        <v>Jeff, Todd</v>
      </c>
      <c r="AI20" s="39" t="str">
        <f>IFERROR(__xludf.DUMMYFUNCTION("""COMPUTED_VALUE"""),"sub_nbwr443")</f>
        <v>sub_nbwr443</v>
      </c>
      <c r="AJ20" s="39" t="str">
        <f>IFERROR(__xludf.DUMMYFUNCTION("""COMPUTED_VALUE"""),"sub-nbwr443_phantom")</f>
        <v>sub-nbwr443_phantom</v>
      </c>
      <c r="AK20" s="39" t="str">
        <f>IFERROR(__xludf.DUMMYFUNCTION("""COMPUTED_VALUE"""),"1/23/18 @ 1:50")</f>
        <v>1/23/18 @ 1:50</v>
      </c>
      <c r="AL20" s="42">
        <f>IFERROR(__xludf.DUMMYFUNCTION("""COMPUTED_VALUE"""),0.5763888888888888)</f>
        <v>0.5763888889</v>
      </c>
      <c r="AM20" s="39">
        <f>IFERROR(__xludf.DUMMYFUNCTION("""COMPUTED_VALUE"""),21.7)</f>
        <v>21.7</v>
      </c>
      <c r="AN20" s="42">
        <f>IFERROR(__xludf.DUMMYFUNCTION("""COMPUTED_VALUE"""),0.6111111111111112)</f>
        <v>0.6111111111</v>
      </c>
      <c r="AO20" s="39">
        <f>IFERROR(__xludf.DUMMYFUNCTION("""COMPUTED_VALUE"""),22.1)</f>
        <v>22.1</v>
      </c>
      <c r="AP20" s="39" t="str">
        <f>IFERROR(__xludf.DUMMYFUNCTION("""COMPUTED_VALUE"""),"Todd killed [phantom] scan by opening door during IRS; FWHM LT = 16 Hz, RT = ")</f>
        <v>Todd killed [phantom] scan by opening door during IRS; FWHM LT = 16 Hz, RT = </v>
      </c>
      <c r="AQ20" s="39"/>
      <c r="AR20" s="40">
        <f>IFERROR(__xludf.DUMMYFUNCTION("""COMPUTED_VALUE"""),43059.0)</f>
        <v>43059</v>
      </c>
      <c r="AS20" s="40">
        <f>IFERROR(__xludf.DUMMYFUNCTION("""COMPUTED_VALUE"""),43123.0)</f>
        <v>43123</v>
      </c>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row>
    <row r="21">
      <c r="A21" s="55" t="str">
        <f>IFERROR(__xludf.DUMMYFUNCTION("""COMPUTED_VALUE"""),"GABA_440")</f>
        <v>GABA_440</v>
      </c>
      <c r="B21" s="40">
        <f>IFERROR(__xludf.DUMMYFUNCTION("""COMPUTED_VALUE"""),35086.0)</f>
        <v>35086</v>
      </c>
      <c r="C21" s="38">
        <f>IFERROR(__xludf.DUMMYFUNCTION("""COMPUTED_VALUE"""),21.846575342465755)</f>
        <v>21.84657534</v>
      </c>
      <c r="D21" s="39" t="str">
        <f>IFERROR(__xludf.DUMMYFUNCTION("""COMPUTED_VALUE"""),"Male")</f>
        <v>Male</v>
      </c>
      <c r="E21" s="40">
        <f>IFERROR(__xludf.DUMMYFUNCTION("""COMPUTED_VALUE"""),43039.0)</f>
        <v>43039</v>
      </c>
      <c r="F21" s="39" t="str">
        <f>IFERROR(__xludf.DUMMYFUNCTION("""COMPUTED_VALUE"""),"Bo")</f>
        <v>Bo</v>
      </c>
      <c r="G21" s="39" t="str">
        <f>IFERROR(__xludf.DUMMYFUNCTION("""COMPUTED_VALUE"""),"none")</f>
        <v>none</v>
      </c>
      <c r="H21" s="39" t="str">
        <f>IFERROR(__xludf.DUMMYFUNCTION("""COMPUTED_VALUE"""),"Prefers the morning, has class starting around 1:30  pm everyday, needed to reschedule due to low helium problem")</f>
        <v>Prefers the morning, has class starting around 1:30  pm everyday, needed to reschedule due to low helium problem</v>
      </c>
      <c r="I21" s="39" t="str">
        <f>IFERROR(__xludf.DUMMYFUNCTION("""COMPUTED_VALUE"""),"Tuesday 11/21/17 @ 11:00 am")</f>
        <v>Tuesday 11/21/17 @ 11:00 am</v>
      </c>
      <c r="J21" s="39" t="str">
        <f>IFERROR(__xludf.DUMMYFUNCTION("""COMPUTED_VALUE"""),"Bo, Anna, Nour")</f>
        <v>Bo, Anna, Nour</v>
      </c>
      <c r="K21" s="40">
        <f>IFERROR(__xludf.DUMMYFUNCTION("""COMPUTED_VALUE"""),43060.0)</f>
        <v>43060</v>
      </c>
      <c r="L21" s="51">
        <f>IFERROR(__xludf.DUMMYFUNCTION("""COMPUTED_VALUE"""),0.977)</f>
        <v>0.977</v>
      </c>
      <c r="M21" s="40">
        <f>IFERROR(__xludf.DUMMYFUNCTION("""COMPUTED_VALUE"""),43060.0)</f>
        <v>43060</v>
      </c>
      <c r="N21" s="39" t="str">
        <f>IFERROR(__xludf.DUMMYFUNCTION("""COMPUTED_VALUE"""),"Right: 6KHz")</f>
        <v>Right: 6KHz</v>
      </c>
      <c r="O21" s="39" t="str">
        <f>IFERROR(__xludf.DUMMYFUNCTION("""COMPUTED_VALUE"""),"n/a")</f>
        <v>n/a</v>
      </c>
      <c r="P21" s="39" t="str">
        <f>IFERROR(__xludf.DUMMYFUNCTION("""COMPUTED_VALUE"""),"White")</f>
        <v>White</v>
      </c>
      <c r="Q21" s="40">
        <f>IFERROR(__xludf.DUMMYFUNCTION("""COMPUTED_VALUE"""),43060.0)</f>
        <v>43060</v>
      </c>
      <c r="R21" s="40">
        <f>IFERROR(__xludf.DUMMYFUNCTION("""COMPUTED_VALUE"""),43060.0)</f>
        <v>43060</v>
      </c>
      <c r="S21" s="39" t="str">
        <f>IFERROR(__xludf.DUMMYFUNCTION("""COMPUTED_VALUE"""),"none")</f>
        <v>none</v>
      </c>
      <c r="T21" s="39" t="str">
        <f>IFERROR(__xludf.DUMMYFUNCTION("""COMPUTED_VALUE"""),"sub-nbwr440_ses001_task-lexicxaldecision_run-01_meg-raw.fif")</f>
        <v>sub-nbwr440_ses001_task-lexicxaldecision_run-01_meg-raw.fif</v>
      </c>
      <c r="U21" s="39" t="str">
        <f>IFERROR(__xludf.DUMMYFUNCTION("""COMPUTED_VALUE"""),"yes")</f>
        <v>yes</v>
      </c>
      <c r="V21" s="39">
        <f>IFERROR(__xludf.DUMMYFUNCTION("""COMPUTED_VALUE"""),78.8)</f>
        <v>78.8</v>
      </c>
      <c r="W21" s="39">
        <f>IFERROR(__xludf.DUMMYFUNCTION("""COMPUTED_VALUE"""),-72.5)</f>
        <v>-72.5</v>
      </c>
      <c r="X21" s="39">
        <f>IFERROR(__xludf.DUMMYFUNCTION("""COMPUTED_VALUE"""),240.0)</f>
        <v>240</v>
      </c>
      <c r="Y21" s="39" t="str">
        <f>IFERROR(__xludf.DUMMYFUNCTION("""COMPUTED_VALUE"""),"Maggie")</f>
        <v>Maggie</v>
      </c>
      <c r="Z21" s="39" t="str">
        <f>IFERROR(__xludf.DUMMYFUNCTION("""COMPUTED_VALUE"""),"Kam")</f>
        <v>Kam</v>
      </c>
      <c r="AA21" s="39" t="str">
        <f>IFERROR(__xludf.DUMMYFUNCTION("""COMPUTED_VALUE"""),"yes")</f>
        <v>yes</v>
      </c>
      <c r="AB21" s="39" t="str">
        <f>IFERROR(__xludf.DUMMYFUNCTION("""COMPUTED_VALUE"""),"1743 (off)")</f>
        <v>1743 (off)</v>
      </c>
      <c r="AC21" s="39" t="str">
        <f>IFERROR(__xludf.DUMMYFUNCTION("""COMPUTED_VALUE"""),"61/62")</f>
        <v>61/62</v>
      </c>
      <c r="AD21" s="39">
        <f>IFERROR(__xludf.DUMMYFUNCTION("""COMPUTED_VALUE"""),63.0)</f>
        <v>63</v>
      </c>
      <c r="AE21" s="39" t="str">
        <f>IFERROR(__xludf.DUMMYFUNCTION("""COMPUTED_VALUE"""),"triggers + buttons seen on acq, lights @ 70%, EOG + ECG = good, add pts 257")</f>
        <v>triggers + buttons seen on acq, lights @ 70%, EOG + ECG = good, add pts 257</v>
      </c>
      <c r="AF21" s="39" t="str">
        <f>IFERROR(__xludf.DUMMYFUNCTION("""COMPUTED_VALUE"""),"1/2/18 @ 11am")</f>
        <v>1/2/18 @ 11am</v>
      </c>
      <c r="AG21" s="39" t="str">
        <f>IFERROR(__xludf.DUMMYFUNCTION("""COMPUTED_VALUE"""),"Anna")</f>
        <v>Anna</v>
      </c>
      <c r="AH21" s="39" t="str">
        <f>IFERROR(__xludf.DUMMYFUNCTION("""COMPUTED_VALUE"""),"Jeff, Todd")</f>
        <v>Jeff, Todd</v>
      </c>
      <c r="AI21" s="39" t="str">
        <f>IFERROR(__xludf.DUMMYFUNCTION("""COMPUTED_VALUE"""),"sub-nbwr440")</f>
        <v>sub-nbwr440</v>
      </c>
      <c r="AJ21" s="39" t="str">
        <f>IFERROR(__xludf.DUMMYFUNCTION("""COMPUTED_VALUE"""),"sub-nbwr440_phantom")</f>
        <v>sub-nbwr440_phantom</v>
      </c>
      <c r="AK21" s="39" t="str">
        <f>IFERROR(__xludf.DUMMYFUNCTION("""COMPUTED_VALUE"""),"1/2/18 @ 12:20pm")</f>
        <v>1/2/18 @ 12:20pm</v>
      </c>
      <c r="AL21" s="42">
        <f>IFERROR(__xludf.DUMMYFUNCTION("""COMPUTED_VALUE"""),0.5138888888888888)</f>
        <v>0.5138888889</v>
      </c>
      <c r="AM21" s="39">
        <f>IFERROR(__xludf.DUMMYFUNCTION("""COMPUTED_VALUE"""),22.5)</f>
        <v>22.5</v>
      </c>
      <c r="AN21" s="42">
        <f>IFERROR(__xludf.DUMMYFUNCTION("""COMPUTED_VALUE"""),0.5416666666666666)</f>
        <v>0.5416666667</v>
      </c>
      <c r="AO21" s="39">
        <f>IFERROR(__xludf.DUMMYFUNCTION("""COMPUTED_VALUE"""),22.8)</f>
        <v>22.8</v>
      </c>
      <c r="AP21" s="39" t="str">
        <f>IFERROR(__xludf.DUMMYFUNCTION("""COMPUTED_VALUE"""),"FWHM LT=15 Hg, RT= 15, problem with projector, Todd's magic fixed it, No MEG DSPM's, where's Kam?")</f>
        <v>FWHM LT=15 Hg, RT= 15, problem with projector, Todd's magic fixed it, No MEG DSPM's, where's Kam?</v>
      </c>
      <c r="AQ21" s="39"/>
      <c r="AR21" s="40">
        <f>IFERROR(__xludf.DUMMYFUNCTION("""COMPUTED_VALUE"""),43060.0)</f>
        <v>43060</v>
      </c>
      <c r="AS21" s="40">
        <f>IFERROR(__xludf.DUMMYFUNCTION("""COMPUTED_VALUE"""),43082.0)</f>
        <v>43082</v>
      </c>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row>
    <row r="22">
      <c r="A22" s="55" t="str">
        <f>IFERROR(__xludf.DUMMYFUNCTION("""COMPUTED_VALUE"""),"GABA_447")</f>
        <v>GABA_447</v>
      </c>
      <c r="B22" s="40">
        <f>IFERROR(__xludf.DUMMYFUNCTION("""COMPUTED_VALUE"""),34864.0)</f>
        <v>34864</v>
      </c>
      <c r="C22" s="38">
        <f>IFERROR(__xludf.DUMMYFUNCTION("""COMPUTED_VALUE"""),22.471232876712328)</f>
        <v>22.47123288</v>
      </c>
      <c r="D22" s="39" t="str">
        <f>IFERROR(__xludf.DUMMYFUNCTION("""COMPUTED_VALUE"""),"Male")</f>
        <v>Male</v>
      </c>
      <c r="E22" s="40">
        <f>IFERROR(__xludf.DUMMYFUNCTION("""COMPUTED_VALUE"""),43048.0)</f>
        <v>43048</v>
      </c>
      <c r="F22" s="39" t="str">
        <f>IFERROR(__xludf.DUMMYFUNCTION("""COMPUTED_VALUE"""),"Bo")</f>
        <v>Bo</v>
      </c>
      <c r="G22" s="39" t="str">
        <f>IFERROR(__xludf.DUMMYFUNCTION("""COMPUTED_VALUE"""),"none")</f>
        <v>none</v>
      </c>
      <c r="H22" s="39" t="str">
        <f>IFERROR(__xludf.DUMMYFUNCTION("""COMPUTED_VALUE"""),"needed to reschedule MEG because work schedule changed")</f>
        <v>needed to reschedule MEG because work schedule changed</v>
      </c>
      <c r="I22" s="39" t="str">
        <f>IFERROR(__xludf.DUMMYFUNCTION("""COMPUTED_VALUE"""),"Tuesday 11/27/17 @ 1:00 pm")</f>
        <v>Tuesday 11/27/17 @ 1:00 pm</v>
      </c>
      <c r="J22" s="39" t="str">
        <f>IFERROR(__xludf.DUMMYFUNCTION("""COMPUTED_VALUE"""),"Bo and Anna")</f>
        <v>Bo and Anna</v>
      </c>
      <c r="K22" s="40">
        <f>IFERROR(__xludf.DUMMYFUNCTION("""COMPUTED_VALUE"""),43066.0)</f>
        <v>43066</v>
      </c>
      <c r="L22" s="51">
        <f>IFERROR(__xludf.DUMMYFUNCTION("""COMPUTED_VALUE"""),0.659)</f>
        <v>0.659</v>
      </c>
      <c r="M22" s="40">
        <f>IFERROR(__xludf.DUMMYFUNCTION("""COMPUTED_VALUE"""),43066.0)</f>
        <v>43066</v>
      </c>
      <c r="N22" s="39" t="str">
        <f>IFERROR(__xludf.DUMMYFUNCTION("""COMPUTED_VALUE"""),"no loss")</f>
        <v>no loss</v>
      </c>
      <c r="O22" s="39" t="str">
        <f>IFERROR(__xludf.DUMMYFUNCTION("""COMPUTED_VALUE"""),"n/a")</f>
        <v>n/a</v>
      </c>
      <c r="P22" s="39" t="str">
        <f>IFERROR(__xludf.DUMMYFUNCTION("""COMPUTED_VALUE"""),"African American")</f>
        <v>African American</v>
      </c>
      <c r="Q22" s="40">
        <f>IFERROR(__xludf.DUMMYFUNCTION("""COMPUTED_VALUE"""),43066.0)</f>
        <v>43066</v>
      </c>
      <c r="R22" s="40">
        <f>IFERROR(__xludf.DUMMYFUNCTION("""COMPUTED_VALUE"""),43066.0)</f>
        <v>43066</v>
      </c>
      <c r="S22" s="39" t="str">
        <f>IFERROR(__xludf.DUMMYFUNCTION("""COMPUTED_VALUE"""),"none")</f>
        <v>none</v>
      </c>
      <c r="T22" s="39" t="str">
        <f>IFERROR(__xludf.DUMMYFUNCTION("""COMPUTED_VALUE"""),"sub-nbwr447_ses001_task-lexicaldecision_run-01_meg_ave.fif")</f>
        <v>sub-nbwr447_ses001_task-lexicaldecision_run-01_meg_ave.fif</v>
      </c>
      <c r="U22" s="39" t="str">
        <f>IFERROR(__xludf.DUMMYFUNCTION("""COMPUTED_VALUE"""),"yes")</f>
        <v>yes</v>
      </c>
      <c r="V22" s="39">
        <f>IFERROR(__xludf.DUMMYFUNCTION("""COMPUTED_VALUE"""),78.0)</f>
        <v>78</v>
      </c>
      <c r="W22" s="39">
        <f>IFERROR(__xludf.DUMMYFUNCTION("""COMPUTED_VALUE"""),-74.4)</f>
        <v>-74.4</v>
      </c>
      <c r="X22" s="39">
        <f>IFERROR(__xludf.DUMMYFUNCTION("""COMPUTED_VALUE"""),240.0)</f>
        <v>240</v>
      </c>
      <c r="Y22" s="39" t="str">
        <f>IFERROR(__xludf.DUMMYFUNCTION("""COMPUTED_VALUE"""),"Maggie")</f>
        <v>Maggie</v>
      </c>
      <c r="Z22" s="39" t="str">
        <f>IFERROR(__xludf.DUMMYFUNCTION("""COMPUTED_VALUE"""),"Kam")</f>
        <v>Kam</v>
      </c>
      <c r="AA22" s="39" t="str">
        <f>IFERROR(__xludf.DUMMYFUNCTION("""COMPUTED_VALUE"""),"yes")</f>
        <v>yes</v>
      </c>
      <c r="AB22" s="39" t="str">
        <f>IFERROR(__xludf.DUMMYFUNCTION("""COMPUTED_VALUE"""),"1743 (off)")</f>
        <v>1743 (off)</v>
      </c>
      <c r="AC22" s="39" t="str">
        <f>IFERROR(__xludf.DUMMYFUNCTION("""COMPUTED_VALUE"""),"61/62")</f>
        <v>61/62</v>
      </c>
      <c r="AD22" s="39">
        <f>IFERROR(__xludf.DUMMYFUNCTION("""COMPUTED_VALUE"""),63.0)</f>
        <v>63</v>
      </c>
      <c r="AE22" s="39" t="str">
        <f>IFERROR(__xludf.DUMMYFUNCTION("""COMPUTED_VALUE"""),"buttons and triggers seen on acq, lights @ 70%, subject repeatedly closes eyes")</f>
        <v>buttons and triggers seen on acq, lights @ 70%, subject repeatedly closes eyes</v>
      </c>
      <c r="AF22" s="39" t="str">
        <f>IFERROR(__xludf.DUMMYFUNCTION("""COMPUTED_VALUE"""),"Wednesday 12/13/17 @ 8:00 am")</f>
        <v>Wednesday 12/13/17 @ 8:00 am</v>
      </c>
      <c r="AG22" s="39" t="str">
        <f>IFERROR(__xludf.DUMMYFUNCTION("""COMPUTED_VALUE"""),"Bo")</f>
        <v>Bo</v>
      </c>
      <c r="AH22" s="39" t="str">
        <f>IFERROR(__xludf.DUMMYFUNCTION("""COMPUTED_VALUE"""),"Jeff, Todd")</f>
        <v>Jeff, Todd</v>
      </c>
      <c r="AI22" s="39" t="str">
        <f>IFERROR(__xludf.DUMMYFUNCTION("""COMPUTED_VALUE"""),"sub-nbwr447")</f>
        <v>sub-nbwr447</v>
      </c>
      <c r="AJ22" s="39" t="str">
        <f>IFERROR(__xludf.DUMMYFUNCTION("""COMPUTED_VALUE"""),"sub-nbwr447_phantom")</f>
        <v>sub-nbwr447_phantom</v>
      </c>
      <c r="AK22" s="40">
        <f>IFERROR(__xludf.DUMMYFUNCTION("""COMPUTED_VALUE"""),43082.0)</f>
        <v>43082</v>
      </c>
      <c r="AL22" s="42">
        <f>IFERROR(__xludf.DUMMYFUNCTION("""COMPUTED_VALUE"""),0.4236111111111111)</f>
        <v>0.4236111111</v>
      </c>
      <c r="AM22" s="39">
        <f>IFERROR(__xludf.DUMMYFUNCTION("""COMPUTED_VALUE"""),21.8)</f>
        <v>21.8</v>
      </c>
      <c r="AN22" s="42">
        <f>IFERROR(__xludf.DUMMYFUNCTION("""COMPUTED_VALUE"""),0.4548611111111111)</f>
        <v>0.4548611111</v>
      </c>
      <c r="AO22" s="39">
        <f>IFERROR(__xludf.DUMMYFUNCTION("""COMPUTED_VALUE"""),22.9)</f>
        <v>22.9</v>
      </c>
      <c r="AP22" s="39" t="str">
        <f>IFERROR(__xludf.DUMMYFUNCTION("""COMPUTED_VALUE"""),"use orig coil eg ""old coil"" in comments, sys crash and subject motion on qT1 repeat after reboot")</f>
        <v>use orig coil eg "old coil" in comments, sys crash and subject motion on qT1 repeat after reboot</v>
      </c>
      <c r="AQ22" s="39"/>
      <c r="AR22" s="40">
        <f>IFERROR(__xludf.DUMMYFUNCTION("""COMPUTED_VALUE"""),43066.0)</f>
        <v>43066</v>
      </c>
      <c r="AS22" s="40">
        <f>IFERROR(__xludf.DUMMYFUNCTION("""COMPUTED_VALUE"""),43082.0)</f>
        <v>43082</v>
      </c>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row>
    <row r="23">
      <c r="A23" s="55" t="str">
        <f>IFERROR(__xludf.DUMMYFUNCTION("""COMPUTED_VALUE"""),"GABA_429")</f>
        <v>GABA_429</v>
      </c>
      <c r="B23" s="40">
        <f>IFERROR(__xludf.DUMMYFUNCTION("""COMPUTED_VALUE"""),34498.0)</f>
        <v>34498</v>
      </c>
      <c r="C23" s="38">
        <f>IFERROR(__xludf.DUMMYFUNCTION("""COMPUTED_VALUE"""),23.5013698630137)</f>
        <v>23.50136986</v>
      </c>
      <c r="D23" s="39" t="str">
        <f>IFERROR(__xludf.DUMMYFUNCTION("""COMPUTED_VALUE"""),"Female")</f>
        <v>Female</v>
      </c>
      <c r="E23" s="40">
        <f>IFERROR(__xludf.DUMMYFUNCTION("""COMPUTED_VALUE"""),43048.0)</f>
        <v>43048</v>
      </c>
      <c r="F23" s="39" t="str">
        <f>IFERROR(__xludf.DUMMYFUNCTION("""COMPUTED_VALUE"""),"Bo")</f>
        <v>Bo</v>
      </c>
      <c r="G23" s="39" t="str">
        <f>IFERROR(__xludf.DUMMYFUNCTION("""COMPUTED_VALUE"""),"none")</f>
        <v>none</v>
      </c>
      <c r="H23" s="39" t="str">
        <f>IFERROR(__xludf.DUMMYFUNCTION("""COMPUTED_VALUE"""),"Thurs before 3pm is a good time")</f>
        <v>Thurs before 3pm is a good time</v>
      </c>
      <c r="I23" s="39" t="str">
        <f>IFERROR(__xludf.DUMMYFUNCTION("""COMPUTED_VALUE"""),"Thurs 12/7/17 @ 1pm")</f>
        <v>Thurs 12/7/17 @ 1pm</v>
      </c>
      <c r="J23" s="39" t="str">
        <f>IFERROR(__xludf.DUMMYFUNCTION("""COMPUTED_VALUE"""),"Bo and Anna")</f>
        <v>Bo and Anna</v>
      </c>
      <c r="K23" s="39"/>
      <c r="L23" s="39"/>
      <c r="M23" s="39"/>
      <c r="N23" s="39"/>
      <c r="O23" s="39"/>
      <c r="P23" s="39"/>
      <c r="Q23" s="39"/>
      <c r="R23" s="39"/>
      <c r="S23" s="39"/>
      <c r="T23" s="39"/>
      <c r="U23" s="39"/>
      <c r="V23" s="39"/>
      <c r="W23" s="39"/>
      <c r="X23" s="39"/>
      <c r="Y23" s="39"/>
      <c r="Z23" s="39"/>
      <c r="AA23" s="39"/>
      <c r="AB23" s="39"/>
      <c r="AC23" s="39"/>
      <c r="AD23" s="39"/>
      <c r="AE23" s="39" t="str">
        <f>IFERROR(__xludf.DUMMYFUNCTION("""COMPUTED_VALUE"""),"Top and bottom retainer (tested and saturated channels)")</f>
        <v>Top and bottom retainer (tested and saturated channels)</v>
      </c>
      <c r="AF23" s="39"/>
      <c r="AG23" s="39"/>
      <c r="AH23" s="39"/>
      <c r="AI23" s="39"/>
      <c r="AJ23" s="39"/>
      <c r="AK23" s="39"/>
      <c r="AL23" s="39"/>
      <c r="AM23" s="39"/>
      <c r="AN23" s="39"/>
      <c r="AO23" s="39"/>
      <c r="AP23" s="39"/>
      <c r="AQ23" s="39"/>
      <c r="AR23" s="40">
        <f>IFERROR(__xludf.DUMMYFUNCTION("""COMPUTED_VALUE"""),43076.0)</f>
        <v>43076</v>
      </c>
      <c r="AS23" s="39"/>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row>
    <row r="24">
      <c r="A24" s="55" t="str">
        <f>IFERROR(__xludf.DUMMYFUNCTION("""COMPUTED_VALUE"""),"GABA_448")</f>
        <v>GABA_448</v>
      </c>
      <c r="B24" s="40">
        <f>IFERROR(__xludf.DUMMYFUNCTION("""COMPUTED_VALUE"""),35226.0)</f>
        <v>35226</v>
      </c>
      <c r="C24" s="38">
        <f>IFERROR(__xludf.DUMMYFUNCTION("""COMPUTED_VALUE"""),21.513409961685824)</f>
        <v>21.51340996</v>
      </c>
      <c r="D24" s="39" t="str">
        <f>IFERROR(__xludf.DUMMYFUNCTION("""COMPUTED_VALUE"""),"Male")</f>
        <v>Male</v>
      </c>
      <c r="E24" s="40">
        <f>IFERROR(__xludf.DUMMYFUNCTION("""COMPUTED_VALUE"""),43082.0)</f>
        <v>43082</v>
      </c>
      <c r="F24" s="39" t="str">
        <f>IFERROR(__xludf.DUMMYFUNCTION("""COMPUTED_VALUE"""),"Anna")</f>
        <v>Anna</v>
      </c>
      <c r="G24" s="39" t="str">
        <f>IFERROR(__xludf.DUMMYFUNCTION("""COMPUTED_VALUE"""),"none")</f>
        <v>none</v>
      </c>
      <c r="H24" s="39" t="str">
        <f>IFERROR(__xludf.DUMMYFUNCTION("""COMPUTED_VALUE"""),"Anna's friend; in January, Tuesdays are best, test permanet retainer")</f>
        <v>Anna's friend; in January, Tuesdays are best, test permanet retainer</v>
      </c>
      <c r="I24" s="39" t="str">
        <f>IFERROR(__xludf.DUMMYFUNCTION("""COMPUTED_VALUE"""),"Monday 12/18/17 @ 1:00pm")</f>
        <v>Monday 12/18/17 @ 1:00pm</v>
      </c>
      <c r="J24" s="39" t="str">
        <f>IFERROR(__xludf.DUMMYFUNCTION("""COMPUTED_VALUE"""),"Anna/Bo")</f>
        <v>Anna/Bo</v>
      </c>
      <c r="K24" s="40">
        <f>IFERROR(__xludf.DUMMYFUNCTION("""COMPUTED_VALUE"""),43087.0)</f>
        <v>43087</v>
      </c>
      <c r="L24" s="39" t="str">
        <f>IFERROR(__xludf.DUMMYFUNCTION("""COMPUTED_VALUE"""),"97.7 %")</f>
        <v>97.7 %</v>
      </c>
      <c r="M24" s="40">
        <f>IFERROR(__xludf.DUMMYFUNCTION("""COMPUTED_VALUE"""),43087.0)</f>
        <v>43087</v>
      </c>
      <c r="N24" s="39" t="str">
        <f>IFERROR(__xludf.DUMMYFUNCTION("""COMPUTED_VALUE"""),"no loss")</f>
        <v>no loss</v>
      </c>
      <c r="O24" s="39" t="str">
        <f>IFERROR(__xludf.DUMMYFUNCTION("""COMPUTED_VALUE"""),"n/a")</f>
        <v>n/a</v>
      </c>
      <c r="P24" s="39" t="str">
        <f>IFERROR(__xludf.DUMMYFUNCTION("""COMPUTED_VALUE"""),"White")</f>
        <v>White</v>
      </c>
      <c r="Q24" s="40">
        <f>IFERROR(__xludf.DUMMYFUNCTION("""COMPUTED_VALUE"""),43087.0)</f>
        <v>43087</v>
      </c>
      <c r="R24" s="40">
        <f>IFERROR(__xludf.DUMMYFUNCTION("""COMPUTED_VALUE"""),43087.0)</f>
        <v>43087</v>
      </c>
      <c r="S24" s="39" t="str">
        <f>IFERROR(__xludf.DUMMYFUNCTION("""COMPUTED_VALUE"""),"permanent retainer (no interference in MEG) ")</f>
        <v>permanent retainer (no interference in MEG) </v>
      </c>
      <c r="T24" s="39" t="str">
        <f>IFERROR(__xludf.DUMMYFUNCTION("""COMPUTED_VALUE"""),"sub_nbwr448_ses001_task-lexicaldecision_run-01_meg-raw.fif")</f>
        <v>sub_nbwr448_ses001_task-lexicaldecision_run-01_meg-raw.fif</v>
      </c>
      <c r="U24" s="39" t="str">
        <f>IFERROR(__xludf.DUMMYFUNCTION("""COMPUTED_VALUE"""),"yes")</f>
        <v>yes</v>
      </c>
      <c r="V24" s="39">
        <f>IFERROR(__xludf.DUMMYFUNCTION("""COMPUTED_VALUE"""),76.6)</f>
        <v>76.6</v>
      </c>
      <c r="W24" s="39">
        <f>IFERROR(__xludf.DUMMYFUNCTION("""COMPUTED_VALUE"""),-70.9)</f>
        <v>-70.9</v>
      </c>
      <c r="X24" s="39">
        <f>IFERROR(__xludf.DUMMYFUNCTION("""COMPUTED_VALUE"""),240.0)</f>
        <v>240</v>
      </c>
      <c r="Y24" s="39" t="str">
        <f>IFERROR(__xludf.DUMMYFUNCTION("""COMPUTED_VALUE"""),"Maggie")</f>
        <v>Maggie</v>
      </c>
      <c r="Z24" s="39" t="str">
        <f>IFERROR(__xludf.DUMMYFUNCTION("""COMPUTED_VALUE"""),"Kam")</f>
        <v>Kam</v>
      </c>
      <c r="AA24" s="39" t="str">
        <f>IFERROR(__xludf.DUMMYFUNCTION("""COMPUTED_VALUE"""),"yes")</f>
        <v>yes</v>
      </c>
      <c r="AB24" s="39">
        <f>IFERROR(__xludf.DUMMYFUNCTION("""COMPUTED_VALUE"""),1743.0)</f>
        <v>1743</v>
      </c>
      <c r="AC24" s="39" t="str">
        <f>IFERROR(__xludf.DUMMYFUNCTION("""COMPUTED_VALUE"""),"61 + 62")</f>
        <v>61 + 62</v>
      </c>
      <c r="AD24" s="39">
        <f>IFERROR(__xludf.DUMMYFUNCTION("""COMPUTED_VALUE"""),63.0)</f>
        <v>63</v>
      </c>
      <c r="AE24" s="39" t="str">
        <f>IFERROR(__xludf.DUMMYFUNCTION("""COMPUTED_VALUE"""),"triggers + buttons on acq, some technical difficulties with button pressing to start sequence, but eventually resolved")</f>
        <v>triggers + buttons on acq, some technical difficulties with button pressing to start sequence, but eventually resolved</v>
      </c>
      <c r="AF24" s="39" t="str">
        <f>IFERROR(__xludf.DUMMYFUNCTION("""COMPUTED_VALUE"""),"Tuesday 1/2/18 @ 1:00pm")</f>
        <v>Tuesday 1/2/18 @ 1:00pm</v>
      </c>
      <c r="AG24" s="39" t="str">
        <f>IFERROR(__xludf.DUMMYFUNCTION("""COMPUTED_VALUE"""),"Bo")</f>
        <v>Bo</v>
      </c>
      <c r="AH24" s="39" t="str">
        <f>IFERROR(__xludf.DUMMYFUNCTION("""COMPUTED_VALUE"""),"Jeff, Todd")</f>
        <v>Jeff, Todd</v>
      </c>
      <c r="AI24" s="39" t="str">
        <f>IFERROR(__xludf.DUMMYFUNCTION("""COMPUTED_VALUE"""),"sub-nbwr448")</f>
        <v>sub-nbwr448</v>
      </c>
      <c r="AJ24" s="39" t="str">
        <f>IFERROR(__xludf.DUMMYFUNCTION("""COMPUTED_VALUE"""),"sub-nbwr440_phantom")</f>
        <v>sub-nbwr440_phantom</v>
      </c>
      <c r="AK24" s="39" t="str">
        <f>IFERROR(__xludf.DUMMYFUNCTION("""COMPUTED_VALUE"""),"1/2/18 @ 12:20pm")</f>
        <v>1/2/18 @ 12:20pm</v>
      </c>
      <c r="AL24" s="42">
        <f>IFERROR(__xludf.DUMMYFUNCTION("""COMPUTED_VALUE"""),0.5138888888888888)</f>
        <v>0.5138888889</v>
      </c>
      <c r="AM24" s="39">
        <f>IFERROR(__xludf.DUMMYFUNCTION("""COMPUTED_VALUE"""),22.5)</f>
        <v>22.5</v>
      </c>
      <c r="AN24" s="42">
        <f>IFERROR(__xludf.DUMMYFUNCTION("""COMPUTED_VALUE"""),0.5416666666666666)</f>
        <v>0.5416666667</v>
      </c>
      <c r="AO24" s="39">
        <f>IFERROR(__xludf.DUMMYFUNCTION("""COMPUTED_VALUE"""),22.8)</f>
        <v>22.8</v>
      </c>
      <c r="AP24" s="39" t="str">
        <f>IFERROR(__xludf.DUMMYFUNCTION("""COMPUTED_VALUE"""),"nas FWHM LT=16Hg, RT=14Hg, no MEG DSPM maps, MRS position is center average location")</f>
        <v>nas FWHM LT=16Hg, RT=14Hg, no MEG DSPM maps, MRS position is center average location</v>
      </c>
      <c r="AQ24" s="39"/>
      <c r="AR24" s="57">
        <f>IFERROR(__xludf.DUMMYFUNCTION("""COMPUTED_VALUE"""),43087.0)</f>
        <v>43087</v>
      </c>
      <c r="AS24" s="40">
        <f>IFERROR(__xludf.DUMMYFUNCTION("""COMPUTED_VALUE"""),43102.0)</f>
        <v>43102</v>
      </c>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row>
    <row r="25">
      <c r="A25" s="55" t="str">
        <f>IFERROR(__xludf.DUMMYFUNCTION("""COMPUTED_VALUE"""),"GABA_449")</f>
        <v>GABA_449</v>
      </c>
      <c r="B25" s="40">
        <f>IFERROR(__xludf.DUMMYFUNCTION("""COMPUTED_VALUE"""),34721.0)</f>
        <v>34721</v>
      </c>
      <c r="C25" s="38">
        <f>IFERROR(__xludf.DUMMYFUNCTION("""COMPUTED_VALUE"""),22.92282430213465)</f>
        <v>22.9228243</v>
      </c>
      <c r="D25" s="39" t="str">
        <f>IFERROR(__xludf.DUMMYFUNCTION("""COMPUTED_VALUE"""),"Female")</f>
        <v>Female</v>
      </c>
      <c r="E25" s="40">
        <f>IFERROR(__xludf.DUMMYFUNCTION("""COMPUTED_VALUE"""),43083.0)</f>
        <v>43083</v>
      </c>
      <c r="F25" s="39" t="str">
        <f>IFERROR(__xludf.DUMMYFUNCTION("""COMPUTED_VALUE"""),"Bo")</f>
        <v>Bo</v>
      </c>
      <c r="G25" s="39" t="str">
        <f>IFERROR(__xludf.DUMMYFUNCTION("""COMPUTED_VALUE"""),"none")</f>
        <v>none</v>
      </c>
      <c r="H25" s="39" t="str">
        <f>IFERROR(__xludf.DUMMYFUNCTION("""COMPUTED_VALUE"""),"Anna's friend; prefers early morning or late afternoon")</f>
        <v>Anna's friend; prefers early morning or late afternoon</v>
      </c>
      <c r="I25" s="39" t="str">
        <f>IFERROR(__xludf.DUMMYFUNCTION("""COMPUTED_VALUE"""),"Thursday 12/28/17 @ 3:00pm")</f>
        <v>Thursday 12/28/17 @ 3:00pm</v>
      </c>
      <c r="J25" s="39" t="str">
        <f>IFERROR(__xludf.DUMMYFUNCTION("""COMPUTED_VALUE"""),"Anna/Bo")</f>
        <v>Anna/Bo</v>
      </c>
      <c r="K25" s="40">
        <f>IFERROR(__xludf.DUMMYFUNCTION("""COMPUTED_VALUE"""),43097.0)</f>
        <v>43097</v>
      </c>
      <c r="L25" s="51">
        <f>IFERROR(__xludf.DUMMYFUNCTION("""COMPUTED_VALUE"""),0.773)</f>
        <v>0.773</v>
      </c>
      <c r="M25" s="40">
        <f>IFERROR(__xludf.DUMMYFUNCTION("""COMPUTED_VALUE"""),43097.0)</f>
        <v>43097</v>
      </c>
      <c r="N25" s="39" t="str">
        <f>IFERROR(__xludf.DUMMYFUNCTION("""COMPUTED_VALUE"""),"Right: 250 Hz")</f>
        <v>Right: 250 Hz</v>
      </c>
      <c r="O25" s="39" t="str">
        <f>IFERROR(__xludf.DUMMYFUNCTION("""COMPUTED_VALUE"""),"n/a")</f>
        <v>n/a</v>
      </c>
      <c r="P25" s="39" t="str">
        <f>IFERROR(__xludf.DUMMYFUNCTION("""COMPUTED_VALUE"""),"White")</f>
        <v>White</v>
      </c>
      <c r="Q25" s="40">
        <f>IFERROR(__xludf.DUMMYFUNCTION("""COMPUTED_VALUE"""),43097.0)</f>
        <v>43097</v>
      </c>
      <c r="R25" s="40">
        <f>IFERROR(__xludf.DUMMYFUNCTION("""COMPUTED_VALUE"""),43097.0)</f>
        <v>43097</v>
      </c>
      <c r="S25" s="39" t="str">
        <f>IFERROR(__xludf.DUMMYFUNCTION("""COMPUTED_VALUE"""),"none")</f>
        <v>none</v>
      </c>
      <c r="T25" s="39" t="str">
        <f>IFERROR(__xludf.DUMMYFUNCTION("""COMPUTED_VALUE"""),"sub_nbwr449_ses001_task_lexicaldecision_run_01_meg_raw.fif")</f>
        <v>sub_nbwr449_ses001_task_lexicaldecision_run_01_meg_raw.fif</v>
      </c>
      <c r="U25" s="39" t="str">
        <f>IFERROR(__xludf.DUMMYFUNCTION("""COMPUTED_VALUE"""),"yes")</f>
        <v>yes</v>
      </c>
      <c r="V25" s="39">
        <f>IFERROR(__xludf.DUMMYFUNCTION("""COMPUTED_VALUE"""),67.0)</f>
        <v>67</v>
      </c>
      <c r="W25" s="39">
        <f>IFERROR(__xludf.DUMMYFUNCTION("""COMPUTED_VALUE"""),-56.6)</f>
        <v>-56.6</v>
      </c>
      <c r="X25" s="39">
        <f>IFERROR(__xludf.DUMMYFUNCTION("""COMPUTED_VALUE"""),240.0)</f>
        <v>240</v>
      </c>
      <c r="Y25" s="39" t="str">
        <f>IFERROR(__xludf.DUMMYFUNCTION("""COMPUTED_VALUE"""),"Myles")</f>
        <v>Myles</v>
      </c>
      <c r="Z25" s="39" t="str">
        <f>IFERROR(__xludf.DUMMYFUNCTION("""COMPUTED_VALUE"""),"Kam out")</f>
        <v>Kam out</v>
      </c>
      <c r="AA25" s="39" t="str">
        <f>IFERROR(__xludf.DUMMYFUNCTION("""COMPUTED_VALUE"""),"yes")</f>
        <v>yes</v>
      </c>
      <c r="AB25" s="39">
        <f>IFERROR(__xludf.DUMMYFUNCTION("""COMPUTED_VALUE"""),1743.0)</f>
        <v>1743</v>
      </c>
      <c r="AC25" s="39" t="str">
        <f>IFERROR(__xludf.DUMMYFUNCTION("""COMPUTED_VALUE"""),"yes")</f>
        <v>yes</v>
      </c>
      <c r="AD25" s="39" t="str">
        <f>IFERROR(__xludf.DUMMYFUNCTION("""COMPUTED_VALUE"""),"yes")</f>
        <v>yes</v>
      </c>
      <c r="AE25" s="39" t="str">
        <f>IFERROR(__xludf.DUMMYFUNCTION("""COMPUTED_VALUE"""),"none")</f>
        <v>none</v>
      </c>
      <c r="AF25" s="39" t="str">
        <f>IFERROR(__xludf.DUMMYFUNCTION("""COMPUTED_VALUE"""),"Wednesday 1/3/18 @ 11:30 am")</f>
        <v>Wednesday 1/3/18 @ 11:30 am</v>
      </c>
      <c r="AG25" s="39" t="str">
        <f>IFERROR(__xludf.DUMMYFUNCTION("""COMPUTED_VALUE"""),"Anna")</f>
        <v>Anna</v>
      </c>
      <c r="AH25" s="39" t="str">
        <f>IFERROR(__xludf.DUMMYFUNCTION("""COMPUTED_VALUE"""),"Jeff, Todd")</f>
        <v>Jeff, Todd</v>
      </c>
      <c r="AI25" s="39" t="str">
        <f>IFERROR(__xludf.DUMMYFUNCTION("""COMPUTED_VALUE"""),"sub-nbwr449")</f>
        <v>sub-nbwr449</v>
      </c>
      <c r="AJ25" s="39" t="str">
        <f>IFERROR(__xludf.DUMMYFUNCTION("""COMPUTED_VALUE"""),"sub-nbwr449_phantom")</f>
        <v>sub-nbwr449_phantom</v>
      </c>
      <c r="AK25" s="39" t="str">
        <f>IFERROR(__xludf.DUMMYFUNCTION("""COMPUTED_VALUE"""),"1/3/18 @ 12:40pm")</f>
        <v>1/3/18 @ 12:40pm</v>
      </c>
      <c r="AL25" s="42">
        <f>IFERROR(__xludf.DUMMYFUNCTION("""COMPUTED_VALUE"""),0.53125)</f>
        <v>0.53125</v>
      </c>
      <c r="AM25" s="39">
        <f>IFERROR(__xludf.DUMMYFUNCTION("""COMPUTED_VALUE"""),22.5)</f>
        <v>22.5</v>
      </c>
      <c r="AN25" s="42">
        <f>IFERROR(__xludf.DUMMYFUNCTION("""COMPUTED_VALUE"""),0.5520833333333334)</f>
        <v>0.5520833333</v>
      </c>
      <c r="AO25" s="39">
        <f>IFERROR(__xludf.DUMMYFUNCTION("""COMPUTED_VALUE"""),22.8)</f>
        <v>22.8</v>
      </c>
      <c r="AP25" s="39" t="str">
        <f>IFERROR(__xludf.DUMMYFUNCTION("""COMPUTED_VALUE"""),"FWHM LT=17, RT=17, see vy study 18 me, vsa 2 flip, vasily phantom temp=23.2")</f>
        <v>FWHM LT=17, RT=17, see vy study 18 me, vsa 2 flip, vasily phantom temp=23.2</v>
      </c>
      <c r="AQ25" s="39"/>
      <c r="AR25" s="40">
        <f>IFERROR(__xludf.DUMMYFUNCTION("""COMPUTED_VALUE"""),43097.0)</f>
        <v>43097</v>
      </c>
      <c r="AS25" s="40">
        <f>IFERROR(__xludf.DUMMYFUNCTION("""COMPUTED_VALUE"""),43103.0)</f>
        <v>43103</v>
      </c>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row>
    <row r="26">
      <c r="A26" s="55" t="str">
        <f>IFERROR(__xludf.DUMMYFUNCTION("""COMPUTED_VALUE"""),"GABA_451")</f>
        <v>GABA_451</v>
      </c>
      <c r="B26" s="40">
        <f>IFERROR(__xludf.DUMMYFUNCTION("""COMPUTED_VALUE"""),34759.0)</f>
        <v>34759</v>
      </c>
      <c r="C26" s="38">
        <f>IFERROR(__xludf.DUMMYFUNCTION("""COMPUTED_VALUE"""),22.843835616438355)</f>
        <v>22.84383562</v>
      </c>
      <c r="D26" s="39" t="str">
        <f>IFERROR(__xludf.DUMMYFUNCTION("""COMPUTED_VALUE"""),"Male")</f>
        <v>Male</v>
      </c>
      <c r="E26" s="40">
        <f>IFERROR(__xludf.DUMMYFUNCTION("""COMPUTED_VALUE"""),43104.0)</f>
        <v>43104</v>
      </c>
      <c r="F26" s="39" t="str">
        <f>IFERROR(__xludf.DUMMYFUNCTION("""COMPUTED_VALUE"""),"Bo/Anna")</f>
        <v>Bo/Anna</v>
      </c>
      <c r="G26" s="39" t="str">
        <f>IFERROR(__xludf.DUMMYFUNCTION("""COMPUTED_VALUE"""),"none")</f>
        <v>none</v>
      </c>
      <c r="H26" s="39" t="str">
        <f>IFERROR(__xludf.DUMMYFUNCTION("""COMPUTED_VALUE"""),"Physics grad student w/ Samu")</f>
        <v>Physics grad student w/ Samu</v>
      </c>
      <c r="I26" s="39" t="str">
        <f>IFERROR(__xludf.DUMMYFUNCTION("""COMPUTED_VALUE"""),"Friday 1/5/18 @ 9:30am")</f>
        <v>Friday 1/5/18 @ 9:30am</v>
      </c>
      <c r="J26" s="39" t="str">
        <f>IFERROR(__xludf.DUMMYFUNCTION("""COMPUTED_VALUE"""),"Bo")</f>
        <v>Bo</v>
      </c>
      <c r="K26" s="40">
        <f>IFERROR(__xludf.DUMMYFUNCTION("""COMPUTED_VALUE"""),43104.0)</f>
        <v>43104</v>
      </c>
      <c r="L26" s="51">
        <f>IFERROR(__xludf.DUMMYFUNCTION("""COMPUTED_VALUE"""),0.9772)</f>
        <v>0.9772</v>
      </c>
      <c r="M26" s="40">
        <f>IFERROR(__xludf.DUMMYFUNCTION("""COMPUTED_VALUE"""),43105.0)</f>
        <v>43105</v>
      </c>
      <c r="N26" s="39" t="str">
        <f>IFERROR(__xludf.DUMMYFUNCTION("""COMPUTED_VALUE"""),"no loss")</f>
        <v>no loss</v>
      </c>
      <c r="O26" s="39" t="str">
        <f>IFERROR(__xludf.DUMMYFUNCTION("""COMPUTED_VALUE"""),"n/a")</f>
        <v>n/a</v>
      </c>
      <c r="P26" s="39" t="str">
        <f>IFERROR(__xludf.DUMMYFUNCTION("""COMPUTED_VALUE"""),"White")</f>
        <v>White</v>
      </c>
      <c r="Q26" s="40">
        <f>IFERROR(__xludf.DUMMYFUNCTION("""COMPUTED_VALUE"""),43104.0)</f>
        <v>43104</v>
      </c>
      <c r="R26" s="40">
        <f>IFERROR(__xludf.DUMMYFUNCTION("""COMPUTED_VALUE"""),43104.0)</f>
        <v>43104</v>
      </c>
      <c r="S26" s="39" t="str">
        <f>IFERROR(__xludf.DUMMYFUNCTION("""COMPUTED_VALUE"""),"none")</f>
        <v>none</v>
      </c>
      <c r="T26" s="39" t="str">
        <f>IFERROR(__xludf.DUMMYFUNCTION("""COMPUTED_VALUE"""),"su_nbwr451_ses001_meg_raw.fif")</f>
        <v>su_nbwr451_ses001_meg_raw.fif</v>
      </c>
      <c r="U26" s="39" t="str">
        <f>IFERROR(__xludf.DUMMYFUNCTION("""COMPUTED_VALUE"""),"yes")</f>
        <v>yes</v>
      </c>
      <c r="V26" s="39" t="str">
        <f>IFERROR(__xludf.DUMMYFUNCTION("""COMPUTED_VALUE"""),"diff &lt;4")</f>
        <v>diff &lt;4</v>
      </c>
      <c r="W26" s="39" t="str">
        <f>IFERROR(__xludf.DUMMYFUNCTION("""COMPUTED_VALUE"""),"diff &lt;4")</f>
        <v>diff &lt;4</v>
      </c>
      <c r="X26" s="39">
        <f>IFERROR(__xludf.DUMMYFUNCTION("""COMPUTED_VALUE"""),240.0)</f>
        <v>240</v>
      </c>
      <c r="Y26" s="39" t="str">
        <f>IFERROR(__xludf.DUMMYFUNCTION("""COMPUTED_VALUE"""),"Myles")</f>
        <v>Myles</v>
      </c>
      <c r="Z26" s="39" t="str">
        <f>IFERROR(__xludf.DUMMYFUNCTION("""COMPUTED_VALUE"""),"Kam out")</f>
        <v>Kam out</v>
      </c>
      <c r="AA26" s="39" t="str">
        <f>IFERROR(__xludf.DUMMYFUNCTION("""COMPUTED_VALUE"""),"yes")</f>
        <v>yes</v>
      </c>
      <c r="AB26" s="39">
        <f>IFERROR(__xludf.DUMMYFUNCTION("""COMPUTED_VALUE"""),1743.0)</f>
        <v>1743</v>
      </c>
      <c r="AC26" s="39" t="str">
        <f>IFERROR(__xludf.DUMMYFUNCTION("""COMPUTED_VALUE"""),"61/62")</f>
        <v>61/62</v>
      </c>
      <c r="AD26" s="39">
        <f>IFERROR(__xludf.DUMMYFUNCTION("""COMPUTED_VALUE"""),63.0)</f>
        <v>63</v>
      </c>
      <c r="AE26" s="39" t="str">
        <f>IFERROR(__xludf.DUMMYFUNCTION("""COMPUTED_VALUE"""),"none")</f>
        <v>none</v>
      </c>
      <c r="AF26" s="39" t="str">
        <f>IFERROR(__xludf.DUMMYFUNCTION("""COMPUTED_VALUE"""),"Monday 1/8/18 @ 11:30am")</f>
        <v>Monday 1/8/18 @ 11:30am</v>
      </c>
      <c r="AG26" s="39" t="str">
        <f>IFERROR(__xludf.DUMMYFUNCTION("""COMPUTED_VALUE"""),"Anna")</f>
        <v>Anna</v>
      </c>
      <c r="AH26" s="39" t="str">
        <f>IFERROR(__xludf.DUMMYFUNCTION("""COMPUTED_VALUE"""),"Jeff, Todd")</f>
        <v>Jeff, Todd</v>
      </c>
      <c r="AI26" s="39" t="str">
        <f>IFERROR(__xludf.DUMMYFUNCTION("""COMPUTED_VALUE"""),"sub-nbwr451")</f>
        <v>sub-nbwr451</v>
      </c>
      <c r="AJ26" s="39" t="str">
        <f>IFERROR(__xludf.DUMMYFUNCTION("""COMPUTED_VALUE"""),"sub-nbwr451_phantom")</f>
        <v>sub-nbwr451_phantom</v>
      </c>
      <c r="AK26" s="39" t="str">
        <f>IFERROR(__xludf.DUMMYFUNCTION("""COMPUTED_VALUE"""),"1/8/18 @ 12:30 pm")</f>
        <v>1/8/18 @ 12:30 pm</v>
      </c>
      <c r="AL26" s="58">
        <f>IFERROR(__xludf.DUMMYFUNCTION("""COMPUTED_VALUE"""),0.4951388888888889)</f>
        <v>0.4951388889</v>
      </c>
      <c r="AM26" s="39">
        <f>IFERROR(__xludf.DUMMYFUNCTION("""COMPUTED_VALUE"""),22.2)</f>
        <v>22.2</v>
      </c>
      <c r="AN26" s="42">
        <f>IFERROR(__xludf.DUMMYFUNCTION("""COMPUTED_VALUE"""),0.5208333333333334)</f>
        <v>0.5208333333</v>
      </c>
      <c r="AO26" s="39">
        <f>IFERROR(__xludf.DUMMYFUNCTION("""COMPUTED_VALUE"""),23.0)</f>
        <v>23</v>
      </c>
      <c r="AP26" s="39" t="str">
        <f>IFERROR(__xludf.DUMMYFUNCTION("""COMPUTED_VALUE"""),"FWHM LT = 16, RT = 17, started scan very late (forgot to take shuttle, got off at Fred Hutch)")</f>
        <v>FWHM LT = 16, RT = 17, started scan very late (forgot to take shuttle, got off at Fred Hutch)</v>
      </c>
      <c r="AQ26" s="39"/>
      <c r="AR26" s="40">
        <f>IFERROR(__xludf.DUMMYFUNCTION("""COMPUTED_VALUE"""),43105.0)</f>
        <v>43105</v>
      </c>
      <c r="AS26" s="40">
        <f>IFERROR(__xludf.DUMMYFUNCTION("""COMPUTED_VALUE"""),43108.0)</f>
        <v>43108</v>
      </c>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row>
    <row r="27">
      <c r="A27" s="39" t="str">
        <f>IFERROR(__xludf.DUMMYFUNCTION("""COMPUTED_VALUE"""),"GABA_403")</f>
        <v>GABA_403</v>
      </c>
      <c r="B27" s="39"/>
      <c r="C27" s="38">
        <f>IFERROR(__xludf.DUMMYFUNCTION("""COMPUTED_VALUE"""),0.0)</f>
        <v>0</v>
      </c>
      <c r="D27" s="39" t="str">
        <f>IFERROR(__xludf.DUMMYFUNCTION("""COMPUTED_VALUE"""),"Female")</f>
        <v>Female</v>
      </c>
      <c r="E27" s="39"/>
      <c r="F27" s="39" t="str">
        <f>IFERROR(__xludf.DUMMYFUNCTION("""COMPUTED_VALUE"""),"Bo &amp; Julia")</f>
        <v>Bo &amp; Julia</v>
      </c>
      <c r="G27" s="39" t="str">
        <f>IFERROR(__xludf.DUMMYFUNCTION("""COMPUTED_VALUE"""),"none")</f>
        <v>none</v>
      </c>
      <c r="H27" s="39" t="str">
        <f>IFERROR(__xludf.DUMMYFUNCTION("""COMPUTED_VALUE"""),"Cancelled day before (mom uncomfortable with technology)")</f>
        <v>Cancelled day before (mom uncomfortable with technology)</v>
      </c>
      <c r="I27" s="39" t="str">
        <f>IFERROR(__xludf.DUMMYFUNCTION("""COMPUTED_VALUE"""),"Tuesday 7/25/17 @ 1pm")</f>
        <v>Tuesday 7/25/17 @ 1pm</v>
      </c>
      <c r="J27" s="39"/>
      <c r="K27" s="39"/>
      <c r="L27" s="39"/>
      <c r="M27" s="39"/>
      <c r="N27" s="39"/>
      <c r="O27" s="39"/>
      <c r="P27" s="39"/>
      <c r="Q27" s="39"/>
      <c r="R27" s="39"/>
      <c r="S27" s="39"/>
      <c r="T27" s="39"/>
      <c r="U27" s="39"/>
      <c r="V27" s="39"/>
      <c r="W27" s="39"/>
      <c r="X27" s="39"/>
      <c r="Y27" s="39"/>
      <c r="Z27" s="39"/>
      <c r="AA27" s="39"/>
      <c r="AB27" s="39"/>
      <c r="AC27" s="39"/>
      <c r="AD27" s="39"/>
      <c r="AE27" s="39" t="str">
        <f>IFERROR(__xludf.DUMMYFUNCTION("""COMPUTED_VALUE"""),"Subject CANCELLED morning of appointment")</f>
        <v>Subject CANCELLED morning of appointment</v>
      </c>
      <c r="AF27" s="39"/>
      <c r="AG27" s="39"/>
      <c r="AH27" s="39"/>
      <c r="AI27" s="39"/>
      <c r="AJ27" s="39"/>
      <c r="AK27" s="39"/>
      <c r="AL27" s="39"/>
      <c r="AM27" s="39"/>
      <c r="AN27" s="39"/>
      <c r="AO27" s="39"/>
      <c r="AP27" s="39"/>
      <c r="AQ27" s="39"/>
      <c r="AR27" s="39"/>
      <c r="AS27" s="39"/>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row>
    <row r="28">
      <c r="A28" s="39"/>
      <c r="B28" s="39"/>
      <c r="C28" s="38">
        <f>IFERROR(__xludf.DUMMYFUNCTION("""COMPUTED_VALUE"""),0.0)</f>
        <v>0</v>
      </c>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c r="AV335" s="43"/>
      <c r="AW335" s="43"/>
      <c r="AX335" s="43"/>
      <c r="AY335" s="43"/>
      <c r="AZ335" s="43"/>
      <c r="BA335" s="43"/>
      <c r="BB335" s="43"/>
      <c r="BC335" s="43"/>
      <c r="BD335" s="43"/>
      <c r="BE335" s="43"/>
      <c r="BF335" s="43"/>
      <c r="BG335" s="43"/>
      <c r="BH335" s="43"/>
      <c r="BI335" s="43"/>
      <c r="BJ335" s="43"/>
      <c r="BK335" s="43"/>
      <c r="BL335" s="43"/>
      <c r="BM335" s="43"/>
      <c r="BN335" s="43"/>
      <c r="BO335" s="43"/>
      <c r="BP335" s="43"/>
      <c r="BQ335" s="43"/>
      <c r="BR335" s="43"/>
      <c r="BS335" s="43"/>
      <c r="BT335" s="43"/>
      <c r="BU335" s="43"/>
      <c r="BV335" s="43"/>
      <c r="BW335" s="43"/>
      <c r="BX335" s="43"/>
      <c r="BY335" s="43"/>
      <c r="B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c r="AM338" s="43"/>
      <c r="AN338" s="43"/>
      <c r="AO338" s="43"/>
      <c r="AP338" s="43"/>
      <c r="AQ338" s="43"/>
      <c r="AR338" s="43"/>
      <c r="AS338" s="43"/>
      <c r="AT338" s="43"/>
      <c r="AU338" s="43"/>
      <c r="AV338" s="43"/>
      <c r="AW338" s="43"/>
      <c r="AX338" s="43"/>
      <c r="AY338" s="43"/>
      <c r="AZ338" s="43"/>
      <c r="BA338" s="43"/>
      <c r="BB338" s="43"/>
      <c r="BC338" s="43"/>
      <c r="BD338" s="43"/>
      <c r="BE338" s="43"/>
      <c r="BF338" s="43"/>
      <c r="BG338" s="43"/>
      <c r="BH338" s="43"/>
      <c r="BI338" s="43"/>
      <c r="BJ338" s="43"/>
      <c r="BK338" s="43"/>
      <c r="BL338" s="43"/>
      <c r="BM338" s="43"/>
      <c r="BN338" s="43"/>
      <c r="BO338" s="43"/>
      <c r="BP338" s="43"/>
      <c r="BQ338" s="43"/>
      <c r="BR338" s="43"/>
      <c r="BS338" s="43"/>
      <c r="BT338" s="43"/>
      <c r="BU338" s="43"/>
      <c r="BV338" s="43"/>
      <c r="BW338" s="43"/>
      <c r="BX338" s="43"/>
      <c r="BY338" s="43"/>
      <c r="B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43"/>
      <c r="BH359" s="43"/>
      <c r="BI359" s="43"/>
      <c r="BJ359" s="43"/>
      <c r="BK359" s="43"/>
      <c r="BL359" s="43"/>
      <c r="BM359" s="43"/>
      <c r="BN359" s="43"/>
      <c r="BO359" s="43"/>
      <c r="BP359" s="43"/>
      <c r="BQ359" s="43"/>
      <c r="BR359" s="43"/>
      <c r="BS359" s="43"/>
      <c r="BT359" s="43"/>
      <c r="BU359" s="43"/>
      <c r="BV359" s="43"/>
      <c r="BW359" s="43"/>
      <c r="BX359" s="43"/>
      <c r="BY359" s="43"/>
      <c r="B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c r="AE618" s="43"/>
      <c r="AF618" s="43"/>
      <c r="AG618" s="43"/>
      <c r="AH618" s="43"/>
      <c r="AI618" s="43"/>
      <c r="AJ618" s="43"/>
      <c r="AK618" s="43"/>
      <c r="AL618" s="43"/>
      <c r="AM618" s="43"/>
      <c r="AN618" s="43"/>
      <c r="AO618" s="43"/>
      <c r="AP618" s="43"/>
      <c r="AQ618" s="43"/>
      <c r="AR618" s="43"/>
      <c r="AS618" s="43"/>
      <c r="AT618" s="43"/>
      <c r="AU618" s="43"/>
      <c r="AV618" s="43"/>
      <c r="AW618" s="43"/>
      <c r="AX618" s="43"/>
      <c r="AY618" s="43"/>
      <c r="AZ618" s="43"/>
      <c r="BA618" s="43"/>
      <c r="BB618" s="43"/>
      <c r="BC618" s="43"/>
      <c r="BD618" s="43"/>
      <c r="BE618" s="43"/>
      <c r="BF618" s="43"/>
      <c r="BG618" s="43"/>
      <c r="BH618" s="43"/>
      <c r="BI618" s="43"/>
      <c r="BJ618" s="43"/>
      <c r="BK618" s="43"/>
      <c r="BL618" s="43"/>
      <c r="BM618" s="43"/>
      <c r="BN618" s="43"/>
      <c r="BO618" s="43"/>
      <c r="BP618" s="43"/>
      <c r="BQ618" s="43"/>
      <c r="BR618" s="43"/>
      <c r="BS618" s="43"/>
      <c r="BT618" s="43"/>
      <c r="BU618" s="43"/>
      <c r="BV618" s="43"/>
      <c r="BW618" s="43"/>
      <c r="BX618" s="43"/>
      <c r="BY618" s="43"/>
      <c r="B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c r="AE619" s="43"/>
      <c r="AF619" s="43"/>
      <c r="AG619" s="43"/>
      <c r="AH619" s="43"/>
      <c r="AI619" s="43"/>
      <c r="AJ619" s="43"/>
      <c r="AK619" s="43"/>
      <c r="AL619" s="43"/>
      <c r="AM619" s="43"/>
      <c r="AN619" s="43"/>
      <c r="AO619" s="43"/>
      <c r="AP619" s="43"/>
      <c r="AQ619" s="43"/>
      <c r="AR619" s="43"/>
      <c r="AS619" s="43"/>
      <c r="AT619" s="43"/>
      <c r="AU619" s="43"/>
      <c r="AV619" s="43"/>
      <c r="AW619" s="43"/>
      <c r="AX619" s="43"/>
      <c r="AY619" s="43"/>
      <c r="AZ619" s="43"/>
      <c r="BA619" s="43"/>
      <c r="BB619" s="43"/>
      <c r="BC619" s="43"/>
      <c r="BD619" s="43"/>
      <c r="BE619" s="43"/>
      <c r="BF619" s="43"/>
      <c r="BG619" s="43"/>
      <c r="BH619" s="43"/>
      <c r="BI619" s="43"/>
      <c r="BJ619" s="43"/>
      <c r="BK619" s="43"/>
      <c r="BL619" s="43"/>
      <c r="BM619" s="43"/>
      <c r="BN619" s="43"/>
      <c r="BO619" s="43"/>
      <c r="BP619" s="43"/>
      <c r="BQ619" s="43"/>
      <c r="BR619" s="43"/>
      <c r="BS619" s="43"/>
      <c r="BT619" s="43"/>
      <c r="BU619" s="43"/>
      <c r="BV619" s="43"/>
      <c r="BW619" s="43"/>
      <c r="BX619" s="43"/>
      <c r="BY619" s="43"/>
      <c r="B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c r="AE620" s="43"/>
      <c r="AF620" s="43"/>
      <c r="AG620" s="43"/>
      <c r="AH620" s="43"/>
      <c r="AI620" s="43"/>
      <c r="AJ620" s="43"/>
      <c r="AK620" s="43"/>
      <c r="AL620" s="43"/>
      <c r="AM620" s="43"/>
      <c r="AN620" s="43"/>
      <c r="AO620" s="43"/>
      <c r="AP620" s="43"/>
      <c r="AQ620" s="43"/>
      <c r="AR620" s="43"/>
      <c r="AS620" s="43"/>
      <c r="AT620" s="43"/>
      <c r="AU620" s="43"/>
      <c r="AV620" s="43"/>
      <c r="AW620" s="43"/>
      <c r="AX620" s="43"/>
      <c r="AY620" s="43"/>
      <c r="AZ620" s="43"/>
      <c r="BA620" s="43"/>
      <c r="BB620" s="43"/>
      <c r="BC620" s="43"/>
      <c r="BD620" s="43"/>
      <c r="BE620" s="43"/>
      <c r="BF620" s="43"/>
      <c r="BG620" s="43"/>
      <c r="BH620" s="43"/>
      <c r="BI620" s="43"/>
      <c r="BJ620" s="43"/>
      <c r="BK620" s="43"/>
      <c r="BL620" s="43"/>
      <c r="BM620" s="43"/>
      <c r="BN620" s="43"/>
      <c r="BO620" s="43"/>
      <c r="BP620" s="43"/>
      <c r="BQ620" s="43"/>
      <c r="BR620" s="43"/>
      <c r="BS620" s="43"/>
      <c r="BT620" s="43"/>
      <c r="BU620" s="43"/>
      <c r="BV620" s="43"/>
      <c r="BW620" s="43"/>
      <c r="BX620" s="43"/>
      <c r="BY620" s="43"/>
      <c r="B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c r="BC621" s="43"/>
      <c r="BD621" s="43"/>
      <c r="BE621" s="43"/>
      <c r="BF621" s="43"/>
      <c r="BG621" s="43"/>
      <c r="BH621" s="43"/>
      <c r="BI621" s="43"/>
      <c r="BJ621" s="43"/>
      <c r="BK621" s="43"/>
      <c r="BL621" s="43"/>
      <c r="BM621" s="43"/>
      <c r="BN621" s="43"/>
      <c r="BO621" s="43"/>
      <c r="BP621" s="43"/>
      <c r="BQ621" s="43"/>
      <c r="BR621" s="43"/>
      <c r="BS621" s="43"/>
      <c r="BT621" s="43"/>
      <c r="BU621" s="43"/>
      <c r="BV621" s="43"/>
      <c r="BW621" s="43"/>
      <c r="BX621" s="43"/>
      <c r="BY621" s="43"/>
      <c r="B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c r="AE622" s="43"/>
      <c r="AF622" s="43"/>
      <c r="AG622" s="43"/>
      <c r="AH622" s="43"/>
      <c r="AI622" s="43"/>
      <c r="AJ622" s="43"/>
      <c r="AK622" s="43"/>
      <c r="AL622" s="43"/>
      <c r="AM622" s="43"/>
      <c r="AN622" s="43"/>
      <c r="AO622" s="43"/>
      <c r="AP622" s="43"/>
      <c r="AQ622" s="43"/>
      <c r="AR622" s="43"/>
      <c r="AS622" s="43"/>
      <c r="AT622" s="43"/>
      <c r="AU622" s="43"/>
      <c r="AV622" s="43"/>
      <c r="AW622" s="43"/>
      <c r="AX622" s="43"/>
      <c r="AY622" s="43"/>
      <c r="AZ622" s="43"/>
      <c r="BA622" s="43"/>
      <c r="BB622" s="43"/>
      <c r="BC622" s="43"/>
      <c r="BD622" s="43"/>
      <c r="BE622" s="43"/>
      <c r="BF622" s="43"/>
      <c r="BG622" s="43"/>
      <c r="BH622" s="43"/>
      <c r="BI622" s="43"/>
      <c r="BJ622" s="43"/>
      <c r="BK622" s="43"/>
      <c r="BL622" s="43"/>
      <c r="BM622" s="43"/>
      <c r="BN622" s="43"/>
      <c r="BO622" s="43"/>
      <c r="BP622" s="43"/>
      <c r="BQ622" s="43"/>
      <c r="BR622" s="43"/>
      <c r="BS622" s="43"/>
      <c r="BT622" s="43"/>
      <c r="BU622" s="43"/>
      <c r="BV622" s="43"/>
      <c r="BW622" s="43"/>
      <c r="BX622" s="43"/>
      <c r="BY622" s="43"/>
      <c r="B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c r="AE623" s="43"/>
      <c r="AF623" s="43"/>
      <c r="AG623" s="43"/>
      <c r="AH623" s="43"/>
      <c r="AI623" s="43"/>
      <c r="AJ623" s="43"/>
      <c r="AK623" s="43"/>
      <c r="AL623" s="43"/>
      <c r="AM623" s="43"/>
      <c r="AN623" s="43"/>
      <c r="AO623" s="43"/>
      <c r="AP623" s="43"/>
      <c r="AQ623" s="43"/>
      <c r="AR623" s="43"/>
      <c r="AS623" s="43"/>
      <c r="AT623" s="43"/>
      <c r="AU623" s="43"/>
      <c r="AV623" s="43"/>
      <c r="AW623" s="43"/>
      <c r="AX623" s="43"/>
      <c r="AY623" s="43"/>
      <c r="AZ623" s="43"/>
      <c r="BA623" s="43"/>
      <c r="BB623" s="43"/>
      <c r="BC623" s="43"/>
      <c r="BD623" s="43"/>
      <c r="BE623" s="43"/>
      <c r="BF623" s="43"/>
      <c r="BG623" s="43"/>
      <c r="BH623" s="43"/>
      <c r="BI623" s="43"/>
      <c r="BJ623" s="43"/>
      <c r="BK623" s="43"/>
      <c r="BL623" s="43"/>
      <c r="BM623" s="43"/>
      <c r="BN623" s="43"/>
      <c r="BO623" s="43"/>
      <c r="BP623" s="43"/>
      <c r="BQ623" s="43"/>
      <c r="BR623" s="43"/>
      <c r="BS623" s="43"/>
      <c r="BT623" s="43"/>
      <c r="BU623" s="43"/>
      <c r="BV623" s="43"/>
      <c r="BW623" s="43"/>
      <c r="BX623" s="43"/>
      <c r="BY623" s="43"/>
      <c r="B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c r="AE624" s="43"/>
      <c r="AF624" s="43"/>
      <c r="AG624" s="43"/>
      <c r="AH624" s="43"/>
      <c r="AI624" s="43"/>
      <c r="AJ624" s="43"/>
      <c r="AK624" s="43"/>
      <c r="AL624" s="43"/>
      <c r="AM624" s="43"/>
      <c r="AN624" s="43"/>
      <c r="AO624" s="43"/>
      <c r="AP624" s="43"/>
      <c r="AQ624" s="43"/>
      <c r="AR624" s="43"/>
      <c r="AS624" s="43"/>
      <c r="AT624" s="43"/>
      <c r="AU624" s="43"/>
      <c r="AV624" s="43"/>
      <c r="AW624" s="43"/>
      <c r="AX624" s="43"/>
      <c r="AY624" s="43"/>
      <c r="AZ624" s="43"/>
      <c r="BA624" s="43"/>
      <c r="BB624" s="43"/>
      <c r="BC624" s="43"/>
      <c r="BD624" s="43"/>
      <c r="BE624" s="43"/>
      <c r="BF624" s="43"/>
      <c r="BG624" s="43"/>
      <c r="BH624" s="43"/>
      <c r="BI624" s="43"/>
      <c r="BJ624" s="43"/>
      <c r="BK624" s="43"/>
      <c r="BL624" s="43"/>
      <c r="BM624" s="43"/>
      <c r="BN624" s="43"/>
      <c r="BO624" s="43"/>
      <c r="BP624" s="43"/>
      <c r="BQ624" s="43"/>
      <c r="BR624" s="43"/>
      <c r="BS624" s="43"/>
      <c r="BT624" s="43"/>
      <c r="BU624" s="43"/>
      <c r="BV624" s="43"/>
      <c r="BW624" s="43"/>
      <c r="BX624" s="43"/>
      <c r="BY624" s="43"/>
      <c r="B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c r="AE625" s="43"/>
      <c r="AF625" s="43"/>
      <c r="AG625" s="43"/>
      <c r="AH625" s="43"/>
      <c r="AI625" s="43"/>
      <c r="AJ625" s="43"/>
      <c r="AK625" s="43"/>
      <c r="AL625" s="43"/>
      <c r="AM625" s="43"/>
      <c r="AN625" s="43"/>
      <c r="AO625" s="43"/>
      <c r="AP625" s="43"/>
      <c r="AQ625" s="43"/>
      <c r="AR625" s="43"/>
      <c r="AS625" s="43"/>
      <c r="AT625" s="43"/>
      <c r="AU625" s="43"/>
      <c r="AV625" s="43"/>
      <c r="AW625" s="43"/>
      <c r="AX625" s="43"/>
      <c r="AY625" s="43"/>
      <c r="AZ625" s="43"/>
      <c r="BA625" s="43"/>
      <c r="BB625" s="43"/>
      <c r="BC625" s="43"/>
      <c r="BD625" s="43"/>
      <c r="BE625" s="43"/>
      <c r="BF625" s="43"/>
      <c r="BG625" s="43"/>
      <c r="BH625" s="43"/>
      <c r="BI625" s="43"/>
      <c r="BJ625" s="43"/>
      <c r="BK625" s="43"/>
      <c r="BL625" s="43"/>
      <c r="BM625" s="43"/>
      <c r="BN625" s="43"/>
      <c r="BO625" s="43"/>
      <c r="BP625" s="43"/>
      <c r="BQ625" s="43"/>
      <c r="BR625" s="43"/>
      <c r="BS625" s="43"/>
      <c r="BT625" s="43"/>
      <c r="BU625" s="43"/>
      <c r="BV625" s="43"/>
      <c r="BW625" s="43"/>
      <c r="BX625" s="43"/>
      <c r="BY625" s="43"/>
      <c r="B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c r="AE626" s="43"/>
      <c r="AF626" s="43"/>
      <c r="AG626" s="43"/>
      <c r="AH626" s="43"/>
      <c r="AI626" s="43"/>
      <c r="AJ626" s="43"/>
      <c r="AK626" s="43"/>
      <c r="AL626" s="43"/>
      <c r="AM626" s="43"/>
      <c r="AN626" s="43"/>
      <c r="AO626" s="43"/>
      <c r="AP626" s="43"/>
      <c r="AQ626" s="43"/>
      <c r="AR626" s="43"/>
      <c r="AS626" s="43"/>
      <c r="AT626" s="43"/>
      <c r="AU626" s="43"/>
      <c r="AV626" s="43"/>
      <c r="AW626" s="43"/>
      <c r="AX626" s="43"/>
      <c r="AY626" s="43"/>
      <c r="AZ626" s="43"/>
      <c r="BA626" s="43"/>
      <c r="BB626" s="43"/>
      <c r="BC626" s="43"/>
      <c r="BD626" s="43"/>
      <c r="BE626" s="43"/>
      <c r="BF626" s="43"/>
      <c r="BG626" s="43"/>
      <c r="BH626" s="43"/>
      <c r="BI626" s="43"/>
      <c r="BJ626" s="43"/>
      <c r="BK626" s="43"/>
      <c r="BL626" s="43"/>
      <c r="BM626" s="43"/>
      <c r="BN626" s="43"/>
      <c r="BO626" s="43"/>
      <c r="BP626" s="43"/>
      <c r="BQ626" s="43"/>
      <c r="BR626" s="43"/>
      <c r="BS626" s="43"/>
      <c r="BT626" s="43"/>
      <c r="BU626" s="43"/>
      <c r="BV626" s="43"/>
      <c r="BW626" s="43"/>
      <c r="BX626" s="43"/>
      <c r="BY626" s="43"/>
      <c r="B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c r="AE627" s="43"/>
      <c r="AF627" s="43"/>
      <c r="AG627" s="43"/>
      <c r="AH627" s="43"/>
      <c r="AI627" s="43"/>
      <c r="AJ627" s="43"/>
      <c r="AK627" s="43"/>
      <c r="AL627" s="43"/>
      <c r="AM627" s="43"/>
      <c r="AN627" s="43"/>
      <c r="AO627" s="43"/>
      <c r="AP627" s="43"/>
      <c r="AQ627" s="43"/>
      <c r="AR627" s="43"/>
      <c r="AS627" s="43"/>
      <c r="AT627" s="43"/>
      <c r="AU627" s="43"/>
      <c r="AV627" s="43"/>
      <c r="AW627" s="43"/>
      <c r="AX627" s="43"/>
      <c r="AY627" s="43"/>
      <c r="AZ627" s="43"/>
      <c r="BA627" s="43"/>
      <c r="BB627" s="43"/>
      <c r="BC627" s="43"/>
      <c r="BD627" s="43"/>
      <c r="BE627" s="43"/>
      <c r="BF627" s="43"/>
      <c r="BG627" s="43"/>
      <c r="BH627" s="43"/>
      <c r="BI627" s="43"/>
      <c r="BJ627" s="43"/>
      <c r="BK627" s="43"/>
      <c r="BL627" s="43"/>
      <c r="BM627" s="43"/>
      <c r="BN627" s="43"/>
      <c r="BO627" s="43"/>
      <c r="BP627" s="43"/>
      <c r="BQ627" s="43"/>
      <c r="BR627" s="43"/>
      <c r="BS627" s="43"/>
      <c r="BT627" s="43"/>
      <c r="BU627" s="43"/>
      <c r="BV627" s="43"/>
      <c r="BW627" s="43"/>
      <c r="BX627" s="43"/>
      <c r="BY627" s="43"/>
      <c r="B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c r="AE628" s="43"/>
      <c r="AF628" s="43"/>
      <c r="AG628" s="43"/>
      <c r="AH628" s="43"/>
      <c r="AI628" s="43"/>
      <c r="AJ628" s="43"/>
      <c r="AK628" s="43"/>
      <c r="AL628" s="43"/>
      <c r="AM628" s="43"/>
      <c r="AN628" s="43"/>
      <c r="AO628" s="43"/>
      <c r="AP628" s="43"/>
      <c r="AQ628" s="43"/>
      <c r="AR628" s="43"/>
      <c r="AS628" s="43"/>
      <c r="AT628" s="43"/>
      <c r="AU628" s="43"/>
      <c r="AV628" s="43"/>
      <c r="AW628" s="43"/>
      <c r="AX628" s="43"/>
      <c r="AY628" s="43"/>
      <c r="AZ628" s="43"/>
      <c r="BA628" s="43"/>
      <c r="BB628" s="43"/>
      <c r="BC628" s="43"/>
      <c r="BD628" s="43"/>
      <c r="BE628" s="43"/>
      <c r="BF628" s="43"/>
      <c r="BG628" s="43"/>
      <c r="BH628" s="43"/>
      <c r="BI628" s="43"/>
      <c r="BJ628" s="43"/>
      <c r="BK628" s="43"/>
      <c r="BL628" s="43"/>
      <c r="BM628" s="43"/>
      <c r="BN628" s="43"/>
      <c r="BO628" s="43"/>
      <c r="BP628" s="43"/>
      <c r="BQ628" s="43"/>
      <c r="BR628" s="43"/>
      <c r="BS628" s="43"/>
      <c r="BT628" s="43"/>
      <c r="BU628" s="43"/>
      <c r="BV628" s="43"/>
      <c r="BW628" s="43"/>
      <c r="BX628" s="43"/>
      <c r="BY628" s="43"/>
      <c r="B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c r="AE629" s="43"/>
      <c r="AF629" s="43"/>
      <c r="AG629" s="43"/>
      <c r="AH629" s="43"/>
      <c r="AI629" s="43"/>
      <c r="AJ629" s="43"/>
      <c r="AK629" s="43"/>
      <c r="AL629" s="43"/>
      <c r="AM629" s="43"/>
      <c r="AN629" s="43"/>
      <c r="AO629" s="43"/>
      <c r="AP629" s="43"/>
      <c r="AQ629" s="43"/>
      <c r="AR629" s="43"/>
      <c r="AS629" s="43"/>
      <c r="AT629" s="43"/>
      <c r="AU629" s="43"/>
      <c r="AV629" s="43"/>
      <c r="AW629" s="43"/>
      <c r="AX629" s="43"/>
      <c r="AY629" s="43"/>
      <c r="AZ629" s="43"/>
      <c r="BA629" s="43"/>
      <c r="BB629" s="43"/>
      <c r="BC629" s="43"/>
      <c r="BD629" s="43"/>
      <c r="BE629" s="43"/>
      <c r="BF629" s="43"/>
      <c r="BG629" s="43"/>
      <c r="BH629" s="43"/>
      <c r="BI629" s="43"/>
      <c r="BJ629" s="43"/>
      <c r="BK629" s="43"/>
      <c r="BL629" s="43"/>
      <c r="BM629" s="43"/>
      <c r="BN629" s="43"/>
      <c r="BO629" s="43"/>
      <c r="BP629" s="43"/>
      <c r="BQ629" s="43"/>
      <c r="BR629" s="43"/>
      <c r="BS629" s="43"/>
      <c r="BT629" s="43"/>
      <c r="BU629" s="43"/>
      <c r="BV629" s="43"/>
      <c r="BW629" s="43"/>
      <c r="BX629" s="43"/>
      <c r="BY629" s="43"/>
      <c r="B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c r="AE630" s="43"/>
      <c r="AF630" s="43"/>
      <c r="AG630" s="43"/>
      <c r="AH630" s="43"/>
      <c r="AI630" s="43"/>
      <c r="AJ630" s="43"/>
      <c r="AK630" s="43"/>
      <c r="AL630" s="43"/>
      <c r="AM630" s="43"/>
      <c r="AN630" s="43"/>
      <c r="AO630" s="43"/>
      <c r="AP630" s="43"/>
      <c r="AQ630" s="43"/>
      <c r="AR630" s="43"/>
      <c r="AS630" s="43"/>
      <c r="AT630" s="43"/>
      <c r="AU630" s="43"/>
      <c r="AV630" s="43"/>
      <c r="AW630" s="43"/>
      <c r="AX630" s="43"/>
      <c r="AY630" s="43"/>
      <c r="AZ630" s="43"/>
      <c r="BA630" s="43"/>
      <c r="BB630" s="43"/>
      <c r="BC630" s="43"/>
      <c r="BD630" s="43"/>
      <c r="BE630" s="43"/>
      <c r="BF630" s="43"/>
      <c r="BG630" s="43"/>
      <c r="BH630" s="43"/>
      <c r="BI630" s="43"/>
      <c r="BJ630" s="43"/>
      <c r="BK630" s="43"/>
      <c r="BL630" s="43"/>
      <c r="BM630" s="43"/>
      <c r="BN630" s="43"/>
      <c r="BO630" s="43"/>
      <c r="BP630" s="43"/>
      <c r="BQ630" s="43"/>
      <c r="BR630" s="43"/>
      <c r="BS630" s="43"/>
      <c r="BT630" s="43"/>
      <c r="BU630" s="43"/>
      <c r="BV630" s="43"/>
      <c r="BW630" s="43"/>
      <c r="BX630" s="43"/>
      <c r="BY630" s="43"/>
      <c r="B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c r="AE631" s="43"/>
      <c r="AF631" s="43"/>
      <c r="AG631" s="43"/>
      <c r="AH631" s="43"/>
      <c r="AI631" s="43"/>
      <c r="AJ631" s="43"/>
      <c r="AK631" s="43"/>
      <c r="AL631" s="43"/>
      <c r="AM631" s="43"/>
      <c r="AN631" s="43"/>
      <c r="AO631" s="43"/>
      <c r="AP631" s="43"/>
      <c r="AQ631" s="43"/>
      <c r="AR631" s="43"/>
      <c r="AS631" s="43"/>
      <c r="AT631" s="43"/>
      <c r="AU631" s="43"/>
      <c r="AV631" s="43"/>
      <c r="AW631" s="43"/>
      <c r="AX631" s="43"/>
      <c r="AY631" s="43"/>
      <c r="AZ631" s="43"/>
      <c r="BA631" s="43"/>
      <c r="BB631" s="43"/>
      <c r="BC631" s="43"/>
      <c r="BD631" s="43"/>
      <c r="BE631" s="43"/>
      <c r="BF631" s="43"/>
      <c r="BG631" s="43"/>
      <c r="BH631" s="43"/>
      <c r="BI631" s="43"/>
      <c r="BJ631" s="43"/>
      <c r="BK631" s="43"/>
      <c r="BL631" s="43"/>
      <c r="BM631" s="43"/>
      <c r="BN631" s="43"/>
      <c r="BO631" s="43"/>
      <c r="BP631" s="43"/>
      <c r="BQ631" s="43"/>
      <c r="BR631" s="43"/>
      <c r="BS631" s="43"/>
      <c r="BT631" s="43"/>
      <c r="BU631" s="43"/>
      <c r="BV631" s="43"/>
      <c r="BW631" s="43"/>
      <c r="BX631" s="43"/>
      <c r="BY631" s="43"/>
      <c r="B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c r="AE632" s="43"/>
      <c r="AF632" s="43"/>
      <c r="AG632" s="43"/>
      <c r="AH632" s="43"/>
      <c r="AI632" s="43"/>
      <c r="AJ632" s="43"/>
      <c r="AK632" s="43"/>
      <c r="AL632" s="43"/>
      <c r="AM632" s="43"/>
      <c r="AN632" s="43"/>
      <c r="AO632" s="43"/>
      <c r="AP632" s="43"/>
      <c r="AQ632" s="43"/>
      <c r="AR632" s="43"/>
      <c r="AS632" s="43"/>
      <c r="AT632" s="43"/>
      <c r="AU632" s="43"/>
      <c r="AV632" s="43"/>
      <c r="AW632" s="43"/>
      <c r="AX632" s="43"/>
      <c r="AY632" s="43"/>
      <c r="AZ632" s="43"/>
      <c r="BA632" s="43"/>
      <c r="BB632" s="43"/>
      <c r="BC632" s="43"/>
      <c r="BD632" s="43"/>
      <c r="BE632" s="43"/>
      <c r="BF632" s="43"/>
      <c r="BG632" s="43"/>
      <c r="BH632" s="43"/>
      <c r="BI632" s="43"/>
      <c r="BJ632" s="43"/>
      <c r="BK632" s="43"/>
      <c r="BL632" s="43"/>
      <c r="BM632" s="43"/>
      <c r="BN632" s="43"/>
      <c r="BO632" s="43"/>
      <c r="BP632" s="43"/>
      <c r="BQ632" s="43"/>
      <c r="BR632" s="43"/>
      <c r="BS632" s="43"/>
      <c r="BT632" s="43"/>
      <c r="BU632" s="43"/>
      <c r="BV632" s="43"/>
      <c r="BW632" s="43"/>
      <c r="BX632" s="43"/>
      <c r="BY632" s="43"/>
      <c r="B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c r="AE633" s="43"/>
      <c r="AF633" s="43"/>
      <c r="AG633" s="43"/>
      <c r="AH633" s="43"/>
      <c r="AI633" s="43"/>
      <c r="AJ633" s="43"/>
      <c r="AK633" s="43"/>
      <c r="AL633" s="43"/>
      <c r="AM633" s="43"/>
      <c r="AN633" s="43"/>
      <c r="AO633" s="43"/>
      <c r="AP633" s="43"/>
      <c r="AQ633" s="43"/>
      <c r="AR633" s="43"/>
      <c r="AS633" s="43"/>
      <c r="AT633" s="43"/>
      <c r="AU633" s="43"/>
      <c r="AV633" s="43"/>
      <c r="AW633" s="43"/>
      <c r="AX633" s="43"/>
      <c r="AY633" s="43"/>
      <c r="AZ633" s="43"/>
      <c r="BA633" s="43"/>
      <c r="BB633" s="43"/>
      <c r="BC633" s="43"/>
      <c r="BD633" s="43"/>
      <c r="BE633" s="43"/>
      <c r="BF633" s="43"/>
      <c r="BG633" s="43"/>
      <c r="BH633" s="43"/>
      <c r="BI633" s="43"/>
      <c r="BJ633" s="43"/>
      <c r="BK633" s="43"/>
      <c r="BL633" s="43"/>
      <c r="BM633" s="43"/>
      <c r="BN633" s="43"/>
      <c r="BO633" s="43"/>
      <c r="BP633" s="43"/>
      <c r="BQ633" s="43"/>
      <c r="BR633" s="43"/>
      <c r="BS633" s="43"/>
      <c r="BT633" s="43"/>
      <c r="BU633" s="43"/>
      <c r="BV633" s="43"/>
      <c r="BW633" s="43"/>
      <c r="BX633" s="43"/>
      <c r="BY633" s="43"/>
      <c r="B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c r="AE634" s="43"/>
      <c r="AF634" s="43"/>
      <c r="AG634" s="43"/>
      <c r="AH634" s="43"/>
      <c r="AI634" s="43"/>
      <c r="AJ634" s="43"/>
      <c r="AK634" s="43"/>
      <c r="AL634" s="43"/>
      <c r="AM634" s="43"/>
      <c r="AN634" s="43"/>
      <c r="AO634" s="43"/>
      <c r="AP634" s="43"/>
      <c r="AQ634" s="43"/>
      <c r="AR634" s="43"/>
      <c r="AS634" s="43"/>
      <c r="AT634" s="43"/>
      <c r="AU634" s="43"/>
      <c r="AV634" s="43"/>
      <c r="AW634" s="43"/>
      <c r="AX634" s="43"/>
      <c r="AY634" s="43"/>
      <c r="AZ634" s="43"/>
      <c r="BA634" s="43"/>
      <c r="BB634" s="43"/>
      <c r="BC634" s="43"/>
      <c r="BD634" s="43"/>
      <c r="BE634" s="43"/>
      <c r="BF634" s="43"/>
      <c r="BG634" s="43"/>
      <c r="BH634" s="43"/>
      <c r="BI634" s="43"/>
      <c r="BJ634" s="43"/>
      <c r="BK634" s="43"/>
      <c r="BL634" s="43"/>
      <c r="BM634" s="43"/>
      <c r="BN634" s="43"/>
      <c r="BO634" s="43"/>
      <c r="BP634" s="43"/>
      <c r="BQ634" s="43"/>
      <c r="BR634" s="43"/>
      <c r="BS634" s="43"/>
      <c r="BT634" s="43"/>
      <c r="BU634" s="43"/>
      <c r="BV634" s="43"/>
      <c r="BW634" s="43"/>
      <c r="BX634" s="43"/>
      <c r="BY634" s="43"/>
      <c r="B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c r="AE635" s="43"/>
      <c r="AF635" s="43"/>
      <c r="AG635" s="43"/>
      <c r="AH635" s="43"/>
      <c r="AI635" s="43"/>
      <c r="AJ635" s="43"/>
      <c r="AK635" s="43"/>
      <c r="AL635" s="43"/>
      <c r="AM635" s="43"/>
      <c r="AN635" s="43"/>
      <c r="AO635" s="43"/>
      <c r="AP635" s="43"/>
      <c r="AQ635" s="43"/>
      <c r="AR635" s="43"/>
      <c r="AS635" s="43"/>
      <c r="AT635" s="43"/>
      <c r="AU635" s="43"/>
      <c r="AV635" s="43"/>
      <c r="AW635" s="43"/>
      <c r="AX635" s="43"/>
      <c r="AY635" s="43"/>
      <c r="AZ635" s="43"/>
      <c r="BA635" s="43"/>
      <c r="BB635" s="43"/>
      <c r="BC635" s="43"/>
      <c r="BD635" s="43"/>
      <c r="BE635" s="43"/>
      <c r="BF635" s="43"/>
      <c r="BG635" s="43"/>
      <c r="BH635" s="43"/>
      <c r="BI635" s="43"/>
      <c r="BJ635" s="43"/>
      <c r="BK635" s="43"/>
      <c r="BL635" s="43"/>
      <c r="BM635" s="43"/>
      <c r="BN635" s="43"/>
      <c r="BO635" s="43"/>
      <c r="BP635" s="43"/>
      <c r="BQ635" s="43"/>
      <c r="BR635" s="43"/>
      <c r="BS635" s="43"/>
      <c r="BT635" s="43"/>
      <c r="BU635" s="43"/>
      <c r="BV635" s="43"/>
      <c r="BW635" s="43"/>
      <c r="BX635" s="43"/>
      <c r="BY635" s="43"/>
      <c r="B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c r="AE636" s="43"/>
      <c r="AF636" s="43"/>
      <c r="AG636" s="43"/>
      <c r="AH636" s="43"/>
      <c r="AI636" s="43"/>
      <c r="AJ636" s="43"/>
      <c r="AK636" s="43"/>
      <c r="AL636" s="43"/>
      <c r="AM636" s="43"/>
      <c r="AN636" s="43"/>
      <c r="AO636" s="43"/>
      <c r="AP636" s="43"/>
      <c r="AQ636" s="43"/>
      <c r="AR636" s="43"/>
      <c r="AS636" s="43"/>
      <c r="AT636" s="43"/>
      <c r="AU636" s="43"/>
      <c r="AV636" s="43"/>
      <c r="AW636" s="43"/>
      <c r="AX636" s="43"/>
      <c r="AY636" s="43"/>
      <c r="AZ636" s="43"/>
      <c r="BA636" s="43"/>
      <c r="BB636" s="43"/>
      <c r="BC636" s="43"/>
      <c r="BD636" s="43"/>
      <c r="BE636" s="43"/>
      <c r="BF636" s="43"/>
      <c r="BG636" s="43"/>
      <c r="BH636" s="43"/>
      <c r="BI636" s="43"/>
      <c r="BJ636" s="43"/>
      <c r="BK636" s="43"/>
      <c r="BL636" s="43"/>
      <c r="BM636" s="43"/>
      <c r="BN636" s="43"/>
      <c r="BO636" s="43"/>
      <c r="BP636" s="43"/>
      <c r="BQ636" s="43"/>
      <c r="BR636" s="43"/>
      <c r="BS636" s="43"/>
      <c r="BT636" s="43"/>
      <c r="BU636" s="43"/>
      <c r="BV636" s="43"/>
      <c r="BW636" s="43"/>
      <c r="BX636" s="43"/>
      <c r="BY636" s="43"/>
      <c r="B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c r="AE637" s="43"/>
      <c r="AF637" s="43"/>
      <c r="AG637" s="43"/>
      <c r="AH637" s="43"/>
      <c r="AI637" s="43"/>
      <c r="AJ637" s="43"/>
      <c r="AK637" s="43"/>
      <c r="AL637" s="43"/>
      <c r="AM637" s="43"/>
      <c r="AN637" s="43"/>
      <c r="AO637" s="43"/>
      <c r="AP637" s="43"/>
      <c r="AQ637" s="43"/>
      <c r="AR637" s="43"/>
      <c r="AS637" s="43"/>
      <c r="AT637" s="43"/>
      <c r="AU637" s="43"/>
      <c r="AV637" s="43"/>
      <c r="AW637" s="43"/>
      <c r="AX637" s="43"/>
      <c r="AY637" s="43"/>
      <c r="AZ637" s="43"/>
      <c r="BA637" s="43"/>
      <c r="BB637" s="43"/>
      <c r="BC637" s="43"/>
      <c r="BD637" s="43"/>
      <c r="BE637" s="43"/>
      <c r="BF637" s="43"/>
      <c r="BG637" s="43"/>
      <c r="BH637" s="43"/>
      <c r="BI637" s="43"/>
      <c r="BJ637" s="43"/>
      <c r="BK637" s="43"/>
      <c r="BL637" s="43"/>
      <c r="BM637" s="43"/>
      <c r="BN637" s="43"/>
      <c r="BO637" s="43"/>
      <c r="BP637" s="43"/>
      <c r="BQ637" s="43"/>
      <c r="BR637" s="43"/>
      <c r="BS637" s="43"/>
      <c r="BT637" s="43"/>
      <c r="BU637" s="43"/>
      <c r="BV637" s="43"/>
      <c r="BW637" s="43"/>
      <c r="BX637" s="43"/>
      <c r="BY637" s="43"/>
      <c r="B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c r="AE638" s="43"/>
      <c r="AF638" s="43"/>
      <c r="AG638" s="43"/>
      <c r="AH638" s="43"/>
      <c r="AI638" s="43"/>
      <c r="AJ638" s="43"/>
      <c r="AK638" s="43"/>
      <c r="AL638" s="43"/>
      <c r="AM638" s="43"/>
      <c r="AN638" s="43"/>
      <c r="AO638" s="43"/>
      <c r="AP638" s="43"/>
      <c r="AQ638" s="43"/>
      <c r="AR638" s="43"/>
      <c r="AS638" s="43"/>
      <c r="AT638" s="43"/>
      <c r="AU638" s="43"/>
      <c r="AV638" s="43"/>
      <c r="AW638" s="43"/>
      <c r="AX638" s="43"/>
      <c r="AY638" s="43"/>
      <c r="AZ638" s="43"/>
      <c r="BA638" s="43"/>
      <c r="BB638" s="43"/>
      <c r="BC638" s="43"/>
      <c r="BD638" s="43"/>
      <c r="BE638" s="43"/>
      <c r="BF638" s="43"/>
      <c r="BG638" s="43"/>
      <c r="BH638" s="43"/>
      <c r="BI638" s="43"/>
      <c r="BJ638" s="43"/>
      <c r="BK638" s="43"/>
      <c r="BL638" s="43"/>
      <c r="BM638" s="43"/>
      <c r="BN638" s="43"/>
      <c r="BO638" s="43"/>
      <c r="BP638" s="43"/>
      <c r="BQ638" s="43"/>
      <c r="BR638" s="43"/>
      <c r="BS638" s="43"/>
      <c r="BT638" s="43"/>
      <c r="BU638" s="43"/>
      <c r="BV638" s="43"/>
      <c r="BW638" s="43"/>
      <c r="BX638" s="43"/>
      <c r="BY638" s="43"/>
      <c r="B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c r="AE639" s="43"/>
      <c r="AF639" s="43"/>
      <c r="AG639" s="43"/>
      <c r="AH639" s="43"/>
      <c r="AI639" s="43"/>
      <c r="AJ639" s="43"/>
      <c r="AK639" s="43"/>
      <c r="AL639" s="43"/>
      <c r="AM639" s="43"/>
      <c r="AN639" s="43"/>
      <c r="AO639" s="43"/>
      <c r="AP639" s="43"/>
      <c r="AQ639" s="43"/>
      <c r="AR639" s="43"/>
      <c r="AS639" s="43"/>
      <c r="AT639" s="43"/>
      <c r="AU639" s="43"/>
      <c r="AV639" s="43"/>
      <c r="AW639" s="43"/>
      <c r="AX639" s="43"/>
      <c r="AY639" s="43"/>
      <c r="AZ639" s="43"/>
      <c r="BA639" s="43"/>
      <c r="BB639" s="43"/>
      <c r="BC639" s="43"/>
      <c r="BD639" s="43"/>
      <c r="BE639" s="43"/>
      <c r="BF639" s="43"/>
      <c r="BG639" s="43"/>
      <c r="BH639" s="43"/>
      <c r="BI639" s="43"/>
      <c r="BJ639" s="43"/>
      <c r="BK639" s="43"/>
      <c r="BL639" s="43"/>
      <c r="BM639" s="43"/>
      <c r="BN639" s="43"/>
      <c r="BO639" s="43"/>
      <c r="BP639" s="43"/>
      <c r="BQ639" s="43"/>
      <c r="BR639" s="43"/>
      <c r="BS639" s="43"/>
      <c r="BT639" s="43"/>
      <c r="BU639" s="43"/>
      <c r="BV639" s="43"/>
      <c r="BW639" s="43"/>
      <c r="BX639" s="43"/>
      <c r="BY639" s="43"/>
      <c r="B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c r="AE640" s="43"/>
      <c r="AF640" s="43"/>
      <c r="AG640" s="43"/>
      <c r="AH640" s="43"/>
      <c r="AI640" s="43"/>
      <c r="AJ640" s="43"/>
      <c r="AK640" s="43"/>
      <c r="AL640" s="43"/>
      <c r="AM640" s="43"/>
      <c r="AN640" s="43"/>
      <c r="AO640" s="43"/>
      <c r="AP640" s="43"/>
      <c r="AQ640" s="43"/>
      <c r="AR640" s="43"/>
      <c r="AS640" s="43"/>
      <c r="AT640" s="43"/>
      <c r="AU640" s="43"/>
      <c r="AV640" s="43"/>
      <c r="AW640" s="43"/>
      <c r="AX640" s="43"/>
      <c r="AY640" s="43"/>
      <c r="AZ640" s="43"/>
      <c r="BA640" s="43"/>
      <c r="BB640" s="43"/>
      <c r="BC640" s="43"/>
      <c r="BD640" s="43"/>
      <c r="BE640" s="43"/>
      <c r="BF640" s="43"/>
      <c r="BG640" s="43"/>
      <c r="BH640" s="43"/>
      <c r="BI640" s="43"/>
      <c r="BJ640" s="43"/>
      <c r="BK640" s="43"/>
      <c r="BL640" s="43"/>
      <c r="BM640" s="43"/>
      <c r="BN640" s="43"/>
      <c r="BO640" s="43"/>
      <c r="BP640" s="43"/>
      <c r="BQ640" s="43"/>
      <c r="BR640" s="43"/>
      <c r="BS640" s="43"/>
      <c r="BT640" s="43"/>
      <c r="BU640" s="43"/>
      <c r="BV640" s="43"/>
      <c r="BW640" s="43"/>
      <c r="BX640" s="43"/>
      <c r="BY640" s="43"/>
      <c r="B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c r="AE641" s="43"/>
      <c r="AF641" s="43"/>
      <c r="AG641" s="43"/>
      <c r="AH641" s="43"/>
      <c r="AI641" s="43"/>
      <c r="AJ641" s="43"/>
      <c r="AK641" s="43"/>
      <c r="AL641" s="43"/>
      <c r="AM641" s="43"/>
      <c r="AN641" s="43"/>
      <c r="AO641" s="43"/>
      <c r="AP641" s="43"/>
      <c r="AQ641" s="43"/>
      <c r="AR641" s="43"/>
      <c r="AS641" s="43"/>
      <c r="AT641" s="43"/>
      <c r="AU641" s="43"/>
      <c r="AV641" s="43"/>
      <c r="AW641" s="43"/>
      <c r="AX641" s="43"/>
      <c r="AY641" s="43"/>
      <c r="AZ641" s="43"/>
      <c r="BA641" s="43"/>
      <c r="BB641" s="43"/>
      <c r="BC641" s="43"/>
      <c r="BD641" s="43"/>
      <c r="BE641" s="43"/>
      <c r="BF641" s="43"/>
      <c r="BG641" s="43"/>
      <c r="BH641" s="43"/>
      <c r="BI641" s="43"/>
      <c r="BJ641" s="43"/>
      <c r="BK641" s="43"/>
      <c r="BL641" s="43"/>
      <c r="BM641" s="43"/>
      <c r="BN641" s="43"/>
      <c r="BO641" s="43"/>
      <c r="BP641" s="43"/>
      <c r="BQ641" s="43"/>
      <c r="BR641" s="43"/>
      <c r="BS641" s="43"/>
      <c r="BT641" s="43"/>
      <c r="BU641" s="43"/>
      <c r="BV641" s="43"/>
      <c r="BW641" s="43"/>
      <c r="BX641" s="43"/>
      <c r="BY641" s="43"/>
      <c r="B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c r="AE642" s="43"/>
      <c r="AF642" s="43"/>
      <c r="AG642" s="43"/>
      <c r="AH642" s="43"/>
      <c r="AI642" s="43"/>
      <c r="AJ642" s="43"/>
      <c r="AK642" s="43"/>
      <c r="AL642" s="43"/>
      <c r="AM642" s="43"/>
      <c r="AN642" s="43"/>
      <c r="AO642" s="43"/>
      <c r="AP642" s="43"/>
      <c r="AQ642" s="43"/>
      <c r="AR642" s="43"/>
      <c r="AS642" s="43"/>
      <c r="AT642" s="43"/>
      <c r="AU642" s="43"/>
      <c r="AV642" s="43"/>
      <c r="AW642" s="43"/>
      <c r="AX642" s="43"/>
      <c r="AY642" s="43"/>
      <c r="AZ642" s="43"/>
      <c r="BA642" s="43"/>
      <c r="BB642" s="43"/>
      <c r="BC642" s="43"/>
      <c r="BD642" s="43"/>
      <c r="BE642" s="43"/>
      <c r="BF642" s="43"/>
      <c r="BG642" s="43"/>
      <c r="BH642" s="43"/>
      <c r="BI642" s="43"/>
      <c r="BJ642" s="43"/>
      <c r="BK642" s="43"/>
      <c r="BL642" s="43"/>
      <c r="BM642" s="43"/>
      <c r="BN642" s="43"/>
      <c r="BO642" s="43"/>
      <c r="BP642" s="43"/>
      <c r="BQ642" s="43"/>
      <c r="BR642" s="43"/>
      <c r="BS642" s="43"/>
      <c r="BT642" s="43"/>
      <c r="BU642" s="43"/>
      <c r="BV642" s="43"/>
      <c r="BW642" s="43"/>
      <c r="BX642" s="43"/>
      <c r="BY642" s="43"/>
      <c r="B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c r="AE643" s="43"/>
      <c r="AF643" s="43"/>
      <c r="AG643" s="43"/>
      <c r="AH643" s="43"/>
      <c r="AI643" s="43"/>
      <c r="AJ643" s="43"/>
      <c r="AK643" s="43"/>
      <c r="AL643" s="43"/>
      <c r="AM643" s="43"/>
      <c r="AN643" s="43"/>
      <c r="AO643" s="43"/>
      <c r="AP643" s="43"/>
      <c r="AQ643" s="43"/>
      <c r="AR643" s="43"/>
      <c r="AS643" s="43"/>
      <c r="AT643" s="43"/>
      <c r="AU643" s="43"/>
      <c r="AV643" s="43"/>
      <c r="AW643" s="43"/>
      <c r="AX643" s="43"/>
      <c r="AY643" s="43"/>
      <c r="AZ643" s="43"/>
      <c r="BA643" s="43"/>
      <c r="BB643" s="43"/>
      <c r="BC643" s="43"/>
      <c r="BD643" s="43"/>
      <c r="BE643" s="43"/>
      <c r="BF643" s="43"/>
      <c r="BG643" s="43"/>
      <c r="BH643" s="43"/>
      <c r="BI643" s="43"/>
      <c r="BJ643" s="43"/>
      <c r="BK643" s="43"/>
      <c r="BL643" s="43"/>
      <c r="BM643" s="43"/>
      <c r="BN643" s="43"/>
      <c r="BO643" s="43"/>
      <c r="BP643" s="43"/>
      <c r="BQ643" s="43"/>
      <c r="BR643" s="43"/>
      <c r="BS643" s="43"/>
      <c r="BT643" s="43"/>
      <c r="BU643" s="43"/>
      <c r="BV643" s="43"/>
      <c r="BW643" s="43"/>
      <c r="BX643" s="43"/>
      <c r="BY643" s="43"/>
      <c r="B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c r="AE644" s="43"/>
      <c r="AF644" s="43"/>
      <c r="AG644" s="43"/>
      <c r="AH644" s="43"/>
      <c r="AI644" s="43"/>
      <c r="AJ644" s="43"/>
      <c r="AK644" s="43"/>
      <c r="AL644" s="43"/>
      <c r="AM644" s="43"/>
      <c r="AN644" s="43"/>
      <c r="AO644" s="43"/>
      <c r="AP644" s="43"/>
      <c r="AQ644" s="43"/>
      <c r="AR644" s="43"/>
      <c r="AS644" s="43"/>
      <c r="AT644" s="43"/>
      <c r="AU644" s="43"/>
      <c r="AV644" s="43"/>
      <c r="AW644" s="43"/>
      <c r="AX644" s="43"/>
      <c r="AY644" s="43"/>
      <c r="AZ644" s="43"/>
      <c r="BA644" s="43"/>
      <c r="BB644" s="43"/>
      <c r="BC644" s="43"/>
      <c r="BD644" s="43"/>
      <c r="BE644" s="43"/>
      <c r="BF644" s="43"/>
      <c r="BG644" s="43"/>
      <c r="BH644" s="43"/>
      <c r="BI644" s="43"/>
      <c r="BJ644" s="43"/>
      <c r="BK644" s="43"/>
      <c r="BL644" s="43"/>
      <c r="BM644" s="43"/>
      <c r="BN644" s="43"/>
      <c r="BO644" s="43"/>
      <c r="BP644" s="43"/>
      <c r="BQ644" s="43"/>
      <c r="BR644" s="43"/>
      <c r="BS644" s="43"/>
      <c r="BT644" s="43"/>
      <c r="BU644" s="43"/>
      <c r="BV644" s="43"/>
      <c r="BW644" s="43"/>
      <c r="BX644" s="43"/>
      <c r="BY644" s="43"/>
      <c r="B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c r="AE645" s="43"/>
      <c r="AF645" s="43"/>
      <c r="AG645" s="43"/>
      <c r="AH645" s="43"/>
      <c r="AI645" s="43"/>
      <c r="AJ645" s="43"/>
      <c r="AK645" s="43"/>
      <c r="AL645" s="43"/>
      <c r="AM645" s="43"/>
      <c r="AN645" s="43"/>
      <c r="AO645" s="43"/>
      <c r="AP645" s="43"/>
      <c r="AQ645" s="43"/>
      <c r="AR645" s="43"/>
      <c r="AS645" s="43"/>
      <c r="AT645" s="43"/>
      <c r="AU645" s="43"/>
      <c r="AV645" s="43"/>
      <c r="AW645" s="43"/>
      <c r="AX645" s="43"/>
      <c r="AY645" s="43"/>
      <c r="AZ645" s="43"/>
      <c r="BA645" s="43"/>
      <c r="BB645" s="43"/>
      <c r="BC645" s="43"/>
      <c r="BD645" s="43"/>
      <c r="BE645" s="43"/>
      <c r="BF645" s="43"/>
      <c r="BG645" s="43"/>
      <c r="BH645" s="43"/>
      <c r="BI645" s="43"/>
      <c r="BJ645" s="43"/>
      <c r="BK645" s="43"/>
      <c r="BL645" s="43"/>
      <c r="BM645" s="43"/>
      <c r="BN645" s="43"/>
      <c r="BO645" s="43"/>
      <c r="BP645" s="43"/>
      <c r="BQ645" s="43"/>
      <c r="BR645" s="43"/>
      <c r="BS645" s="43"/>
      <c r="BT645" s="43"/>
      <c r="BU645" s="43"/>
      <c r="BV645" s="43"/>
      <c r="BW645" s="43"/>
      <c r="BX645" s="43"/>
      <c r="BY645" s="43"/>
      <c r="B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c r="AE646" s="43"/>
      <c r="AF646" s="43"/>
      <c r="AG646" s="43"/>
      <c r="AH646" s="43"/>
      <c r="AI646" s="43"/>
      <c r="AJ646" s="43"/>
      <c r="AK646" s="43"/>
      <c r="AL646" s="43"/>
      <c r="AM646" s="43"/>
      <c r="AN646" s="43"/>
      <c r="AO646" s="43"/>
      <c r="AP646" s="43"/>
      <c r="AQ646" s="43"/>
      <c r="AR646" s="43"/>
      <c r="AS646" s="43"/>
      <c r="AT646" s="43"/>
      <c r="AU646" s="43"/>
      <c r="AV646" s="43"/>
      <c r="AW646" s="43"/>
      <c r="AX646" s="43"/>
      <c r="AY646" s="43"/>
      <c r="AZ646" s="43"/>
      <c r="BA646" s="43"/>
      <c r="BB646" s="43"/>
      <c r="BC646" s="43"/>
      <c r="BD646" s="43"/>
      <c r="BE646" s="43"/>
      <c r="BF646" s="43"/>
      <c r="BG646" s="43"/>
      <c r="BH646" s="43"/>
      <c r="BI646" s="43"/>
      <c r="BJ646" s="43"/>
      <c r="BK646" s="43"/>
      <c r="BL646" s="43"/>
      <c r="BM646" s="43"/>
      <c r="BN646" s="43"/>
      <c r="BO646" s="43"/>
      <c r="BP646" s="43"/>
      <c r="BQ646" s="43"/>
      <c r="BR646" s="43"/>
      <c r="BS646" s="43"/>
      <c r="BT646" s="43"/>
      <c r="BU646" s="43"/>
      <c r="BV646" s="43"/>
      <c r="BW646" s="43"/>
      <c r="BX646" s="43"/>
      <c r="BY646" s="43"/>
      <c r="B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c r="AE647" s="43"/>
      <c r="AF647" s="43"/>
      <c r="AG647" s="43"/>
      <c r="AH647" s="43"/>
      <c r="AI647" s="43"/>
      <c r="AJ647" s="43"/>
      <c r="AK647" s="43"/>
      <c r="AL647" s="43"/>
      <c r="AM647" s="43"/>
      <c r="AN647" s="43"/>
      <c r="AO647" s="43"/>
      <c r="AP647" s="43"/>
      <c r="AQ647" s="43"/>
      <c r="AR647" s="43"/>
      <c r="AS647" s="43"/>
      <c r="AT647" s="43"/>
      <c r="AU647" s="43"/>
      <c r="AV647" s="43"/>
      <c r="AW647" s="43"/>
      <c r="AX647" s="43"/>
      <c r="AY647" s="43"/>
      <c r="AZ647" s="43"/>
      <c r="BA647" s="43"/>
      <c r="BB647" s="43"/>
      <c r="BC647" s="43"/>
      <c r="BD647" s="43"/>
      <c r="BE647" s="43"/>
      <c r="BF647" s="43"/>
      <c r="BG647" s="43"/>
      <c r="BH647" s="43"/>
      <c r="BI647" s="43"/>
      <c r="BJ647" s="43"/>
      <c r="BK647" s="43"/>
      <c r="BL647" s="43"/>
      <c r="BM647" s="43"/>
      <c r="BN647" s="43"/>
      <c r="BO647" s="43"/>
      <c r="BP647" s="43"/>
      <c r="BQ647" s="43"/>
      <c r="BR647" s="43"/>
      <c r="BS647" s="43"/>
      <c r="BT647" s="43"/>
      <c r="BU647" s="43"/>
      <c r="BV647" s="43"/>
      <c r="BW647" s="43"/>
      <c r="BX647" s="43"/>
      <c r="BY647" s="43"/>
      <c r="B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c r="BC648" s="43"/>
      <c r="BD648" s="43"/>
      <c r="BE648" s="43"/>
      <c r="BF648" s="43"/>
      <c r="BG648" s="43"/>
      <c r="BH648" s="43"/>
      <c r="BI648" s="43"/>
      <c r="BJ648" s="43"/>
      <c r="BK648" s="43"/>
      <c r="BL648" s="43"/>
      <c r="BM648" s="43"/>
      <c r="BN648" s="43"/>
      <c r="BO648" s="43"/>
      <c r="BP648" s="43"/>
      <c r="BQ648" s="43"/>
      <c r="BR648" s="43"/>
      <c r="BS648" s="43"/>
      <c r="BT648" s="43"/>
      <c r="BU648" s="43"/>
      <c r="BV648" s="43"/>
      <c r="BW648" s="43"/>
      <c r="BX648" s="43"/>
      <c r="BY648" s="43"/>
      <c r="B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c r="AE649" s="43"/>
      <c r="AF649" s="43"/>
      <c r="AG649" s="43"/>
      <c r="AH649" s="43"/>
      <c r="AI649" s="43"/>
      <c r="AJ649" s="43"/>
      <c r="AK649" s="43"/>
      <c r="AL649" s="43"/>
      <c r="AM649" s="43"/>
      <c r="AN649" s="43"/>
      <c r="AO649" s="43"/>
      <c r="AP649" s="43"/>
      <c r="AQ649" s="43"/>
      <c r="AR649" s="43"/>
      <c r="AS649" s="43"/>
      <c r="AT649" s="43"/>
      <c r="AU649" s="43"/>
      <c r="AV649" s="43"/>
      <c r="AW649" s="43"/>
      <c r="AX649" s="43"/>
      <c r="AY649" s="43"/>
      <c r="AZ649" s="43"/>
      <c r="BA649" s="43"/>
      <c r="BB649" s="43"/>
      <c r="BC649" s="43"/>
      <c r="BD649" s="43"/>
      <c r="BE649" s="43"/>
      <c r="BF649" s="43"/>
      <c r="BG649" s="43"/>
      <c r="BH649" s="43"/>
      <c r="BI649" s="43"/>
      <c r="BJ649" s="43"/>
      <c r="BK649" s="43"/>
      <c r="BL649" s="43"/>
      <c r="BM649" s="43"/>
      <c r="BN649" s="43"/>
      <c r="BO649" s="43"/>
      <c r="BP649" s="43"/>
      <c r="BQ649" s="43"/>
      <c r="BR649" s="43"/>
      <c r="BS649" s="43"/>
      <c r="BT649" s="43"/>
      <c r="BU649" s="43"/>
      <c r="BV649" s="43"/>
      <c r="BW649" s="43"/>
      <c r="BX649" s="43"/>
      <c r="BY649" s="43"/>
      <c r="B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J650" s="43"/>
      <c r="AK650" s="43"/>
      <c r="AL650" s="43"/>
      <c r="AM650" s="43"/>
      <c r="AN650" s="43"/>
      <c r="AO650" s="43"/>
      <c r="AP650" s="43"/>
      <c r="AQ650" s="43"/>
      <c r="AR650" s="43"/>
      <c r="AS650" s="43"/>
      <c r="AT650" s="43"/>
      <c r="AU650" s="43"/>
      <c r="AV650" s="43"/>
      <c r="AW650" s="43"/>
      <c r="AX650" s="43"/>
      <c r="AY650" s="43"/>
      <c r="AZ650" s="43"/>
      <c r="BA650" s="43"/>
      <c r="BB650" s="43"/>
      <c r="BC650" s="43"/>
      <c r="BD650" s="43"/>
      <c r="BE650" s="43"/>
      <c r="BF650" s="43"/>
      <c r="BG650" s="43"/>
      <c r="BH650" s="43"/>
      <c r="BI650" s="43"/>
      <c r="BJ650" s="43"/>
      <c r="BK650" s="43"/>
      <c r="BL650" s="43"/>
      <c r="BM650" s="43"/>
      <c r="BN650" s="43"/>
      <c r="BO650" s="43"/>
      <c r="BP650" s="43"/>
      <c r="BQ650" s="43"/>
      <c r="BR650" s="43"/>
      <c r="BS650" s="43"/>
      <c r="BT650" s="43"/>
      <c r="BU650" s="43"/>
      <c r="BV650" s="43"/>
      <c r="BW650" s="43"/>
      <c r="BX650" s="43"/>
      <c r="BY650" s="43"/>
      <c r="B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c r="AE651" s="43"/>
      <c r="AF651" s="43"/>
      <c r="AG651" s="43"/>
      <c r="AH651" s="43"/>
      <c r="AI651" s="43"/>
      <c r="AJ651" s="43"/>
      <c r="AK651" s="43"/>
      <c r="AL651" s="43"/>
      <c r="AM651" s="43"/>
      <c r="AN651" s="43"/>
      <c r="AO651" s="43"/>
      <c r="AP651" s="43"/>
      <c r="AQ651" s="43"/>
      <c r="AR651" s="43"/>
      <c r="AS651" s="43"/>
      <c r="AT651" s="43"/>
      <c r="AU651" s="43"/>
      <c r="AV651" s="43"/>
      <c r="AW651" s="43"/>
      <c r="AX651" s="43"/>
      <c r="AY651" s="43"/>
      <c r="AZ651" s="43"/>
      <c r="BA651" s="43"/>
      <c r="BB651" s="43"/>
      <c r="BC651" s="43"/>
      <c r="BD651" s="43"/>
      <c r="BE651" s="43"/>
      <c r="BF651" s="43"/>
      <c r="BG651" s="43"/>
      <c r="BH651" s="43"/>
      <c r="BI651" s="43"/>
      <c r="BJ651" s="43"/>
      <c r="BK651" s="43"/>
      <c r="BL651" s="43"/>
      <c r="BM651" s="43"/>
      <c r="BN651" s="43"/>
      <c r="BO651" s="43"/>
      <c r="BP651" s="43"/>
      <c r="BQ651" s="43"/>
      <c r="BR651" s="43"/>
      <c r="BS651" s="43"/>
      <c r="BT651" s="43"/>
      <c r="BU651" s="43"/>
      <c r="BV651" s="43"/>
      <c r="BW651" s="43"/>
      <c r="BX651" s="43"/>
      <c r="BY651" s="43"/>
      <c r="B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c r="AE652" s="43"/>
      <c r="AF652" s="43"/>
      <c r="AG652" s="43"/>
      <c r="AH652" s="43"/>
      <c r="AI652" s="43"/>
      <c r="AJ652" s="43"/>
      <c r="AK652" s="43"/>
      <c r="AL652" s="43"/>
      <c r="AM652" s="43"/>
      <c r="AN652" s="43"/>
      <c r="AO652" s="43"/>
      <c r="AP652" s="43"/>
      <c r="AQ652" s="43"/>
      <c r="AR652" s="43"/>
      <c r="AS652" s="43"/>
      <c r="AT652" s="43"/>
      <c r="AU652" s="43"/>
      <c r="AV652" s="43"/>
      <c r="AW652" s="43"/>
      <c r="AX652" s="43"/>
      <c r="AY652" s="43"/>
      <c r="AZ652" s="43"/>
      <c r="BA652" s="43"/>
      <c r="BB652" s="43"/>
      <c r="BC652" s="43"/>
      <c r="BD652" s="43"/>
      <c r="BE652" s="43"/>
      <c r="BF652" s="43"/>
      <c r="BG652" s="43"/>
      <c r="BH652" s="43"/>
      <c r="BI652" s="43"/>
      <c r="BJ652" s="43"/>
      <c r="BK652" s="43"/>
      <c r="BL652" s="43"/>
      <c r="BM652" s="43"/>
      <c r="BN652" s="43"/>
      <c r="BO652" s="43"/>
      <c r="BP652" s="43"/>
      <c r="BQ652" s="43"/>
      <c r="BR652" s="43"/>
      <c r="BS652" s="43"/>
      <c r="BT652" s="43"/>
      <c r="BU652" s="43"/>
      <c r="BV652" s="43"/>
      <c r="BW652" s="43"/>
      <c r="BX652" s="43"/>
      <c r="BY652" s="43"/>
      <c r="B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c r="AE653" s="43"/>
      <c r="AF653" s="43"/>
      <c r="AG653" s="43"/>
      <c r="AH653" s="43"/>
      <c r="AI653" s="43"/>
      <c r="AJ653" s="43"/>
      <c r="AK653" s="43"/>
      <c r="AL653" s="43"/>
      <c r="AM653" s="43"/>
      <c r="AN653" s="43"/>
      <c r="AO653" s="43"/>
      <c r="AP653" s="43"/>
      <c r="AQ653" s="43"/>
      <c r="AR653" s="43"/>
      <c r="AS653" s="43"/>
      <c r="AT653" s="43"/>
      <c r="AU653" s="43"/>
      <c r="AV653" s="43"/>
      <c r="AW653" s="43"/>
      <c r="AX653" s="43"/>
      <c r="AY653" s="43"/>
      <c r="AZ653" s="43"/>
      <c r="BA653" s="43"/>
      <c r="BB653" s="43"/>
      <c r="BC653" s="43"/>
      <c r="BD653" s="43"/>
      <c r="BE653" s="43"/>
      <c r="BF653" s="43"/>
      <c r="BG653" s="43"/>
      <c r="BH653" s="43"/>
      <c r="BI653" s="43"/>
      <c r="BJ653" s="43"/>
      <c r="BK653" s="43"/>
      <c r="BL653" s="43"/>
      <c r="BM653" s="43"/>
      <c r="BN653" s="43"/>
      <c r="BO653" s="43"/>
      <c r="BP653" s="43"/>
      <c r="BQ653" s="43"/>
      <c r="BR653" s="43"/>
      <c r="BS653" s="43"/>
      <c r="BT653" s="43"/>
      <c r="BU653" s="43"/>
      <c r="BV653" s="43"/>
      <c r="BW653" s="43"/>
      <c r="BX653" s="43"/>
      <c r="BY653" s="43"/>
      <c r="B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c r="AH654" s="43"/>
      <c r="AI654" s="43"/>
      <c r="AJ654" s="43"/>
      <c r="AK654" s="43"/>
      <c r="AL654" s="43"/>
      <c r="AM654" s="43"/>
      <c r="AN654" s="43"/>
      <c r="AO654" s="43"/>
      <c r="AP654" s="43"/>
      <c r="AQ654" s="43"/>
      <c r="AR654" s="43"/>
      <c r="AS654" s="43"/>
      <c r="AT654" s="43"/>
      <c r="AU654" s="43"/>
      <c r="AV654" s="43"/>
      <c r="AW654" s="43"/>
      <c r="AX654" s="43"/>
      <c r="AY654" s="43"/>
      <c r="AZ654" s="43"/>
      <c r="BA654" s="43"/>
      <c r="BB654" s="43"/>
      <c r="BC654" s="43"/>
      <c r="BD654" s="43"/>
      <c r="BE654" s="43"/>
      <c r="BF654" s="43"/>
      <c r="BG654" s="43"/>
      <c r="BH654" s="43"/>
      <c r="BI654" s="43"/>
      <c r="BJ654" s="43"/>
      <c r="BK654" s="43"/>
      <c r="BL654" s="43"/>
      <c r="BM654" s="43"/>
      <c r="BN654" s="43"/>
      <c r="BO654" s="43"/>
      <c r="BP654" s="43"/>
      <c r="BQ654" s="43"/>
      <c r="BR654" s="43"/>
      <c r="BS654" s="43"/>
      <c r="BT654" s="43"/>
      <c r="BU654" s="43"/>
      <c r="BV654" s="43"/>
      <c r="BW654" s="43"/>
      <c r="BX654" s="43"/>
      <c r="BY654" s="43"/>
      <c r="B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c r="AE655" s="43"/>
      <c r="AF655" s="43"/>
      <c r="AG655" s="43"/>
      <c r="AH655" s="43"/>
      <c r="AI655" s="43"/>
      <c r="AJ655" s="43"/>
      <c r="AK655" s="43"/>
      <c r="AL655" s="43"/>
      <c r="AM655" s="43"/>
      <c r="AN655" s="43"/>
      <c r="AO655" s="43"/>
      <c r="AP655" s="43"/>
      <c r="AQ655" s="43"/>
      <c r="AR655" s="43"/>
      <c r="AS655" s="43"/>
      <c r="AT655" s="43"/>
      <c r="AU655" s="43"/>
      <c r="AV655" s="43"/>
      <c r="AW655" s="43"/>
      <c r="AX655" s="43"/>
      <c r="AY655" s="43"/>
      <c r="AZ655" s="43"/>
      <c r="BA655" s="43"/>
      <c r="BB655" s="43"/>
      <c r="BC655" s="43"/>
      <c r="BD655" s="43"/>
      <c r="BE655" s="43"/>
      <c r="BF655" s="43"/>
      <c r="BG655" s="43"/>
      <c r="BH655" s="43"/>
      <c r="BI655" s="43"/>
      <c r="BJ655" s="43"/>
      <c r="BK655" s="43"/>
      <c r="BL655" s="43"/>
      <c r="BM655" s="43"/>
      <c r="BN655" s="43"/>
      <c r="BO655" s="43"/>
      <c r="BP655" s="43"/>
      <c r="BQ655" s="43"/>
      <c r="BR655" s="43"/>
      <c r="BS655" s="43"/>
      <c r="BT655" s="43"/>
      <c r="BU655" s="43"/>
      <c r="BV655" s="43"/>
      <c r="BW655" s="43"/>
      <c r="BX655" s="43"/>
      <c r="BY655" s="43"/>
      <c r="B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c r="AE656" s="43"/>
      <c r="AF656" s="43"/>
      <c r="AG656" s="43"/>
      <c r="AH656" s="43"/>
      <c r="AI656" s="43"/>
      <c r="AJ656" s="43"/>
      <c r="AK656" s="43"/>
      <c r="AL656" s="43"/>
      <c r="AM656" s="43"/>
      <c r="AN656" s="43"/>
      <c r="AO656" s="43"/>
      <c r="AP656" s="43"/>
      <c r="AQ656" s="43"/>
      <c r="AR656" s="43"/>
      <c r="AS656" s="43"/>
      <c r="AT656" s="43"/>
      <c r="AU656" s="43"/>
      <c r="AV656" s="43"/>
      <c r="AW656" s="43"/>
      <c r="AX656" s="43"/>
      <c r="AY656" s="43"/>
      <c r="AZ656" s="43"/>
      <c r="BA656" s="43"/>
      <c r="BB656" s="43"/>
      <c r="BC656" s="43"/>
      <c r="BD656" s="43"/>
      <c r="BE656" s="43"/>
      <c r="BF656" s="43"/>
      <c r="BG656" s="43"/>
      <c r="BH656" s="43"/>
      <c r="BI656" s="43"/>
      <c r="BJ656" s="43"/>
      <c r="BK656" s="43"/>
      <c r="BL656" s="43"/>
      <c r="BM656" s="43"/>
      <c r="BN656" s="43"/>
      <c r="BO656" s="43"/>
      <c r="BP656" s="43"/>
      <c r="BQ656" s="43"/>
      <c r="BR656" s="43"/>
      <c r="BS656" s="43"/>
      <c r="BT656" s="43"/>
      <c r="BU656" s="43"/>
      <c r="BV656" s="43"/>
      <c r="BW656" s="43"/>
      <c r="BX656" s="43"/>
      <c r="BY656" s="43"/>
      <c r="B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c r="AE657" s="43"/>
      <c r="AF657" s="43"/>
      <c r="AG657" s="43"/>
      <c r="AH657" s="43"/>
      <c r="AI657" s="43"/>
      <c r="AJ657" s="43"/>
      <c r="AK657" s="43"/>
      <c r="AL657" s="43"/>
      <c r="AM657" s="43"/>
      <c r="AN657" s="43"/>
      <c r="AO657" s="43"/>
      <c r="AP657" s="43"/>
      <c r="AQ657" s="43"/>
      <c r="AR657" s="43"/>
      <c r="AS657" s="43"/>
      <c r="AT657" s="43"/>
      <c r="AU657" s="43"/>
      <c r="AV657" s="43"/>
      <c r="AW657" s="43"/>
      <c r="AX657" s="43"/>
      <c r="AY657" s="43"/>
      <c r="AZ657" s="43"/>
      <c r="BA657" s="43"/>
      <c r="BB657" s="43"/>
      <c r="BC657" s="43"/>
      <c r="BD657" s="43"/>
      <c r="BE657" s="43"/>
      <c r="BF657" s="43"/>
      <c r="BG657" s="43"/>
      <c r="BH657" s="43"/>
      <c r="BI657" s="43"/>
      <c r="BJ657" s="43"/>
      <c r="BK657" s="43"/>
      <c r="BL657" s="43"/>
      <c r="BM657" s="43"/>
      <c r="BN657" s="43"/>
      <c r="BO657" s="43"/>
      <c r="BP657" s="43"/>
      <c r="BQ657" s="43"/>
      <c r="BR657" s="43"/>
      <c r="BS657" s="43"/>
      <c r="BT657" s="43"/>
      <c r="BU657" s="43"/>
      <c r="BV657" s="43"/>
      <c r="BW657" s="43"/>
      <c r="BX657" s="43"/>
      <c r="BY657" s="43"/>
      <c r="B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c r="AE658" s="43"/>
      <c r="AF658" s="43"/>
      <c r="AG658" s="43"/>
      <c r="AH658" s="43"/>
      <c r="AI658" s="43"/>
      <c r="AJ658" s="43"/>
      <c r="AK658" s="43"/>
      <c r="AL658" s="43"/>
      <c r="AM658" s="43"/>
      <c r="AN658" s="43"/>
      <c r="AO658" s="43"/>
      <c r="AP658" s="43"/>
      <c r="AQ658" s="43"/>
      <c r="AR658" s="43"/>
      <c r="AS658" s="43"/>
      <c r="AT658" s="43"/>
      <c r="AU658" s="43"/>
      <c r="AV658" s="43"/>
      <c r="AW658" s="43"/>
      <c r="AX658" s="43"/>
      <c r="AY658" s="43"/>
      <c r="AZ658" s="43"/>
      <c r="BA658" s="43"/>
      <c r="BB658" s="43"/>
      <c r="BC658" s="43"/>
      <c r="BD658" s="43"/>
      <c r="BE658" s="43"/>
      <c r="BF658" s="43"/>
      <c r="BG658" s="43"/>
      <c r="BH658" s="43"/>
      <c r="BI658" s="43"/>
      <c r="BJ658" s="43"/>
      <c r="BK658" s="43"/>
      <c r="BL658" s="43"/>
      <c r="BM658" s="43"/>
      <c r="BN658" s="43"/>
      <c r="BO658" s="43"/>
      <c r="BP658" s="43"/>
      <c r="BQ658" s="43"/>
      <c r="BR658" s="43"/>
      <c r="BS658" s="43"/>
      <c r="BT658" s="43"/>
      <c r="BU658" s="43"/>
      <c r="BV658" s="43"/>
      <c r="BW658" s="43"/>
      <c r="BX658" s="43"/>
      <c r="BY658" s="43"/>
      <c r="B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c r="AE659" s="43"/>
      <c r="AF659" s="43"/>
      <c r="AG659" s="43"/>
      <c r="AH659" s="43"/>
      <c r="AI659" s="43"/>
      <c r="AJ659" s="43"/>
      <c r="AK659" s="43"/>
      <c r="AL659" s="43"/>
      <c r="AM659" s="43"/>
      <c r="AN659" s="43"/>
      <c r="AO659" s="43"/>
      <c r="AP659" s="43"/>
      <c r="AQ659" s="43"/>
      <c r="AR659" s="43"/>
      <c r="AS659" s="43"/>
      <c r="AT659" s="43"/>
      <c r="AU659" s="43"/>
      <c r="AV659" s="43"/>
      <c r="AW659" s="43"/>
      <c r="AX659" s="43"/>
      <c r="AY659" s="43"/>
      <c r="AZ659" s="43"/>
      <c r="BA659" s="43"/>
      <c r="BB659" s="43"/>
      <c r="BC659" s="43"/>
      <c r="BD659" s="43"/>
      <c r="BE659" s="43"/>
      <c r="BF659" s="43"/>
      <c r="BG659" s="43"/>
      <c r="BH659" s="43"/>
      <c r="BI659" s="43"/>
      <c r="BJ659" s="43"/>
      <c r="BK659" s="43"/>
      <c r="BL659" s="43"/>
      <c r="BM659" s="43"/>
      <c r="BN659" s="43"/>
      <c r="BO659" s="43"/>
      <c r="BP659" s="43"/>
      <c r="BQ659" s="43"/>
      <c r="BR659" s="43"/>
      <c r="BS659" s="43"/>
      <c r="BT659" s="43"/>
      <c r="BU659" s="43"/>
      <c r="BV659" s="43"/>
      <c r="BW659" s="43"/>
      <c r="BX659" s="43"/>
      <c r="BY659" s="43"/>
      <c r="B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c r="AE660" s="43"/>
      <c r="AF660" s="43"/>
      <c r="AG660" s="43"/>
      <c r="AH660" s="43"/>
      <c r="AI660" s="43"/>
      <c r="AJ660" s="43"/>
      <c r="AK660" s="43"/>
      <c r="AL660" s="43"/>
      <c r="AM660" s="43"/>
      <c r="AN660" s="43"/>
      <c r="AO660" s="43"/>
      <c r="AP660" s="43"/>
      <c r="AQ660" s="43"/>
      <c r="AR660" s="43"/>
      <c r="AS660" s="43"/>
      <c r="AT660" s="43"/>
      <c r="AU660" s="43"/>
      <c r="AV660" s="43"/>
      <c r="AW660" s="43"/>
      <c r="AX660" s="43"/>
      <c r="AY660" s="43"/>
      <c r="AZ660" s="43"/>
      <c r="BA660" s="43"/>
      <c r="BB660" s="43"/>
      <c r="BC660" s="43"/>
      <c r="BD660" s="43"/>
      <c r="BE660" s="43"/>
      <c r="BF660" s="43"/>
      <c r="BG660" s="43"/>
      <c r="BH660" s="43"/>
      <c r="BI660" s="43"/>
      <c r="BJ660" s="43"/>
      <c r="BK660" s="43"/>
      <c r="BL660" s="43"/>
      <c r="BM660" s="43"/>
      <c r="BN660" s="43"/>
      <c r="BO660" s="43"/>
      <c r="BP660" s="43"/>
      <c r="BQ660" s="43"/>
      <c r="BR660" s="43"/>
      <c r="BS660" s="43"/>
      <c r="BT660" s="43"/>
      <c r="BU660" s="43"/>
      <c r="BV660" s="43"/>
      <c r="BW660" s="43"/>
      <c r="BX660" s="43"/>
      <c r="BY660" s="43"/>
      <c r="B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c r="AE661" s="43"/>
      <c r="AF661" s="43"/>
      <c r="AG661" s="43"/>
      <c r="AH661" s="43"/>
      <c r="AI661" s="43"/>
      <c r="AJ661" s="43"/>
      <c r="AK661" s="43"/>
      <c r="AL661" s="43"/>
      <c r="AM661" s="43"/>
      <c r="AN661" s="43"/>
      <c r="AO661" s="43"/>
      <c r="AP661" s="43"/>
      <c r="AQ661" s="43"/>
      <c r="AR661" s="43"/>
      <c r="AS661" s="43"/>
      <c r="AT661" s="43"/>
      <c r="AU661" s="43"/>
      <c r="AV661" s="43"/>
      <c r="AW661" s="43"/>
      <c r="AX661" s="43"/>
      <c r="AY661" s="43"/>
      <c r="AZ661" s="43"/>
      <c r="BA661" s="43"/>
      <c r="BB661" s="43"/>
      <c r="BC661" s="43"/>
      <c r="BD661" s="43"/>
      <c r="BE661" s="43"/>
      <c r="BF661" s="43"/>
      <c r="BG661" s="43"/>
      <c r="BH661" s="43"/>
      <c r="BI661" s="43"/>
      <c r="BJ661" s="43"/>
      <c r="BK661" s="43"/>
      <c r="BL661" s="43"/>
      <c r="BM661" s="43"/>
      <c r="BN661" s="43"/>
      <c r="BO661" s="43"/>
      <c r="BP661" s="43"/>
      <c r="BQ661" s="43"/>
      <c r="BR661" s="43"/>
      <c r="BS661" s="43"/>
      <c r="BT661" s="43"/>
      <c r="BU661" s="43"/>
      <c r="BV661" s="43"/>
      <c r="BW661" s="43"/>
      <c r="BX661" s="43"/>
      <c r="BY661" s="43"/>
      <c r="B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c r="AH662" s="43"/>
      <c r="AI662" s="43"/>
      <c r="AJ662" s="43"/>
      <c r="AK662" s="43"/>
      <c r="AL662" s="43"/>
      <c r="AM662" s="43"/>
      <c r="AN662" s="43"/>
      <c r="AO662" s="43"/>
      <c r="AP662" s="43"/>
      <c r="AQ662" s="43"/>
      <c r="AR662" s="43"/>
      <c r="AS662" s="43"/>
      <c r="AT662" s="43"/>
      <c r="AU662" s="43"/>
      <c r="AV662" s="43"/>
      <c r="AW662" s="43"/>
      <c r="AX662" s="43"/>
      <c r="AY662" s="43"/>
      <c r="AZ662" s="43"/>
      <c r="BA662" s="43"/>
      <c r="BB662" s="43"/>
      <c r="BC662" s="43"/>
      <c r="BD662" s="43"/>
      <c r="BE662" s="43"/>
      <c r="BF662" s="43"/>
      <c r="BG662" s="43"/>
      <c r="BH662" s="43"/>
      <c r="BI662" s="43"/>
      <c r="BJ662" s="43"/>
      <c r="BK662" s="43"/>
      <c r="BL662" s="43"/>
      <c r="BM662" s="43"/>
      <c r="BN662" s="43"/>
      <c r="BO662" s="43"/>
      <c r="BP662" s="43"/>
      <c r="BQ662" s="43"/>
      <c r="BR662" s="43"/>
      <c r="BS662" s="43"/>
      <c r="BT662" s="43"/>
      <c r="BU662" s="43"/>
      <c r="BV662" s="43"/>
      <c r="BW662" s="43"/>
      <c r="BX662" s="43"/>
      <c r="BY662" s="43"/>
      <c r="B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c r="AE663" s="43"/>
      <c r="AF663" s="43"/>
      <c r="AG663" s="43"/>
      <c r="AH663" s="43"/>
      <c r="AI663" s="43"/>
      <c r="AJ663" s="43"/>
      <c r="AK663" s="43"/>
      <c r="AL663" s="43"/>
      <c r="AM663" s="43"/>
      <c r="AN663" s="43"/>
      <c r="AO663" s="43"/>
      <c r="AP663" s="43"/>
      <c r="AQ663" s="43"/>
      <c r="AR663" s="43"/>
      <c r="AS663" s="43"/>
      <c r="AT663" s="43"/>
      <c r="AU663" s="43"/>
      <c r="AV663" s="43"/>
      <c r="AW663" s="43"/>
      <c r="AX663" s="43"/>
      <c r="AY663" s="43"/>
      <c r="AZ663" s="43"/>
      <c r="BA663" s="43"/>
      <c r="BB663" s="43"/>
      <c r="BC663" s="43"/>
      <c r="BD663" s="43"/>
      <c r="BE663" s="43"/>
      <c r="BF663" s="43"/>
      <c r="BG663" s="43"/>
      <c r="BH663" s="43"/>
      <c r="BI663" s="43"/>
      <c r="BJ663" s="43"/>
      <c r="BK663" s="43"/>
      <c r="BL663" s="43"/>
      <c r="BM663" s="43"/>
      <c r="BN663" s="43"/>
      <c r="BO663" s="43"/>
      <c r="BP663" s="43"/>
      <c r="BQ663" s="43"/>
      <c r="BR663" s="43"/>
      <c r="BS663" s="43"/>
      <c r="BT663" s="43"/>
      <c r="BU663" s="43"/>
      <c r="BV663" s="43"/>
      <c r="BW663" s="43"/>
      <c r="BX663" s="43"/>
      <c r="BY663" s="43"/>
      <c r="B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c r="AE664" s="43"/>
      <c r="AF664" s="43"/>
      <c r="AG664" s="43"/>
      <c r="AH664" s="43"/>
      <c r="AI664" s="43"/>
      <c r="AJ664" s="43"/>
      <c r="AK664" s="43"/>
      <c r="AL664" s="43"/>
      <c r="AM664" s="43"/>
      <c r="AN664" s="43"/>
      <c r="AO664" s="43"/>
      <c r="AP664" s="43"/>
      <c r="AQ664" s="43"/>
      <c r="AR664" s="43"/>
      <c r="AS664" s="43"/>
      <c r="AT664" s="43"/>
      <c r="AU664" s="43"/>
      <c r="AV664" s="43"/>
      <c r="AW664" s="43"/>
      <c r="AX664" s="43"/>
      <c r="AY664" s="43"/>
      <c r="AZ664" s="43"/>
      <c r="BA664" s="43"/>
      <c r="BB664" s="43"/>
      <c r="BC664" s="43"/>
      <c r="BD664" s="43"/>
      <c r="BE664" s="43"/>
      <c r="BF664" s="43"/>
      <c r="BG664" s="43"/>
      <c r="BH664" s="43"/>
      <c r="BI664" s="43"/>
      <c r="BJ664" s="43"/>
      <c r="BK664" s="43"/>
      <c r="BL664" s="43"/>
      <c r="BM664" s="43"/>
      <c r="BN664" s="43"/>
      <c r="BO664" s="43"/>
      <c r="BP664" s="43"/>
      <c r="BQ664" s="43"/>
      <c r="BR664" s="43"/>
      <c r="BS664" s="43"/>
      <c r="BT664" s="43"/>
      <c r="BU664" s="43"/>
      <c r="BV664" s="43"/>
      <c r="BW664" s="43"/>
      <c r="BX664" s="43"/>
      <c r="BY664" s="43"/>
      <c r="B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c r="AE665" s="43"/>
      <c r="AF665" s="43"/>
      <c r="AG665" s="43"/>
      <c r="AH665" s="43"/>
      <c r="AI665" s="43"/>
      <c r="AJ665" s="43"/>
      <c r="AK665" s="43"/>
      <c r="AL665" s="43"/>
      <c r="AM665" s="43"/>
      <c r="AN665" s="43"/>
      <c r="AO665" s="43"/>
      <c r="AP665" s="43"/>
      <c r="AQ665" s="43"/>
      <c r="AR665" s="43"/>
      <c r="AS665" s="43"/>
      <c r="AT665" s="43"/>
      <c r="AU665" s="43"/>
      <c r="AV665" s="43"/>
      <c r="AW665" s="43"/>
      <c r="AX665" s="43"/>
      <c r="AY665" s="43"/>
      <c r="AZ665" s="43"/>
      <c r="BA665" s="43"/>
      <c r="BB665" s="43"/>
      <c r="BC665" s="43"/>
      <c r="BD665" s="43"/>
      <c r="BE665" s="43"/>
      <c r="BF665" s="43"/>
      <c r="BG665" s="43"/>
      <c r="BH665" s="43"/>
      <c r="BI665" s="43"/>
      <c r="BJ665" s="43"/>
      <c r="BK665" s="43"/>
      <c r="BL665" s="43"/>
      <c r="BM665" s="43"/>
      <c r="BN665" s="43"/>
      <c r="BO665" s="43"/>
      <c r="BP665" s="43"/>
      <c r="BQ665" s="43"/>
      <c r="BR665" s="43"/>
      <c r="BS665" s="43"/>
      <c r="BT665" s="43"/>
      <c r="BU665" s="43"/>
      <c r="BV665" s="43"/>
      <c r="BW665" s="43"/>
      <c r="BX665" s="43"/>
      <c r="BY665" s="43"/>
      <c r="B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c r="AE666" s="43"/>
      <c r="AF666" s="43"/>
      <c r="AG666" s="43"/>
      <c r="AH666" s="43"/>
      <c r="AI666" s="43"/>
      <c r="AJ666" s="43"/>
      <c r="AK666" s="43"/>
      <c r="AL666" s="43"/>
      <c r="AM666" s="43"/>
      <c r="AN666" s="43"/>
      <c r="AO666" s="43"/>
      <c r="AP666" s="43"/>
      <c r="AQ666" s="43"/>
      <c r="AR666" s="43"/>
      <c r="AS666" s="43"/>
      <c r="AT666" s="43"/>
      <c r="AU666" s="43"/>
      <c r="AV666" s="43"/>
      <c r="AW666" s="43"/>
      <c r="AX666" s="43"/>
      <c r="AY666" s="43"/>
      <c r="AZ666" s="43"/>
      <c r="BA666" s="43"/>
      <c r="BB666" s="43"/>
      <c r="BC666" s="43"/>
      <c r="BD666" s="43"/>
      <c r="BE666" s="43"/>
      <c r="BF666" s="43"/>
      <c r="BG666" s="43"/>
      <c r="BH666" s="43"/>
      <c r="BI666" s="43"/>
      <c r="BJ666" s="43"/>
      <c r="BK666" s="43"/>
      <c r="BL666" s="43"/>
      <c r="BM666" s="43"/>
      <c r="BN666" s="43"/>
      <c r="BO666" s="43"/>
      <c r="BP666" s="43"/>
      <c r="BQ666" s="43"/>
      <c r="BR666" s="43"/>
      <c r="BS666" s="43"/>
      <c r="BT666" s="43"/>
      <c r="BU666" s="43"/>
      <c r="BV666" s="43"/>
      <c r="BW666" s="43"/>
      <c r="BX666" s="43"/>
      <c r="BY666" s="43"/>
      <c r="B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c r="AE667" s="43"/>
      <c r="AF667" s="43"/>
      <c r="AG667" s="43"/>
      <c r="AH667" s="43"/>
      <c r="AI667" s="43"/>
      <c r="AJ667" s="43"/>
      <c r="AK667" s="43"/>
      <c r="AL667" s="43"/>
      <c r="AM667" s="43"/>
      <c r="AN667" s="43"/>
      <c r="AO667" s="43"/>
      <c r="AP667" s="43"/>
      <c r="AQ667" s="43"/>
      <c r="AR667" s="43"/>
      <c r="AS667" s="43"/>
      <c r="AT667" s="43"/>
      <c r="AU667" s="43"/>
      <c r="AV667" s="43"/>
      <c r="AW667" s="43"/>
      <c r="AX667" s="43"/>
      <c r="AY667" s="43"/>
      <c r="AZ667" s="43"/>
      <c r="BA667" s="43"/>
      <c r="BB667" s="43"/>
      <c r="BC667" s="43"/>
      <c r="BD667" s="43"/>
      <c r="BE667" s="43"/>
      <c r="BF667" s="43"/>
      <c r="BG667" s="43"/>
      <c r="BH667" s="43"/>
      <c r="BI667" s="43"/>
      <c r="BJ667" s="43"/>
      <c r="BK667" s="43"/>
      <c r="BL667" s="43"/>
      <c r="BM667" s="43"/>
      <c r="BN667" s="43"/>
      <c r="BO667" s="43"/>
      <c r="BP667" s="43"/>
      <c r="BQ667" s="43"/>
      <c r="BR667" s="43"/>
      <c r="BS667" s="43"/>
      <c r="BT667" s="43"/>
      <c r="BU667" s="43"/>
      <c r="BV667" s="43"/>
      <c r="BW667" s="43"/>
      <c r="BX667" s="43"/>
      <c r="BY667" s="43"/>
      <c r="B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c r="AE668" s="43"/>
      <c r="AF668" s="43"/>
      <c r="AG668" s="43"/>
      <c r="AH668" s="43"/>
      <c r="AI668" s="43"/>
      <c r="AJ668" s="43"/>
      <c r="AK668" s="43"/>
      <c r="AL668" s="43"/>
      <c r="AM668" s="43"/>
      <c r="AN668" s="43"/>
      <c r="AO668" s="43"/>
      <c r="AP668" s="43"/>
      <c r="AQ668" s="43"/>
      <c r="AR668" s="43"/>
      <c r="AS668" s="43"/>
      <c r="AT668" s="43"/>
      <c r="AU668" s="43"/>
      <c r="AV668" s="43"/>
      <c r="AW668" s="43"/>
      <c r="AX668" s="43"/>
      <c r="AY668" s="43"/>
      <c r="AZ668" s="43"/>
      <c r="BA668" s="43"/>
      <c r="BB668" s="43"/>
      <c r="BC668" s="43"/>
      <c r="BD668" s="43"/>
      <c r="BE668" s="43"/>
      <c r="BF668" s="43"/>
      <c r="BG668" s="43"/>
      <c r="BH668" s="43"/>
      <c r="BI668" s="43"/>
      <c r="BJ668" s="43"/>
      <c r="BK668" s="43"/>
      <c r="BL668" s="43"/>
      <c r="BM668" s="43"/>
      <c r="BN668" s="43"/>
      <c r="BO668" s="43"/>
      <c r="BP668" s="43"/>
      <c r="BQ668" s="43"/>
      <c r="BR668" s="43"/>
      <c r="BS668" s="43"/>
      <c r="BT668" s="43"/>
      <c r="BU668" s="43"/>
      <c r="BV668" s="43"/>
      <c r="BW668" s="43"/>
      <c r="BX668" s="43"/>
      <c r="BY668" s="43"/>
      <c r="B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c r="AE669" s="43"/>
      <c r="AF669" s="43"/>
      <c r="AG669" s="43"/>
      <c r="AH669" s="43"/>
      <c r="AI669" s="43"/>
      <c r="AJ669" s="43"/>
      <c r="AK669" s="43"/>
      <c r="AL669" s="43"/>
      <c r="AM669" s="43"/>
      <c r="AN669" s="43"/>
      <c r="AO669" s="43"/>
      <c r="AP669" s="43"/>
      <c r="AQ669" s="43"/>
      <c r="AR669" s="43"/>
      <c r="AS669" s="43"/>
      <c r="AT669" s="43"/>
      <c r="AU669" s="43"/>
      <c r="AV669" s="43"/>
      <c r="AW669" s="43"/>
      <c r="AX669" s="43"/>
      <c r="AY669" s="43"/>
      <c r="AZ669" s="43"/>
      <c r="BA669" s="43"/>
      <c r="BB669" s="43"/>
      <c r="BC669" s="43"/>
      <c r="BD669" s="43"/>
      <c r="BE669" s="43"/>
      <c r="BF669" s="43"/>
      <c r="BG669" s="43"/>
      <c r="BH669" s="43"/>
      <c r="BI669" s="43"/>
      <c r="BJ669" s="43"/>
      <c r="BK669" s="43"/>
      <c r="BL669" s="43"/>
      <c r="BM669" s="43"/>
      <c r="BN669" s="43"/>
      <c r="BO669" s="43"/>
      <c r="BP669" s="43"/>
      <c r="BQ669" s="43"/>
      <c r="BR669" s="43"/>
      <c r="BS669" s="43"/>
      <c r="BT669" s="43"/>
      <c r="BU669" s="43"/>
      <c r="BV669" s="43"/>
      <c r="BW669" s="43"/>
      <c r="BX669" s="43"/>
      <c r="BY669" s="43"/>
      <c r="B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c r="AH670" s="43"/>
      <c r="AI670" s="43"/>
      <c r="AJ670" s="43"/>
      <c r="AK670" s="43"/>
      <c r="AL670" s="43"/>
      <c r="AM670" s="43"/>
      <c r="AN670" s="43"/>
      <c r="AO670" s="43"/>
      <c r="AP670" s="43"/>
      <c r="AQ670" s="43"/>
      <c r="AR670" s="43"/>
      <c r="AS670" s="43"/>
      <c r="AT670" s="43"/>
      <c r="AU670" s="43"/>
      <c r="AV670" s="43"/>
      <c r="AW670" s="43"/>
      <c r="AX670" s="43"/>
      <c r="AY670" s="43"/>
      <c r="AZ670" s="43"/>
      <c r="BA670" s="43"/>
      <c r="BB670" s="43"/>
      <c r="BC670" s="43"/>
      <c r="BD670" s="43"/>
      <c r="BE670" s="43"/>
      <c r="BF670" s="43"/>
      <c r="BG670" s="43"/>
      <c r="BH670" s="43"/>
      <c r="BI670" s="43"/>
      <c r="BJ670" s="43"/>
      <c r="BK670" s="43"/>
      <c r="BL670" s="43"/>
      <c r="BM670" s="43"/>
      <c r="BN670" s="43"/>
      <c r="BO670" s="43"/>
      <c r="BP670" s="43"/>
      <c r="BQ670" s="43"/>
      <c r="BR670" s="43"/>
      <c r="BS670" s="43"/>
      <c r="BT670" s="43"/>
      <c r="BU670" s="43"/>
      <c r="BV670" s="43"/>
      <c r="BW670" s="43"/>
      <c r="BX670" s="43"/>
      <c r="BY670" s="43"/>
      <c r="B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c r="AE671" s="43"/>
      <c r="AF671" s="43"/>
      <c r="AG671" s="43"/>
      <c r="AH671" s="43"/>
      <c r="AI671" s="43"/>
      <c r="AJ671" s="43"/>
      <c r="AK671" s="43"/>
      <c r="AL671" s="43"/>
      <c r="AM671" s="43"/>
      <c r="AN671" s="43"/>
      <c r="AO671" s="43"/>
      <c r="AP671" s="43"/>
      <c r="AQ671" s="43"/>
      <c r="AR671" s="43"/>
      <c r="AS671" s="43"/>
      <c r="AT671" s="43"/>
      <c r="AU671" s="43"/>
      <c r="AV671" s="43"/>
      <c r="AW671" s="43"/>
      <c r="AX671" s="43"/>
      <c r="AY671" s="43"/>
      <c r="AZ671" s="43"/>
      <c r="BA671" s="43"/>
      <c r="BB671" s="43"/>
      <c r="BC671" s="43"/>
      <c r="BD671" s="43"/>
      <c r="BE671" s="43"/>
      <c r="BF671" s="43"/>
      <c r="BG671" s="43"/>
      <c r="BH671" s="43"/>
      <c r="BI671" s="43"/>
      <c r="BJ671" s="43"/>
      <c r="BK671" s="43"/>
      <c r="BL671" s="43"/>
      <c r="BM671" s="43"/>
      <c r="BN671" s="43"/>
      <c r="BO671" s="43"/>
      <c r="BP671" s="43"/>
      <c r="BQ671" s="43"/>
      <c r="BR671" s="43"/>
      <c r="BS671" s="43"/>
      <c r="BT671" s="43"/>
      <c r="BU671" s="43"/>
      <c r="BV671" s="43"/>
      <c r="BW671" s="43"/>
      <c r="BX671" s="43"/>
      <c r="BY671" s="43"/>
      <c r="B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c r="AE672" s="43"/>
      <c r="AF672" s="43"/>
      <c r="AG672" s="43"/>
      <c r="AH672" s="43"/>
      <c r="AI672" s="43"/>
      <c r="AJ672" s="43"/>
      <c r="AK672" s="43"/>
      <c r="AL672" s="43"/>
      <c r="AM672" s="43"/>
      <c r="AN672" s="43"/>
      <c r="AO672" s="43"/>
      <c r="AP672" s="43"/>
      <c r="AQ672" s="43"/>
      <c r="AR672" s="43"/>
      <c r="AS672" s="43"/>
      <c r="AT672" s="43"/>
      <c r="AU672" s="43"/>
      <c r="AV672" s="43"/>
      <c r="AW672" s="43"/>
      <c r="AX672" s="43"/>
      <c r="AY672" s="43"/>
      <c r="AZ672" s="43"/>
      <c r="BA672" s="43"/>
      <c r="BB672" s="43"/>
      <c r="BC672" s="43"/>
      <c r="BD672" s="43"/>
      <c r="BE672" s="43"/>
      <c r="BF672" s="43"/>
      <c r="BG672" s="43"/>
      <c r="BH672" s="43"/>
      <c r="BI672" s="43"/>
      <c r="BJ672" s="43"/>
      <c r="BK672" s="43"/>
      <c r="BL672" s="43"/>
      <c r="BM672" s="43"/>
      <c r="BN672" s="43"/>
      <c r="BO672" s="43"/>
      <c r="BP672" s="43"/>
      <c r="BQ672" s="43"/>
      <c r="BR672" s="43"/>
      <c r="BS672" s="43"/>
      <c r="BT672" s="43"/>
      <c r="BU672" s="43"/>
      <c r="BV672" s="43"/>
      <c r="BW672" s="43"/>
      <c r="BX672" s="43"/>
      <c r="BY672" s="43"/>
      <c r="B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c r="AE673" s="43"/>
      <c r="AF673" s="43"/>
      <c r="AG673" s="43"/>
      <c r="AH673" s="43"/>
      <c r="AI673" s="43"/>
      <c r="AJ673" s="43"/>
      <c r="AK673" s="43"/>
      <c r="AL673" s="43"/>
      <c r="AM673" s="43"/>
      <c r="AN673" s="43"/>
      <c r="AO673" s="43"/>
      <c r="AP673" s="43"/>
      <c r="AQ673" s="43"/>
      <c r="AR673" s="43"/>
      <c r="AS673" s="43"/>
      <c r="AT673" s="43"/>
      <c r="AU673" s="43"/>
      <c r="AV673" s="43"/>
      <c r="AW673" s="43"/>
      <c r="AX673" s="43"/>
      <c r="AY673" s="43"/>
      <c r="AZ673" s="43"/>
      <c r="BA673" s="43"/>
      <c r="BB673" s="43"/>
      <c r="BC673" s="43"/>
      <c r="BD673" s="43"/>
      <c r="BE673" s="43"/>
      <c r="BF673" s="43"/>
      <c r="BG673" s="43"/>
      <c r="BH673" s="43"/>
      <c r="BI673" s="43"/>
      <c r="BJ673" s="43"/>
      <c r="BK673" s="43"/>
      <c r="BL673" s="43"/>
      <c r="BM673" s="43"/>
      <c r="BN673" s="43"/>
      <c r="BO673" s="43"/>
      <c r="BP673" s="43"/>
      <c r="BQ673" s="43"/>
      <c r="BR673" s="43"/>
      <c r="BS673" s="43"/>
      <c r="BT673" s="43"/>
      <c r="BU673" s="43"/>
      <c r="BV673" s="43"/>
      <c r="BW673" s="43"/>
      <c r="BX673" s="43"/>
      <c r="BY673" s="43"/>
      <c r="B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c r="AE674" s="43"/>
      <c r="AF674" s="43"/>
      <c r="AG674" s="43"/>
      <c r="AH674" s="43"/>
      <c r="AI674" s="43"/>
      <c r="AJ674" s="43"/>
      <c r="AK674" s="43"/>
      <c r="AL674" s="43"/>
      <c r="AM674" s="43"/>
      <c r="AN674" s="43"/>
      <c r="AO674" s="43"/>
      <c r="AP674" s="43"/>
      <c r="AQ674" s="43"/>
      <c r="AR674" s="43"/>
      <c r="AS674" s="43"/>
      <c r="AT674" s="43"/>
      <c r="AU674" s="43"/>
      <c r="AV674" s="43"/>
      <c r="AW674" s="43"/>
      <c r="AX674" s="43"/>
      <c r="AY674" s="43"/>
      <c r="AZ674" s="43"/>
      <c r="BA674" s="43"/>
      <c r="BB674" s="43"/>
      <c r="BC674" s="43"/>
      <c r="BD674" s="43"/>
      <c r="BE674" s="43"/>
      <c r="BF674" s="43"/>
      <c r="BG674" s="43"/>
      <c r="BH674" s="43"/>
      <c r="BI674" s="43"/>
      <c r="BJ674" s="43"/>
      <c r="BK674" s="43"/>
      <c r="BL674" s="43"/>
      <c r="BM674" s="43"/>
      <c r="BN674" s="43"/>
      <c r="BO674" s="43"/>
      <c r="BP674" s="43"/>
      <c r="BQ674" s="43"/>
      <c r="BR674" s="43"/>
      <c r="BS674" s="43"/>
      <c r="BT674" s="43"/>
      <c r="BU674" s="43"/>
      <c r="BV674" s="43"/>
      <c r="BW674" s="43"/>
      <c r="BX674" s="43"/>
      <c r="BY674" s="43"/>
      <c r="B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c r="AE675" s="43"/>
      <c r="AF675" s="43"/>
      <c r="AG675" s="43"/>
      <c r="AH675" s="43"/>
      <c r="AI675" s="43"/>
      <c r="AJ675" s="43"/>
      <c r="AK675" s="43"/>
      <c r="AL675" s="43"/>
      <c r="AM675" s="43"/>
      <c r="AN675" s="43"/>
      <c r="AO675" s="43"/>
      <c r="AP675" s="43"/>
      <c r="AQ675" s="43"/>
      <c r="AR675" s="43"/>
      <c r="AS675" s="43"/>
      <c r="AT675" s="43"/>
      <c r="AU675" s="43"/>
      <c r="AV675" s="43"/>
      <c r="AW675" s="43"/>
      <c r="AX675" s="43"/>
      <c r="AY675" s="43"/>
      <c r="AZ675" s="43"/>
      <c r="BA675" s="43"/>
      <c r="BB675" s="43"/>
      <c r="BC675" s="43"/>
      <c r="BD675" s="43"/>
      <c r="BE675" s="43"/>
      <c r="BF675" s="43"/>
      <c r="BG675" s="43"/>
      <c r="BH675" s="43"/>
      <c r="BI675" s="43"/>
      <c r="BJ675" s="43"/>
      <c r="BK675" s="43"/>
      <c r="BL675" s="43"/>
      <c r="BM675" s="43"/>
      <c r="BN675" s="43"/>
      <c r="BO675" s="43"/>
      <c r="BP675" s="43"/>
      <c r="BQ675" s="43"/>
      <c r="BR675" s="43"/>
      <c r="BS675" s="43"/>
      <c r="BT675" s="43"/>
      <c r="BU675" s="43"/>
      <c r="BV675" s="43"/>
      <c r="BW675" s="43"/>
      <c r="BX675" s="43"/>
      <c r="BY675" s="43"/>
      <c r="B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c r="AE676" s="43"/>
      <c r="AF676" s="43"/>
      <c r="AG676" s="43"/>
      <c r="AH676" s="43"/>
      <c r="AI676" s="43"/>
      <c r="AJ676" s="43"/>
      <c r="AK676" s="43"/>
      <c r="AL676" s="43"/>
      <c r="AM676" s="43"/>
      <c r="AN676" s="43"/>
      <c r="AO676" s="43"/>
      <c r="AP676" s="43"/>
      <c r="AQ676" s="43"/>
      <c r="AR676" s="43"/>
      <c r="AS676" s="43"/>
      <c r="AT676" s="43"/>
      <c r="AU676" s="43"/>
      <c r="AV676" s="43"/>
      <c r="AW676" s="43"/>
      <c r="AX676" s="43"/>
      <c r="AY676" s="43"/>
      <c r="AZ676" s="43"/>
      <c r="BA676" s="43"/>
      <c r="BB676" s="43"/>
      <c r="BC676" s="43"/>
      <c r="BD676" s="43"/>
      <c r="BE676" s="43"/>
      <c r="BF676" s="43"/>
      <c r="BG676" s="43"/>
      <c r="BH676" s="43"/>
      <c r="BI676" s="43"/>
      <c r="BJ676" s="43"/>
      <c r="BK676" s="43"/>
      <c r="BL676" s="43"/>
      <c r="BM676" s="43"/>
      <c r="BN676" s="43"/>
      <c r="BO676" s="43"/>
      <c r="BP676" s="43"/>
      <c r="BQ676" s="43"/>
      <c r="BR676" s="43"/>
      <c r="BS676" s="43"/>
      <c r="BT676" s="43"/>
      <c r="BU676" s="43"/>
      <c r="BV676" s="43"/>
      <c r="BW676" s="43"/>
      <c r="BX676" s="43"/>
      <c r="BY676" s="43"/>
      <c r="B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c r="AE677" s="43"/>
      <c r="AF677" s="43"/>
      <c r="AG677" s="43"/>
      <c r="AH677" s="43"/>
      <c r="AI677" s="43"/>
      <c r="AJ677" s="43"/>
      <c r="AK677" s="43"/>
      <c r="AL677" s="43"/>
      <c r="AM677" s="43"/>
      <c r="AN677" s="43"/>
      <c r="AO677" s="43"/>
      <c r="AP677" s="43"/>
      <c r="AQ677" s="43"/>
      <c r="AR677" s="43"/>
      <c r="AS677" s="43"/>
      <c r="AT677" s="43"/>
      <c r="AU677" s="43"/>
      <c r="AV677" s="43"/>
      <c r="AW677" s="43"/>
      <c r="AX677" s="43"/>
      <c r="AY677" s="43"/>
      <c r="AZ677" s="43"/>
      <c r="BA677" s="43"/>
      <c r="BB677" s="43"/>
      <c r="BC677" s="43"/>
      <c r="BD677" s="43"/>
      <c r="BE677" s="43"/>
      <c r="BF677" s="43"/>
      <c r="BG677" s="43"/>
      <c r="BH677" s="43"/>
      <c r="BI677" s="43"/>
      <c r="BJ677" s="43"/>
      <c r="BK677" s="43"/>
      <c r="BL677" s="43"/>
      <c r="BM677" s="43"/>
      <c r="BN677" s="43"/>
      <c r="BO677" s="43"/>
      <c r="BP677" s="43"/>
      <c r="BQ677" s="43"/>
      <c r="BR677" s="43"/>
      <c r="BS677" s="43"/>
      <c r="BT677" s="43"/>
      <c r="BU677" s="43"/>
      <c r="BV677" s="43"/>
      <c r="BW677" s="43"/>
      <c r="BX677" s="43"/>
      <c r="BY677" s="43"/>
      <c r="B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c r="AE678" s="43"/>
      <c r="AF678" s="43"/>
      <c r="AG678" s="43"/>
      <c r="AH678" s="43"/>
      <c r="AI678" s="43"/>
      <c r="AJ678" s="43"/>
      <c r="AK678" s="43"/>
      <c r="AL678" s="43"/>
      <c r="AM678" s="43"/>
      <c r="AN678" s="43"/>
      <c r="AO678" s="43"/>
      <c r="AP678" s="43"/>
      <c r="AQ678" s="43"/>
      <c r="AR678" s="43"/>
      <c r="AS678" s="43"/>
      <c r="AT678" s="43"/>
      <c r="AU678" s="43"/>
      <c r="AV678" s="43"/>
      <c r="AW678" s="43"/>
      <c r="AX678" s="43"/>
      <c r="AY678" s="43"/>
      <c r="AZ678" s="43"/>
      <c r="BA678" s="43"/>
      <c r="BB678" s="43"/>
      <c r="BC678" s="43"/>
      <c r="BD678" s="43"/>
      <c r="BE678" s="43"/>
      <c r="BF678" s="43"/>
      <c r="BG678" s="43"/>
      <c r="BH678" s="43"/>
      <c r="BI678" s="43"/>
      <c r="BJ678" s="43"/>
      <c r="BK678" s="43"/>
      <c r="BL678" s="43"/>
      <c r="BM678" s="43"/>
      <c r="BN678" s="43"/>
      <c r="BO678" s="43"/>
      <c r="BP678" s="43"/>
      <c r="BQ678" s="43"/>
      <c r="BR678" s="43"/>
      <c r="BS678" s="43"/>
      <c r="BT678" s="43"/>
      <c r="BU678" s="43"/>
      <c r="BV678" s="43"/>
      <c r="BW678" s="43"/>
      <c r="BX678" s="43"/>
      <c r="BY678" s="43"/>
      <c r="B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c r="AE679" s="43"/>
      <c r="AF679" s="43"/>
      <c r="AG679" s="43"/>
      <c r="AH679" s="43"/>
      <c r="AI679" s="43"/>
      <c r="AJ679" s="43"/>
      <c r="AK679" s="43"/>
      <c r="AL679" s="43"/>
      <c r="AM679" s="43"/>
      <c r="AN679" s="43"/>
      <c r="AO679" s="43"/>
      <c r="AP679" s="43"/>
      <c r="AQ679" s="43"/>
      <c r="AR679" s="43"/>
      <c r="AS679" s="43"/>
      <c r="AT679" s="43"/>
      <c r="AU679" s="43"/>
      <c r="AV679" s="43"/>
      <c r="AW679" s="43"/>
      <c r="AX679" s="43"/>
      <c r="AY679" s="43"/>
      <c r="AZ679" s="43"/>
      <c r="BA679" s="43"/>
      <c r="BB679" s="43"/>
      <c r="BC679" s="43"/>
      <c r="BD679" s="43"/>
      <c r="BE679" s="43"/>
      <c r="BF679" s="43"/>
      <c r="BG679" s="43"/>
      <c r="BH679" s="43"/>
      <c r="BI679" s="43"/>
      <c r="BJ679" s="43"/>
      <c r="BK679" s="43"/>
      <c r="BL679" s="43"/>
      <c r="BM679" s="43"/>
      <c r="BN679" s="43"/>
      <c r="BO679" s="43"/>
      <c r="BP679" s="43"/>
      <c r="BQ679" s="43"/>
      <c r="BR679" s="43"/>
      <c r="BS679" s="43"/>
      <c r="BT679" s="43"/>
      <c r="BU679" s="43"/>
      <c r="BV679" s="43"/>
      <c r="BW679" s="43"/>
      <c r="BX679" s="43"/>
      <c r="BY679" s="43"/>
      <c r="B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c r="AE680" s="43"/>
      <c r="AF680" s="43"/>
      <c r="AG680" s="43"/>
      <c r="AH680" s="43"/>
      <c r="AI680" s="43"/>
      <c r="AJ680" s="43"/>
      <c r="AK680" s="43"/>
      <c r="AL680" s="43"/>
      <c r="AM680" s="43"/>
      <c r="AN680" s="43"/>
      <c r="AO680" s="43"/>
      <c r="AP680" s="43"/>
      <c r="AQ680" s="43"/>
      <c r="AR680" s="43"/>
      <c r="AS680" s="43"/>
      <c r="AT680" s="43"/>
      <c r="AU680" s="43"/>
      <c r="AV680" s="43"/>
      <c r="AW680" s="43"/>
      <c r="AX680" s="43"/>
      <c r="AY680" s="43"/>
      <c r="AZ680" s="43"/>
      <c r="BA680" s="43"/>
      <c r="BB680" s="43"/>
      <c r="BC680" s="43"/>
      <c r="BD680" s="43"/>
      <c r="BE680" s="43"/>
      <c r="BF680" s="43"/>
      <c r="BG680" s="43"/>
      <c r="BH680" s="43"/>
      <c r="BI680" s="43"/>
      <c r="BJ680" s="43"/>
      <c r="BK680" s="43"/>
      <c r="BL680" s="43"/>
      <c r="BM680" s="43"/>
      <c r="BN680" s="43"/>
      <c r="BO680" s="43"/>
      <c r="BP680" s="43"/>
      <c r="BQ680" s="43"/>
      <c r="BR680" s="43"/>
      <c r="BS680" s="43"/>
      <c r="BT680" s="43"/>
      <c r="BU680" s="43"/>
      <c r="BV680" s="43"/>
      <c r="BW680" s="43"/>
      <c r="BX680" s="43"/>
      <c r="BY680" s="43"/>
      <c r="B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c r="AE681" s="43"/>
      <c r="AF681" s="43"/>
      <c r="AG681" s="43"/>
      <c r="AH681" s="43"/>
      <c r="AI681" s="43"/>
      <c r="AJ681" s="43"/>
      <c r="AK681" s="43"/>
      <c r="AL681" s="43"/>
      <c r="AM681" s="43"/>
      <c r="AN681" s="43"/>
      <c r="AO681" s="43"/>
      <c r="AP681" s="43"/>
      <c r="AQ681" s="43"/>
      <c r="AR681" s="43"/>
      <c r="AS681" s="43"/>
      <c r="AT681" s="43"/>
      <c r="AU681" s="43"/>
      <c r="AV681" s="43"/>
      <c r="AW681" s="43"/>
      <c r="AX681" s="43"/>
      <c r="AY681" s="43"/>
      <c r="AZ681" s="43"/>
      <c r="BA681" s="43"/>
      <c r="BB681" s="43"/>
      <c r="BC681" s="43"/>
      <c r="BD681" s="43"/>
      <c r="BE681" s="43"/>
      <c r="BF681" s="43"/>
      <c r="BG681" s="43"/>
      <c r="BH681" s="43"/>
      <c r="BI681" s="43"/>
      <c r="BJ681" s="43"/>
      <c r="BK681" s="43"/>
      <c r="BL681" s="43"/>
      <c r="BM681" s="43"/>
      <c r="BN681" s="43"/>
      <c r="BO681" s="43"/>
      <c r="BP681" s="43"/>
      <c r="BQ681" s="43"/>
      <c r="BR681" s="43"/>
      <c r="BS681" s="43"/>
      <c r="BT681" s="43"/>
      <c r="BU681" s="43"/>
      <c r="BV681" s="43"/>
      <c r="BW681" s="43"/>
      <c r="BX681" s="43"/>
      <c r="BY681" s="43"/>
      <c r="B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c r="AE682" s="43"/>
      <c r="AF682" s="43"/>
      <c r="AG682" s="43"/>
      <c r="AH682" s="43"/>
      <c r="AI682" s="43"/>
      <c r="AJ682" s="43"/>
      <c r="AK682" s="43"/>
      <c r="AL682" s="43"/>
      <c r="AM682" s="43"/>
      <c r="AN682" s="43"/>
      <c r="AO682" s="43"/>
      <c r="AP682" s="43"/>
      <c r="AQ682" s="43"/>
      <c r="AR682" s="43"/>
      <c r="AS682" s="43"/>
      <c r="AT682" s="43"/>
      <c r="AU682" s="43"/>
      <c r="AV682" s="43"/>
      <c r="AW682" s="43"/>
      <c r="AX682" s="43"/>
      <c r="AY682" s="43"/>
      <c r="AZ682" s="43"/>
      <c r="BA682" s="43"/>
      <c r="BB682" s="43"/>
      <c r="BC682" s="43"/>
      <c r="BD682" s="43"/>
      <c r="BE682" s="43"/>
      <c r="BF682" s="43"/>
      <c r="BG682" s="43"/>
      <c r="BH682" s="43"/>
      <c r="BI682" s="43"/>
      <c r="BJ682" s="43"/>
      <c r="BK682" s="43"/>
      <c r="BL682" s="43"/>
      <c r="BM682" s="43"/>
      <c r="BN682" s="43"/>
      <c r="BO682" s="43"/>
      <c r="BP682" s="43"/>
      <c r="BQ682" s="43"/>
      <c r="BR682" s="43"/>
      <c r="BS682" s="43"/>
      <c r="BT682" s="43"/>
      <c r="BU682" s="43"/>
      <c r="BV682" s="43"/>
      <c r="BW682" s="43"/>
      <c r="BX682" s="43"/>
      <c r="BY682" s="43"/>
      <c r="B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c r="AE683" s="43"/>
      <c r="AF683" s="43"/>
      <c r="AG683" s="43"/>
      <c r="AH683" s="43"/>
      <c r="AI683" s="43"/>
      <c r="AJ683" s="43"/>
      <c r="AK683" s="43"/>
      <c r="AL683" s="43"/>
      <c r="AM683" s="43"/>
      <c r="AN683" s="43"/>
      <c r="AO683" s="43"/>
      <c r="AP683" s="43"/>
      <c r="AQ683" s="43"/>
      <c r="AR683" s="43"/>
      <c r="AS683" s="43"/>
      <c r="AT683" s="43"/>
      <c r="AU683" s="43"/>
      <c r="AV683" s="43"/>
      <c r="AW683" s="43"/>
      <c r="AX683" s="43"/>
      <c r="AY683" s="43"/>
      <c r="AZ683" s="43"/>
      <c r="BA683" s="43"/>
      <c r="BB683" s="43"/>
      <c r="BC683" s="43"/>
      <c r="BD683" s="43"/>
      <c r="BE683" s="43"/>
      <c r="BF683" s="43"/>
      <c r="BG683" s="43"/>
      <c r="BH683" s="43"/>
      <c r="BI683" s="43"/>
      <c r="BJ683" s="43"/>
      <c r="BK683" s="43"/>
      <c r="BL683" s="43"/>
      <c r="BM683" s="43"/>
      <c r="BN683" s="43"/>
      <c r="BO683" s="43"/>
      <c r="BP683" s="43"/>
      <c r="BQ683" s="43"/>
      <c r="BR683" s="43"/>
      <c r="BS683" s="43"/>
      <c r="BT683" s="43"/>
      <c r="BU683" s="43"/>
      <c r="BV683" s="43"/>
      <c r="BW683" s="43"/>
      <c r="BX683" s="43"/>
      <c r="BY683" s="43"/>
      <c r="B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c r="AE684" s="43"/>
      <c r="AF684" s="43"/>
      <c r="AG684" s="43"/>
      <c r="AH684" s="43"/>
      <c r="AI684" s="43"/>
      <c r="AJ684" s="43"/>
      <c r="AK684" s="43"/>
      <c r="AL684" s="43"/>
      <c r="AM684" s="43"/>
      <c r="AN684" s="43"/>
      <c r="AO684" s="43"/>
      <c r="AP684" s="43"/>
      <c r="AQ684" s="43"/>
      <c r="AR684" s="43"/>
      <c r="AS684" s="43"/>
      <c r="AT684" s="43"/>
      <c r="AU684" s="43"/>
      <c r="AV684" s="43"/>
      <c r="AW684" s="43"/>
      <c r="AX684" s="43"/>
      <c r="AY684" s="43"/>
      <c r="AZ684" s="43"/>
      <c r="BA684" s="43"/>
      <c r="BB684" s="43"/>
      <c r="BC684" s="43"/>
      <c r="BD684" s="43"/>
      <c r="BE684" s="43"/>
      <c r="BF684" s="43"/>
      <c r="BG684" s="43"/>
      <c r="BH684" s="43"/>
      <c r="BI684" s="43"/>
      <c r="BJ684" s="43"/>
      <c r="BK684" s="43"/>
      <c r="BL684" s="43"/>
      <c r="BM684" s="43"/>
      <c r="BN684" s="43"/>
      <c r="BO684" s="43"/>
      <c r="BP684" s="43"/>
      <c r="BQ684" s="43"/>
      <c r="BR684" s="43"/>
      <c r="BS684" s="43"/>
      <c r="BT684" s="43"/>
      <c r="BU684" s="43"/>
      <c r="BV684" s="43"/>
      <c r="BW684" s="43"/>
      <c r="BX684" s="43"/>
      <c r="BY684" s="43"/>
      <c r="B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c r="AE685" s="43"/>
      <c r="AF685" s="43"/>
      <c r="AG685" s="43"/>
      <c r="AH685" s="43"/>
      <c r="AI685" s="43"/>
      <c r="AJ685" s="43"/>
      <c r="AK685" s="43"/>
      <c r="AL685" s="43"/>
      <c r="AM685" s="43"/>
      <c r="AN685" s="43"/>
      <c r="AO685" s="43"/>
      <c r="AP685" s="43"/>
      <c r="AQ685" s="43"/>
      <c r="AR685" s="43"/>
      <c r="AS685" s="43"/>
      <c r="AT685" s="43"/>
      <c r="AU685" s="43"/>
      <c r="AV685" s="43"/>
      <c r="AW685" s="43"/>
      <c r="AX685" s="43"/>
      <c r="AY685" s="43"/>
      <c r="AZ685" s="43"/>
      <c r="BA685" s="43"/>
      <c r="BB685" s="43"/>
      <c r="BC685" s="43"/>
      <c r="BD685" s="43"/>
      <c r="BE685" s="43"/>
      <c r="BF685" s="43"/>
      <c r="BG685" s="43"/>
      <c r="BH685" s="43"/>
      <c r="BI685" s="43"/>
      <c r="BJ685" s="43"/>
      <c r="BK685" s="43"/>
      <c r="BL685" s="43"/>
      <c r="BM685" s="43"/>
      <c r="BN685" s="43"/>
      <c r="BO685" s="43"/>
      <c r="BP685" s="43"/>
      <c r="BQ685" s="43"/>
      <c r="BR685" s="43"/>
      <c r="BS685" s="43"/>
      <c r="BT685" s="43"/>
      <c r="BU685" s="43"/>
      <c r="BV685" s="43"/>
      <c r="BW685" s="43"/>
      <c r="BX685" s="43"/>
      <c r="BY685" s="43"/>
      <c r="B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c r="AE686" s="43"/>
      <c r="AF686" s="43"/>
      <c r="AG686" s="43"/>
      <c r="AH686" s="43"/>
      <c r="AI686" s="43"/>
      <c r="AJ686" s="43"/>
      <c r="AK686" s="43"/>
      <c r="AL686" s="43"/>
      <c r="AM686" s="43"/>
      <c r="AN686" s="43"/>
      <c r="AO686" s="43"/>
      <c r="AP686" s="43"/>
      <c r="AQ686" s="43"/>
      <c r="AR686" s="43"/>
      <c r="AS686" s="43"/>
      <c r="AT686" s="43"/>
      <c r="AU686" s="43"/>
      <c r="AV686" s="43"/>
      <c r="AW686" s="43"/>
      <c r="AX686" s="43"/>
      <c r="AY686" s="43"/>
      <c r="AZ686" s="43"/>
      <c r="BA686" s="43"/>
      <c r="BB686" s="43"/>
      <c r="BC686" s="43"/>
      <c r="BD686" s="43"/>
      <c r="BE686" s="43"/>
      <c r="BF686" s="43"/>
      <c r="BG686" s="43"/>
      <c r="BH686" s="43"/>
      <c r="BI686" s="43"/>
      <c r="BJ686" s="43"/>
      <c r="BK686" s="43"/>
      <c r="BL686" s="43"/>
      <c r="BM686" s="43"/>
      <c r="BN686" s="43"/>
      <c r="BO686" s="43"/>
      <c r="BP686" s="43"/>
      <c r="BQ686" s="43"/>
      <c r="BR686" s="43"/>
      <c r="BS686" s="43"/>
      <c r="BT686" s="43"/>
      <c r="BU686" s="43"/>
      <c r="BV686" s="43"/>
      <c r="BW686" s="43"/>
      <c r="BX686" s="43"/>
      <c r="BY686" s="43"/>
      <c r="B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c r="AE687" s="43"/>
      <c r="AF687" s="43"/>
      <c r="AG687" s="43"/>
      <c r="AH687" s="43"/>
      <c r="AI687" s="43"/>
      <c r="AJ687" s="43"/>
      <c r="AK687" s="43"/>
      <c r="AL687" s="43"/>
      <c r="AM687" s="43"/>
      <c r="AN687" s="43"/>
      <c r="AO687" s="43"/>
      <c r="AP687" s="43"/>
      <c r="AQ687" s="43"/>
      <c r="AR687" s="43"/>
      <c r="AS687" s="43"/>
      <c r="AT687" s="43"/>
      <c r="AU687" s="43"/>
      <c r="AV687" s="43"/>
      <c r="AW687" s="43"/>
      <c r="AX687" s="43"/>
      <c r="AY687" s="43"/>
      <c r="AZ687" s="43"/>
      <c r="BA687" s="43"/>
      <c r="BB687" s="43"/>
      <c r="BC687" s="43"/>
      <c r="BD687" s="43"/>
      <c r="BE687" s="43"/>
      <c r="BF687" s="43"/>
      <c r="BG687" s="43"/>
      <c r="BH687" s="43"/>
      <c r="BI687" s="43"/>
      <c r="BJ687" s="43"/>
      <c r="BK687" s="43"/>
      <c r="BL687" s="43"/>
      <c r="BM687" s="43"/>
      <c r="BN687" s="43"/>
      <c r="BO687" s="43"/>
      <c r="BP687" s="43"/>
      <c r="BQ687" s="43"/>
      <c r="BR687" s="43"/>
      <c r="BS687" s="43"/>
      <c r="BT687" s="43"/>
      <c r="BU687" s="43"/>
      <c r="BV687" s="43"/>
      <c r="BW687" s="43"/>
      <c r="BX687" s="43"/>
      <c r="BY687" s="43"/>
      <c r="B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c r="AE688" s="43"/>
      <c r="AF688" s="43"/>
      <c r="AG688" s="43"/>
      <c r="AH688" s="43"/>
      <c r="AI688" s="43"/>
      <c r="AJ688" s="43"/>
      <c r="AK688" s="43"/>
      <c r="AL688" s="43"/>
      <c r="AM688" s="43"/>
      <c r="AN688" s="43"/>
      <c r="AO688" s="43"/>
      <c r="AP688" s="43"/>
      <c r="AQ688" s="43"/>
      <c r="AR688" s="43"/>
      <c r="AS688" s="43"/>
      <c r="AT688" s="43"/>
      <c r="AU688" s="43"/>
      <c r="AV688" s="43"/>
      <c r="AW688" s="43"/>
      <c r="AX688" s="43"/>
      <c r="AY688" s="43"/>
      <c r="AZ688" s="43"/>
      <c r="BA688" s="43"/>
      <c r="BB688" s="43"/>
      <c r="BC688" s="43"/>
      <c r="BD688" s="43"/>
      <c r="BE688" s="43"/>
      <c r="BF688" s="43"/>
      <c r="BG688" s="43"/>
      <c r="BH688" s="43"/>
      <c r="BI688" s="43"/>
      <c r="BJ688" s="43"/>
      <c r="BK688" s="43"/>
      <c r="BL688" s="43"/>
      <c r="BM688" s="43"/>
      <c r="BN688" s="43"/>
      <c r="BO688" s="43"/>
      <c r="BP688" s="43"/>
      <c r="BQ688" s="43"/>
      <c r="BR688" s="43"/>
      <c r="BS688" s="43"/>
      <c r="BT688" s="43"/>
      <c r="BU688" s="43"/>
      <c r="BV688" s="43"/>
      <c r="BW688" s="43"/>
      <c r="BX688" s="43"/>
      <c r="BY688" s="43"/>
      <c r="B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c r="AE689" s="43"/>
      <c r="AF689" s="43"/>
      <c r="AG689" s="43"/>
      <c r="AH689" s="43"/>
      <c r="AI689" s="43"/>
      <c r="AJ689" s="43"/>
      <c r="AK689" s="43"/>
      <c r="AL689" s="43"/>
      <c r="AM689" s="43"/>
      <c r="AN689" s="43"/>
      <c r="AO689" s="43"/>
      <c r="AP689" s="43"/>
      <c r="AQ689" s="43"/>
      <c r="AR689" s="43"/>
      <c r="AS689" s="43"/>
      <c r="AT689" s="43"/>
      <c r="AU689" s="43"/>
      <c r="AV689" s="43"/>
      <c r="AW689" s="43"/>
      <c r="AX689" s="43"/>
      <c r="AY689" s="43"/>
      <c r="AZ689" s="43"/>
      <c r="BA689" s="43"/>
      <c r="BB689" s="43"/>
      <c r="BC689" s="43"/>
      <c r="BD689" s="43"/>
      <c r="BE689" s="43"/>
      <c r="BF689" s="43"/>
      <c r="BG689" s="43"/>
      <c r="BH689" s="43"/>
      <c r="BI689" s="43"/>
      <c r="BJ689" s="43"/>
      <c r="BK689" s="43"/>
      <c r="BL689" s="43"/>
      <c r="BM689" s="43"/>
      <c r="BN689" s="43"/>
      <c r="BO689" s="43"/>
      <c r="BP689" s="43"/>
      <c r="BQ689" s="43"/>
      <c r="BR689" s="43"/>
      <c r="BS689" s="43"/>
      <c r="BT689" s="43"/>
      <c r="BU689" s="43"/>
      <c r="BV689" s="43"/>
      <c r="BW689" s="43"/>
      <c r="BX689" s="43"/>
      <c r="BY689" s="43"/>
      <c r="B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c r="AE690" s="43"/>
      <c r="AF690" s="43"/>
      <c r="AG690" s="43"/>
      <c r="AH690" s="43"/>
      <c r="AI690" s="43"/>
      <c r="AJ690" s="43"/>
      <c r="AK690" s="43"/>
      <c r="AL690" s="43"/>
      <c r="AM690" s="43"/>
      <c r="AN690" s="43"/>
      <c r="AO690" s="43"/>
      <c r="AP690" s="43"/>
      <c r="AQ690" s="43"/>
      <c r="AR690" s="43"/>
      <c r="AS690" s="43"/>
      <c r="AT690" s="43"/>
      <c r="AU690" s="43"/>
      <c r="AV690" s="43"/>
      <c r="AW690" s="43"/>
      <c r="AX690" s="43"/>
      <c r="AY690" s="43"/>
      <c r="AZ690" s="43"/>
      <c r="BA690" s="43"/>
      <c r="BB690" s="43"/>
      <c r="BC690" s="43"/>
      <c r="BD690" s="43"/>
      <c r="BE690" s="43"/>
      <c r="BF690" s="43"/>
      <c r="BG690" s="43"/>
      <c r="BH690" s="43"/>
      <c r="BI690" s="43"/>
      <c r="BJ690" s="43"/>
      <c r="BK690" s="43"/>
      <c r="BL690" s="43"/>
      <c r="BM690" s="43"/>
      <c r="BN690" s="43"/>
      <c r="BO690" s="43"/>
      <c r="BP690" s="43"/>
      <c r="BQ690" s="43"/>
      <c r="BR690" s="43"/>
      <c r="BS690" s="43"/>
      <c r="BT690" s="43"/>
      <c r="BU690" s="43"/>
      <c r="BV690" s="43"/>
      <c r="BW690" s="43"/>
      <c r="BX690" s="43"/>
      <c r="BY690" s="43"/>
      <c r="B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c r="AE691" s="43"/>
      <c r="AF691" s="43"/>
      <c r="AG691" s="43"/>
      <c r="AH691" s="43"/>
      <c r="AI691" s="43"/>
      <c r="AJ691" s="43"/>
      <c r="AK691" s="43"/>
      <c r="AL691" s="43"/>
      <c r="AM691" s="43"/>
      <c r="AN691" s="43"/>
      <c r="AO691" s="43"/>
      <c r="AP691" s="43"/>
      <c r="AQ691" s="43"/>
      <c r="AR691" s="43"/>
      <c r="AS691" s="43"/>
      <c r="AT691" s="43"/>
      <c r="AU691" s="43"/>
      <c r="AV691" s="43"/>
      <c r="AW691" s="43"/>
      <c r="AX691" s="43"/>
      <c r="AY691" s="43"/>
      <c r="AZ691" s="43"/>
      <c r="BA691" s="43"/>
      <c r="BB691" s="43"/>
      <c r="BC691" s="43"/>
      <c r="BD691" s="43"/>
      <c r="BE691" s="43"/>
      <c r="BF691" s="43"/>
      <c r="BG691" s="43"/>
      <c r="BH691" s="43"/>
      <c r="BI691" s="43"/>
      <c r="BJ691" s="43"/>
      <c r="BK691" s="43"/>
      <c r="BL691" s="43"/>
      <c r="BM691" s="43"/>
      <c r="BN691" s="43"/>
      <c r="BO691" s="43"/>
      <c r="BP691" s="43"/>
      <c r="BQ691" s="43"/>
      <c r="BR691" s="43"/>
      <c r="BS691" s="43"/>
      <c r="BT691" s="43"/>
      <c r="BU691" s="43"/>
      <c r="BV691" s="43"/>
      <c r="BW691" s="43"/>
      <c r="BX691" s="43"/>
      <c r="BY691" s="43"/>
      <c r="B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c r="AE692" s="43"/>
      <c r="AF692" s="43"/>
      <c r="AG692" s="43"/>
      <c r="AH692" s="43"/>
      <c r="AI692" s="43"/>
      <c r="AJ692" s="43"/>
      <c r="AK692" s="43"/>
      <c r="AL692" s="43"/>
      <c r="AM692" s="43"/>
      <c r="AN692" s="43"/>
      <c r="AO692" s="43"/>
      <c r="AP692" s="43"/>
      <c r="AQ692" s="43"/>
      <c r="AR692" s="43"/>
      <c r="AS692" s="43"/>
      <c r="AT692" s="43"/>
      <c r="AU692" s="43"/>
      <c r="AV692" s="43"/>
      <c r="AW692" s="43"/>
      <c r="AX692" s="43"/>
      <c r="AY692" s="43"/>
      <c r="AZ692" s="43"/>
      <c r="BA692" s="43"/>
      <c r="BB692" s="43"/>
      <c r="BC692" s="43"/>
      <c r="BD692" s="43"/>
      <c r="BE692" s="43"/>
      <c r="BF692" s="43"/>
      <c r="BG692" s="43"/>
      <c r="BH692" s="43"/>
      <c r="BI692" s="43"/>
      <c r="BJ692" s="43"/>
      <c r="BK692" s="43"/>
      <c r="BL692" s="43"/>
      <c r="BM692" s="43"/>
      <c r="BN692" s="43"/>
      <c r="BO692" s="43"/>
      <c r="BP692" s="43"/>
      <c r="BQ692" s="43"/>
      <c r="BR692" s="43"/>
      <c r="BS692" s="43"/>
      <c r="BT692" s="43"/>
      <c r="BU692" s="43"/>
      <c r="BV692" s="43"/>
      <c r="BW692" s="43"/>
      <c r="BX692" s="43"/>
      <c r="BY692" s="43"/>
      <c r="B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c r="AE693" s="43"/>
      <c r="AF693" s="43"/>
      <c r="AG693" s="43"/>
      <c r="AH693" s="43"/>
      <c r="AI693" s="43"/>
      <c r="AJ693" s="43"/>
      <c r="AK693" s="43"/>
      <c r="AL693" s="43"/>
      <c r="AM693" s="43"/>
      <c r="AN693" s="43"/>
      <c r="AO693" s="43"/>
      <c r="AP693" s="43"/>
      <c r="AQ693" s="43"/>
      <c r="AR693" s="43"/>
      <c r="AS693" s="43"/>
      <c r="AT693" s="43"/>
      <c r="AU693" s="43"/>
      <c r="AV693" s="43"/>
      <c r="AW693" s="43"/>
      <c r="AX693" s="43"/>
      <c r="AY693" s="43"/>
      <c r="AZ693" s="43"/>
      <c r="BA693" s="43"/>
      <c r="BB693" s="43"/>
      <c r="BC693" s="43"/>
      <c r="BD693" s="43"/>
      <c r="BE693" s="43"/>
      <c r="BF693" s="43"/>
      <c r="BG693" s="43"/>
      <c r="BH693" s="43"/>
      <c r="BI693" s="43"/>
      <c r="BJ693" s="43"/>
      <c r="BK693" s="43"/>
      <c r="BL693" s="43"/>
      <c r="BM693" s="43"/>
      <c r="BN693" s="43"/>
      <c r="BO693" s="43"/>
      <c r="BP693" s="43"/>
      <c r="BQ693" s="43"/>
      <c r="BR693" s="43"/>
      <c r="BS693" s="43"/>
      <c r="BT693" s="43"/>
      <c r="BU693" s="43"/>
      <c r="BV693" s="43"/>
      <c r="BW693" s="43"/>
      <c r="BX693" s="43"/>
      <c r="BY693" s="43"/>
      <c r="B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c r="AE694" s="43"/>
      <c r="AF694" s="43"/>
      <c r="AG694" s="43"/>
      <c r="AH694" s="43"/>
      <c r="AI694" s="43"/>
      <c r="AJ694" s="43"/>
      <c r="AK694" s="43"/>
      <c r="AL694" s="43"/>
      <c r="AM694" s="43"/>
      <c r="AN694" s="43"/>
      <c r="AO694" s="43"/>
      <c r="AP694" s="43"/>
      <c r="AQ694" s="43"/>
      <c r="AR694" s="43"/>
      <c r="AS694" s="43"/>
      <c r="AT694" s="43"/>
      <c r="AU694" s="43"/>
      <c r="AV694" s="43"/>
      <c r="AW694" s="43"/>
      <c r="AX694" s="43"/>
      <c r="AY694" s="43"/>
      <c r="AZ694" s="43"/>
      <c r="BA694" s="43"/>
      <c r="BB694" s="43"/>
      <c r="BC694" s="43"/>
      <c r="BD694" s="43"/>
      <c r="BE694" s="43"/>
      <c r="BF694" s="43"/>
      <c r="BG694" s="43"/>
      <c r="BH694" s="43"/>
      <c r="BI694" s="43"/>
      <c r="BJ694" s="43"/>
      <c r="BK694" s="43"/>
      <c r="BL694" s="43"/>
      <c r="BM694" s="43"/>
      <c r="BN694" s="43"/>
      <c r="BO694" s="43"/>
      <c r="BP694" s="43"/>
      <c r="BQ694" s="43"/>
      <c r="BR694" s="43"/>
      <c r="BS694" s="43"/>
      <c r="BT694" s="43"/>
      <c r="BU694" s="43"/>
      <c r="BV694" s="43"/>
      <c r="BW694" s="43"/>
      <c r="BX694" s="43"/>
      <c r="BY694" s="43"/>
      <c r="B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c r="AE695" s="43"/>
      <c r="AF695" s="43"/>
      <c r="AG695" s="43"/>
      <c r="AH695" s="43"/>
      <c r="AI695" s="43"/>
      <c r="AJ695" s="43"/>
      <c r="AK695" s="43"/>
      <c r="AL695" s="43"/>
      <c r="AM695" s="43"/>
      <c r="AN695" s="43"/>
      <c r="AO695" s="43"/>
      <c r="AP695" s="43"/>
      <c r="AQ695" s="43"/>
      <c r="AR695" s="43"/>
      <c r="AS695" s="43"/>
      <c r="AT695" s="43"/>
      <c r="AU695" s="43"/>
      <c r="AV695" s="43"/>
      <c r="AW695" s="43"/>
      <c r="AX695" s="43"/>
      <c r="AY695" s="43"/>
      <c r="AZ695" s="43"/>
      <c r="BA695" s="43"/>
      <c r="BB695" s="43"/>
      <c r="BC695" s="43"/>
      <c r="BD695" s="43"/>
      <c r="BE695" s="43"/>
      <c r="BF695" s="43"/>
      <c r="BG695" s="43"/>
      <c r="BH695" s="43"/>
      <c r="BI695" s="43"/>
      <c r="BJ695" s="43"/>
      <c r="BK695" s="43"/>
      <c r="BL695" s="43"/>
      <c r="BM695" s="43"/>
      <c r="BN695" s="43"/>
      <c r="BO695" s="43"/>
      <c r="BP695" s="43"/>
      <c r="BQ695" s="43"/>
      <c r="BR695" s="43"/>
      <c r="BS695" s="43"/>
      <c r="BT695" s="43"/>
      <c r="BU695" s="43"/>
      <c r="BV695" s="43"/>
      <c r="BW695" s="43"/>
      <c r="BX695" s="43"/>
      <c r="BY695" s="43"/>
      <c r="B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c r="AE696" s="43"/>
      <c r="AF696" s="43"/>
      <c r="AG696" s="43"/>
      <c r="AH696" s="43"/>
      <c r="AI696" s="43"/>
      <c r="AJ696" s="43"/>
      <c r="AK696" s="43"/>
      <c r="AL696" s="43"/>
      <c r="AM696" s="43"/>
      <c r="AN696" s="43"/>
      <c r="AO696" s="43"/>
      <c r="AP696" s="43"/>
      <c r="AQ696" s="43"/>
      <c r="AR696" s="43"/>
      <c r="AS696" s="43"/>
      <c r="AT696" s="43"/>
      <c r="AU696" s="43"/>
      <c r="AV696" s="43"/>
      <c r="AW696" s="43"/>
      <c r="AX696" s="43"/>
      <c r="AY696" s="43"/>
      <c r="AZ696" s="43"/>
      <c r="BA696" s="43"/>
      <c r="BB696" s="43"/>
      <c r="BC696" s="43"/>
      <c r="BD696" s="43"/>
      <c r="BE696" s="43"/>
      <c r="BF696" s="43"/>
      <c r="BG696" s="43"/>
      <c r="BH696" s="43"/>
      <c r="BI696" s="43"/>
      <c r="BJ696" s="43"/>
      <c r="BK696" s="43"/>
      <c r="BL696" s="43"/>
      <c r="BM696" s="43"/>
      <c r="BN696" s="43"/>
      <c r="BO696" s="43"/>
      <c r="BP696" s="43"/>
      <c r="BQ696" s="43"/>
      <c r="BR696" s="43"/>
      <c r="BS696" s="43"/>
      <c r="BT696" s="43"/>
      <c r="BU696" s="43"/>
      <c r="BV696" s="43"/>
      <c r="BW696" s="43"/>
      <c r="BX696" s="43"/>
      <c r="BY696" s="43"/>
      <c r="B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c r="AE697" s="43"/>
      <c r="AF697" s="43"/>
      <c r="AG697" s="43"/>
      <c r="AH697" s="43"/>
      <c r="AI697" s="43"/>
      <c r="AJ697" s="43"/>
      <c r="AK697" s="43"/>
      <c r="AL697" s="43"/>
      <c r="AM697" s="43"/>
      <c r="AN697" s="43"/>
      <c r="AO697" s="43"/>
      <c r="AP697" s="43"/>
      <c r="AQ697" s="43"/>
      <c r="AR697" s="43"/>
      <c r="AS697" s="43"/>
      <c r="AT697" s="43"/>
      <c r="AU697" s="43"/>
      <c r="AV697" s="43"/>
      <c r="AW697" s="43"/>
      <c r="AX697" s="43"/>
      <c r="AY697" s="43"/>
      <c r="AZ697" s="43"/>
      <c r="BA697" s="43"/>
      <c r="BB697" s="43"/>
      <c r="BC697" s="43"/>
      <c r="BD697" s="43"/>
      <c r="BE697" s="43"/>
      <c r="BF697" s="43"/>
      <c r="BG697" s="43"/>
      <c r="BH697" s="43"/>
      <c r="BI697" s="43"/>
      <c r="BJ697" s="43"/>
      <c r="BK697" s="43"/>
      <c r="BL697" s="43"/>
      <c r="BM697" s="43"/>
      <c r="BN697" s="43"/>
      <c r="BO697" s="43"/>
      <c r="BP697" s="43"/>
      <c r="BQ697" s="43"/>
      <c r="BR697" s="43"/>
      <c r="BS697" s="43"/>
      <c r="BT697" s="43"/>
      <c r="BU697" s="43"/>
      <c r="BV697" s="43"/>
      <c r="BW697" s="43"/>
      <c r="BX697" s="43"/>
      <c r="BY697" s="43"/>
      <c r="B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c r="AE698" s="43"/>
      <c r="AF698" s="43"/>
      <c r="AG698" s="43"/>
      <c r="AH698" s="43"/>
      <c r="AI698" s="43"/>
      <c r="AJ698" s="43"/>
      <c r="AK698" s="43"/>
      <c r="AL698" s="43"/>
      <c r="AM698" s="43"/>
      <c r="AN698" s="43"/>
      <c r="AO698" s="43"/>
      <c r="AP698" s="43"/>
      <c r="AQ698" s="43"/>
      <c r="AR698" s="43"/>
      <c r="AS698" s="43"/>
      <c r="AT698" s="43"/>
      <c r="AU698" s="43"/>
      <c r="AV698" s="43"/>
      <c r="AW698" s="43"/>
      <c r="AX698" s="43"/>
      <c r="AY698" s="43"/>
      <c r="AZ698" s="43"/>
      <c r="BA698" s="43"/>
      <c r="BB698" s="43"/>
      <c r="BC698" s="43"/>
      <c r="BD698" s="43"/>
      <c r="BE698" s="43"/>
      <c r="BF698" s="43"/>
      <c r="BG698" s="43"/>
      <c r="BH698" s="43"/>
      <c r="BI698" s="43"/>
      <c r="BJ698" s="43"/>
      <c r="BK698" s="43"/>
      <c r="BL698" s="43"/>
      <c r="BM698" s="43"/>
      <c r="BN698" s="43"/>
      <c r="BO698" s="43"/>
      <c r="BP698" s="43"/>
      <c r="BQ698" s="43"/>
      <c r="BR698" s="43"/>
      <c r="BS698" s="43"/>
      <c r="BT698" s="43"/>
      <c r="BU698" s="43"/>
      <c r="BV698" s="43"/>
      <c r="BW698" s="43"/>
      <c r="BX698" s="43"/>
      <c r="BY698" s="43"/>
      <c r="B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c r="AE699" s="43"/>
      <c r="AF699" s="43"/>
      <c r="AG699" s="43"/>
      <c r="AH699" s="43"/>
      <c r="AI699" s="43"/>
      <c r="AJ699" s="43"/>
      <c r="AK699" s="43"/>
      <c r="AL699" s="43"/>
      <c r="AM699" s="43"/>
      <c r="AN699" s="43"/>
      <c r="AO699" s="43"/>
      <c r="AP699" s="43"/>
      <c r="AQ699" s="43"/>
      <c r="AR699" s="43"/>
      <c r="AS699" s="43"/>
      <c r="AT699" s="43"/>
      <c r="AU699" s="43"/>
      <c r="AV699" s="43"/>
      <c r="AW699" s="43"/>
      <c r="AX699" s="43"/>
      <c r="AY699" s="43"/>
      <c r="AZ699" s="43"/>
      <c r="BA699" s="43"/>
      <c r="BB699" s="43"/>
      <c r="BC699" s="43"/>
      <c r="BD699" s="43"/>
      <c r="BE699" s="43"/>
      <c r="BF699" s="43"/>
      <c r="BG699" s="43"/>
      <c r="BH699" s="43"/>
      <c r="BI699" s="43"/>
      <c r="BJ699" s="43"/>
      <c r="BK699" s="43"/>
      <c r="BL699" s="43"/>
      <c r="BM699" s="43"/>
      <c r="BN699" s="43"/>
      <c r="BO699" s="43"/>
      <c r="BP699" s="43"/>
      <c r="BQ699" s="43"/>
      <c r="BR699" s="43"/>
      <c r="BS699" s="43"/>
      <c r="BT699" s="43"/>
      <c r="BU699" s="43"/>
      <c r="BV699" s="43"/>
      <c r="BW699" s="43"/>
      <c r="BX699" s="43"/>
      <c r="BY699" s="43"/>
      <c r="B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c r="AE700" s="43"/>
      <c r="AF700" s="43"/>
      <c r="AG700" s="43"/>
      <c r="AH700" s="43"/>
      <c r="AI700" s="43"/>
      <c r="AJ700" s="43"/>
      <c r="AK700" s="43"/>
      <c r="AL700" s="43"/>
      <c r="AM700" s="43"/>
      <c r="AN700" s="43"/>
      <c r="AO700" s="43"/>
      <c r="AP700" s="43"/>
      <c r="AQ700" s="43"/>
      <c r="AR700" s="43"/>
      <c r="AS700" s="43"/>
      <c r="AT700" s="43"/>
      <c r="AU700" s="43"/>
      <c r="AV700" s="43"/>
      <c r="AW700" s="43"/>
      <c r="AX700" s="43"/>
      <c r="AY700" s="43"/>
      <c r="AZ700" s="43"/>
      <c r="BA700" s="43"/>
      <c r="BB700" s="43"/>
      <c r="BC700" s="43"/>
      <c r="BD700" s="43"/>
      <c r="BE700" s="43"/>
      <c r="BF700" s="43"/>
      <c r="BG700" s="43"/>
      <c r="BH700" s="43"/>
      <c r="BI700" s="43"/>
      <c r="BJ700" s="43"/>
      <c r="BK700" s="43"/>
      <c r="BL700" s="43"/>
      <c r="BM700" s="43"/>
      <c r="BN700" s="43"/>
      <c r="BO700" s="43"/>
      <c r="BP700" s="43"/>
      <c r="BQ700" s="43"/>
      <c r="BR700" s="43"/>
      <c r="BS700" s="43"/>
      <c r="BT700" s="43"/>
      <c r="BU700" s="43"/>
      <c r="BV700" s="43"/>
      <c r="BW700" s="43"/>
      <c r="BX700" s="43"/>
      <c r="BY700" s="43"/>
      <c r="B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c r="AE701" s="43"/>
      <c r="AF701" s="43"/>
      <c r="AG701" s="43"/>
      <c r="AH701" s="43"/>
      <c r="AI701" s="43"/>
      <c r="AJ701" s="43"/>
      <c r="AK701" s="43"/>
      <c r="AL701" s="43"/>
      <c r="AM701" s="43"/>
      <c r="AN701" s="43"/>
      <c r="AO701" s="43"/>
      <c r="AP701" s="43"/>
      <c r="AQ701" s="43"/>
      <c r="AR701" s="43"/>
      <c r="AS701" s="43"/>
      <c r="AT701" s="43"/>
      <c r="AU701" s="43"/>
      <c r="AV701" s="43"/>
      <c r="AW701" s="43"/>
      <c r="AX701" s="43"/>
      <c r="AY701" s="43"/>
      <c r="AZ701" s="43"/>
      <c r="BA701" s="43"/>
      <c r="BB701" s="43"/>
      <c r="BC701" s="43"/>
      <c r="BD701" s="43"/>
      <c r="BE701" s="43"/>
      <c r="BF701" s="43"/>
      <c r="BG701" s="43"/>
      <c r="BH701" s="43"/>
      <c r="BI701" s="43"/>
      <c r="BJ701" s="43"/>
      <c r="BK701" s="43"/>
      <c r="BL701" s="43"/>
      <c r="BM701" s="43"/>
      <c r="BN701" s="43"/>
      <c r="BO701" s="43"/>
      <c r="BP701" s="43"/>
      <c r="BQ701" s="43"/>
      <c r="BR701" s="43"/>
      <c r="BS701" s="43"/>
      <c r="BT701" s="43"/>
      <c r="BU701" s="43"/>
      <c r="BV701" s="43"/>
      <c r="BW701" s="43"/>
      <c r="BX701" s="43"/>
      <c r="BY701" s="43"/>
      <c r="B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c r="AE702" s="43"/>
      <c r="AF702" s="43"/>
      <c r="AG702" s="43"/>
      <c r="AH702" s="43"/>
      <c r="AI702" s="43"/>
      <c r="AJ702" s="43"/>
      <c r="AK702" s="43"/>
      <c r="AL702" s="43"/>
      <c r="AM702" s="43"/>
      <c r="AN702" s="43"/>
      <c r="AO702" s="43"/>
      <c r="AP702" s="43"/>
      <c r="AQ702" s="43"/>
      <c r="AR702" s="43"/>
      <c r="AS702" s="43"/>
      <c r="AT702" s="43"/>
      <c r="AU702" s="43"/>
      <c r="AV702" s="43"/>
      <c r="AW702" s="43"/>
      <c r="AX702" s="43"/>
      <c r="AY702" s="43"/>
      <c r="AZ702" s="43"/>
      <c r="BA702" s="43"/>
      <c r="BB702" s="43"/>
      <c r="BC702" s="43"/>
      <c r="BD702" s="43"/>
      <c r="BE702" s="43"/>
      <c r="BF702" s="43"/>
      <c r="BG702" s="43"/>
      <c r="BH702" s="43"/>
      <c r="BI702" s="43"/>
      <c r="BJ702" s="43"/>
      <c r="BK702" s="43"/>
      <c r="BL702" s="43"/>
      <c r="BM702" s="43"/>
      <c r="BN702" s="43"/>
      <c r="BO702" s="43"/>
      <c r="BP702" s="43"/>
      <c r="BQ702" s="43"/>
      <c r="BR702" s="43"/>
      <c r="BS702" s="43"/>
      <c r="BT702" s="43"/>
      <c r="BU702" s="43"/>
      <c r="BV702" s="43"/>
      <c r="BW702" s="43"/>
      <c r="BX702" s="43"/>
      <c r="BY702" s="43"/>
      <c r="B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c r="AE703" s="43"/>
      <c r="AF703" s="43"/>
      <c r="AG703" s="43"/>
      <c r="AH703" s="43"/>
      <c r="AI703" s="43"/>
      <c r="AJ703" s="43"/>
      <c r="AK703" s="43"/>
      <c r="AL703" s="43"/>
      <c r="AM703" s="43"/>
      <c r="AN703" s="43"/>
      <c r="AO703" s="43"/>
      <c r="AP703" s="43"/>
      <c r="AQ703" s="43"/>
      <c r="AR703" s="43"/>
      <c r="AS703" s="43"/>
      <c r="AT703" s="43"/>
      <c r="AU703" s="43"/>
      <c r="AV703" s="43"/>
      <c r="AW703" s="43"/>
      <c r="AX703" s="43"/>
      <c r="AY703" s="43"/>
      <c r="AZ703" s="43"/>
      <c r="BA703" s="43"/>
      <c r="BB703" s="43"/>
      <c r="BC703" s="43"/>
      <c r="BD703" s="43"/>
      <c r="BE703" s="43"/>
      <c r="BF703" s="43"/>
      <c r="BG703" s="43"/>
      <c r="BH703" s="43"/>
      <c r="BI703" s="43"/>
      <c r="BJ703" s="43"/>
      <c r="BK703" s="43"/>
      <c r="BL703" s="43"/>
      <c r="BM703" s="43"/>
      <c r="BN703" s="43"/>
      <c r="BO703" s="43"/>
      <c r="BP703" s="43"/>
      <c r="BQ703" s="43"/>
      <c r="BR703" s="43"/>
      <c r="BS703" s="43"/>
      <c r="BT703" s="43"/>
      <c r="BU703" s="43"/>
      <c r="BV703" s="43"/>
      <c r="BW703" s="43"/>
      <c r="BX703" s="43"/>
      <c r="BY703" s="43"/>
      <c r="B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c r="AE704" s="43"/>
      <c r="AF704" s="43"/>
      <c r="AG704" s="43"/>
      <c r="AH704" s="43"/>
      <c r="AI704" s="43"/>
      <c r="AJ704" s="43"/>
      <c r="AK704" s="43"/>
      <c r="AL704" s="43"/>
      <c r="AM704" s="43"/>
      <c r="AN704" s="43"/>
      <c r="AO704" s="43"/>
      <c r="AP704" s="43"/>
      <c r="AQ704" s="43"/>
      <c r="AR704" s="43"/>
      <c r="AS704" s="43"/>
      <c r="AT704" s="43"/>
      <c r="AU704" s="43"/>
      <c r="AV704" s="43"/>
      <c r="AW704" s="43"/>
      <c r="AX704" s="43"/>
      <c r="AY704" s="43"/>
      <c r="AZ704" s="43"/>
      <c r="BA704" s="43"/>
      <c r="BB704" s="43"/>
      <c r="BC704" s="43"/>
      <c r="BD704" s="43"/>
      <c r="BE704" s="43"/>
      <c r="BF704" s="43"/>
      <c r="BG704" s="43"/>
      <c r="BH704" s="43"/>
      <c r="BI704" s="43"/>
      <c r="BJ704" s="43"/>
      <c r="BK704" s="43"/>
      <c r="BL704" s="43"/>
      <c r="BM704" s="43"/>
      <c r="BN704" s="43"/>
      <c r="BO704" s="43"/>
      <c r="BP704" s="43"/>
      <c r="BQ704" s="43"/>
      <c r="BR704" s="43"/>
      <c r="BS704" s="43"/>
      <c r="BT704" s="43"/>
      <c r="BU704" s="43"/>
      <c r="BV704" s="43"/>
      <c r="BW704" s="43"/>
      <c r="BX704" s="43"/>
      <c r="BY704" s="43"/>
      <c r="B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c r="AE705" s="43"/>
      <c r="AF705" s="43"/>
      <c r="AG705" s="43"/>
      <c r="AH705" s="43"/>
      <c r="AI705" s="43"/>
      <c r="AJ705" s="43"/>
      <c r="AK705" s="43"/>
      <c r="AL705" s="43"/>
      <c r="AM705" s="43"/>
      <c r="AN705" s="43"/>
      <c r="AO705" s="43"/>
      <c r="AP705" s="43"/>
      <c r="AQ705" s="43"/>
      <c r="AR705" s="43"/>
      <c r="AS705" s="43"/>
      <c r="AT705" s="43"/>
      <c r="AU705" s="43"/>
      <c r="AV705" s="43"/>
      <c r="AW705" s="43"/>
      <c r="AX705" s="43"/>
      <c r="AY705" s="43"/>
      <c r="AZ705" s="43"/>
      <c r="BA705" s="43"/>
      <c r="BB705" s="43"/>
      <c r="BC705" s="43"/>
      <c r="BD705" s="43"/>
      <c r="BE705" s="43"/>
      <c r="BF705" s="43"/>
      <c r="BG705" s="43"/>
      <c r="BH705" s="43"/>
      <c r="BI705" s="43"/>
      <c r="BJ705" s="43"/>
      <c r="BK705" s="43"/>
      <c r="BL705" s="43"/>
      <c r="BM705" s="43"/>
      <c r="BN705" s="43"/>
      <c r="BO705" s="43"/>
      <c r="BP705" s="43"/>
      <c r="BQ705" s="43"/>
      <c r="BR705" s="43"/>
      <c r="BS705" s="43"/>
      <c r="BT705" s="43"/>
      <c r="BU705" s="43"/>
      <c r="BV705" s="43"/>
      <c r="BW705" s="43"/>
      <c r="BX705" s="43"/>
      <c r="BY705" s="43"/>
      <c r="B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c r="AE706" s="43"/>
      <c r="AF706" s="43"/>
      <c r="AG706" s="43"/>
      <c r="AH706" s="43"/>
      <c r="AI706" s="43"/>
      <c r="AJ706" s="43"/>
      <c r="AK706" s="43"/>
      <c r="AL706" s="43"/>
      <c r="AM706" s="43"/>
      <c r="AN706" s="43"/>
      <c r="AO706" s="43"/>
      <c r="AP706" s="43"/>
      <c r="AQ706" s="43"/>
      <c r="AR706" s="43"/>
      <c r="AS706" s="43"/>
      <c r="AT706" s="43"/>
      <c r="AU706" s="43"/>
      <c r="AV706" s="43"/>
      <c r="AW706" s="43"/>
      <c r="AX706" s="43"/>
      <c r="AY706" s="43"/>
      <c r="AZ706" s="43"/>
      <c r="BA706" s="43"/>
      <c r="BB706" s="43"/>
      <c r="BC706" s="43"/>
      <c r="BD706" s="43"/>
      <c r="BE706" s="43"/>
      <c r="BF706" s="43"/>
      <c r="BG706" s="43"/>
      <c r="BH706" s="43"/>
      <c r="BI706" s="43"/>
      <c r="BJ706" s="43"/>
      <c r="BK706" s="43"/>
      <c r="BL706" s="43"/>
      <c r="BM706" s="43"/>
      <c r="BN706" s="43"/>
      <c r="BO706" s="43"/>
      <c r="BP706" s="43"/>
      <c r="BQ706" s="43"/>
      <c r="BR706" s="43"/>
      <c r="BS706" s="43"/>
      <c r="BT706" s="43"/>
      <c r="BU706" s="43"/>
      <c r="BV706" s="43"/>
      <c r="BW706" s="43"/>
      <c r="BX706" s="43"/>
      <c r="BY706" s="43"/>
      <c r="B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c r="AE707" s="43"/>
      <c r="AF707" s="43"/>
      <c r="AG707" s="43"/>
      <c r="AH707" s="43"/>
      <c r="AI707" s="43"/>
      <c r="AJ707" s="43"/>
      <c r="AK707" s="43"/>
      <c r="AL707" s="43"/>
      <c r="AM707" s="43"/>
      <c r="AN707" s="43"/>
      <c r="AO707" s="43"/>
      <c r="AP707" s="43"/>
      <c r="AQ707" s="43"/>
      <c r="AR707" s="43"/>
      <c r="AS707" s="43"/>
      <c r="AT707" s="43"/>
      <c r="AU707" s="43"/>
      <c r="AV707" s="43"/>
      <c r="AW707" s="43"/>
      <c r="AX707" s="43"/>
      <c r="AY707" s="43"/>
      <c r="AZ707" s="43"/>
      <c r="BA707" s="43"/>
      <c r="BB707" s="43"/>
      <c r="BC707" s="43"/>
      <c r="BD707" s="43"/>
      <c r="BE707" s="43"/>
      <c r="BF707" s="43"/>
      <c r="BG707" s="43"/>
      <c r="BH707" s="43"/>
      <c r="BI707" s="43"/>
      <c r="BJ707" s="43"/>
      <c r="BK707" s="43"/>
      <c r="BL707" s="43"/>
      <c r="BM707" s="43"/>
      <c r="BN707" s="43"/>
      <c r="BO707" s="43"/>
      <c r="BP707" s="43"/>
      <c r="BQ707" s="43"/>
      <c r="BR707" s="43"/>
      <c r="BS707" s="43"/>
      <c r="BT707" s="43"/>
      <c r="BU707" s="43"/>
      <c r="BV707" s="43"/>
      <c r="BW707" s="43"/>
      <c r="BX707" s="43"/>
      <c r="BY707" s="43"/>
      <c r="B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c r="AE708" s="43"/>
      <c r="AF708" s="43"/>
      <c r="AG708" s="43"/>
      <c r="AH708" s="43"/>
      <c r="AI708" s="43"/>
      <c r="AJ708" s="43"/>
      <c r="AK708" s="43"/>
      <c r="AL708" s="43"/>
      <c r="AM708" s="43"/>
      <c r="AN708" s="43"/>
      <c r="AO708" s="43"/>
      <c r="AP708" s="43"/>
      <c r="AQ708" s="43"/>
      <c r="AR708" s="43"/>
      <c r="AS708" s="43"/>
      <c r="AT708" s="43"/>
      <c r="AU708" s="43"/>
      <c r="AV708" s="43"/>
      <c r="AW708" s="43"/>
      <c r="AX708" s="43"/>
      <c r="AY708" s="43"/>
      <c r="AZ708" s="43"/>
      <c r="BA708" s="43"/>
      <c r="BB708" s="43"/>
      <c r="BC708" s="43"/>
      <c r="BD708" s="43"/>
      <c r="BE708" s="43"/>
      <c r="BF708" s="43"/>
      <c r="BG708" s="43"/>
      <c r="BH708" s="43"/>
      <c r="BI708" s="43"/>
      <c r="BJ708" s="43"/>
      <c r="BK708" s="43"/>
      <c r="BL708" s="43"/>
      <c r="BM708" s="43"/>
      <c r="BN708" s="43"/>
      <c r="BO708" s="43"/>
      <c r="BP708" s="43"/>
      <c r="BQ708" s="43"/>
      <c r="BR708" s="43"/>
      <c r="BS708" s="43"/>
      <c r="BT708" s="43"/>
      <c r="BU708" s="43"/>
      <c r="BV708" s="43"/>
      <c r="BW708" s="43"/>
      <c r="BX708" s="43"/>
      <c r="BY708" s="43"/>
      <c r="B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c r="AE709" s="43"/>
      <c r="AF709" s="43"/>
      <c r="AG709" s="43"/>
      <c r="AH709" s="43"/>
      <c r="AI709" s="43"/>
      <c r="AJ709" s="43"/>
      <c r="AK709" s="43"/>
      <c r="AL709" s="43"/>
      <c r="AM709" s="43"/>
      <c r="AN709" s="43"/>
      <c r="AO709" s="43"/>
      <c r="AP709" s="43"/>
      <c r="AQ709" s="43"/>
      <c r="AR709" s="43"/>
      <c r="AS709" s="43"/>
      <c r="AT709" s="43"/>
      <c r="AU709" s="43"/>
      <c r="AV709" s="43"/>
      <c r="AW709" s="43"/>
      <c r="AX709" s="43"/>
      <c r="AY709" s="43"/>
      <c r="AZ709" s="43"/>
      <c r="BA709" s="43"/>
      <c r="BB709" s="43"/>
      <c r="BC709" s="43"/>
      <c r="BD709" s="43"/>
      <c r="BE709" s="43"/>
      <c r="BF709" s="43"/>
      <c r="BG709" s="43"/>
      <c r="BH709" s="43"/>
      <c r="BI709" s="43"/>
      <c r="BJ709" s="43"/>
      <c r="BK709" s="43"/>
      <c r="BL709" s="43"/>
      <c r="BM709" s="43"/>
      <c r="BN709" s="43"/>
      <c r="BO709" s="43"/>
      <c r="BP709" s="43"/>
      <c r="BQ709" s="43"/>
      <c r="BR709" s="43"/>
      <c r="BS709" s="43"/>
      <c r="BT709" s="43"/>
      <c r="BU709" s="43"/>
      <c r="BV709" s="43"/>
      <c r="BW709" s="43"/>
      <c r="BX709" s="43"/>
      <c r="BY709" s="43"/>
      <c r="B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c r="AE710" s="43"/>
      <c r="AF710" s="43"/>
      <c r="AG710" s="43"/>
      <c r="AH710" s="43"/>
      <c r="AI710" s="43"/>
      <c r="AJ710" s="43"/>
      <c r="AK710" s="43"/>
      <c r="AL710" s="43"/>
      <c r="AM710" s="43"/>
      <c r="AN710" s="43"/>
      <c r="AO710" s="43"/>
      <c r="AP710" s="43"/>
      <c r="AQ710" s="43"/>
      <c r="AR710" s="43"/>
      <c r="AS710" s="43"/>
      <c r="AT710" s="43"/>
      <c r="AU710" s="43"/>
      <c r="AV710" s="43"/>
      <c r="AW710" s="43"/>
      <c r="AX710" s="43"/>
      <c r="AY710" s="43"/>
      <c r="AZ710" s="43"/>
      <c r="BA710" s="43"/>
      <c r="BB710" s="43"/>
      <c r="BC710" s="43"/>
      <c r="BD710" s="43"/>
      <c r="BE710" s="43"/>
      <c r="BF710" s="43"/>
      <c r="BG710" s="43"/>
      <c r="BH710" s="43"/>
      <c r="BI710" s="43"/>
      <c r="BJ710" s="43"/>
      <c r="BK710" s="43"/>
      <c r="BL710" s="43"/>
      <c r="BM710" s="43"/>
      <c r="BN710" s="43"/>
      <c r="BO710" s="43"/>
      <c r="BP710" s="43"/>
      <c r="BQ710" s="43"/>
      <c r="BR710" s="43"/>
      <c r="BS710" s="43"/>
      <c r="BT710" s="43"/>
      <c r="BU710" s="43"/>
      <c r="BV710" s="43"/>
      <c r="BW710" s="43"/>
      <c r="BX710" s="43"/>
      <c r="BY710" s="43"/>
      <c r="B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c r="AE711" s="43"/>
      <c r="AF711" s="43"/>
      <c r="AG711" s="43"/>
      <c r="AH711" s="43"/>
      <c r="AI711" s="43"/>
      <c r="AJ711" s="43"/>
      <c r="AK711" s="43"/>
      <c r="AL711" s="43"/>
      <c r="AM711" s="43"/>
      <c r="AN711" s="43"/>
      <c r="AO711" s="43"/>
      <c r="AP711" s="43"/>
      <c r="AQ711" s="43"/>
      <c r="AR711" s="43"/>
      <c r="AS711" s="43"/>
      <c r="AT711" s="43"/>
      <c r="AU711" s="43"/>
      <c r="AV711" s="43"/>
      <c r="AW711" s="43"/>
      <c r="AX711" s="43"/>
      <c r="AY711" s="43"/>
      <c r="AZ711" s="43"/>
      <c r="BA711" s="43"/>
      <c r="BB711" s="43"/>
      <c r="BC711" s="43"/>
      <c r="BD711" s="43"/>
      <c r="BE711" s="43"/>
      <c r="BF711" s="43"/>
      <c r="BG711" s="43"/>
      <c r="BH711" s="43"/>
      <c r="BI711" s="43"/>
      <c r="BJ711" s="43"/>
      <c r="BK711" s="43"/>
      <c r="BL711" s="43"/>
      <c r="BM711" s="43"/>
      <c r="BN711" s="43"/>
      <c r="BO711" s="43"/>
      <c r="BP711" s="43"/>
      <c r="BQ711" s="43"/>
      <c r="BR711" s="43"/>
      <c r="BS711" s="43"/>
      <c r="BT711" s="43"/>
      <c r="BU711" s="43"/>
      <c r="BV711" s="43"/>
      <c r="BW711" s="43"/>
      <c r="BX711" s="43"/>
      <c r="BY711" s="43"/>
      <c r="B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c r="AE712" s="43"/>
      <c r="AF712" s="43"/>
      <c r="AG712" s="43"/>
      <c r="AH712" s="43"/>
      <c r="AI712" s="43"/>
      <c r="AJ712" s="43"/>
      <c r="AK712" s="43"/>
      <c r="AL712" s="43"/>
      <c r="AM712" s="43"/>
      <c r="AN712" s="43"/>
      <c r="AO712" s="43"/>
      <c r="AP712" s="43"/>
      <c r="AQ712" s="43"/>
      <c r="AR712" s="43"/>
      <c r="AS712" s="43"/>
      <c r="AT712" s="43"/>
      <c r="AU712" s="43"/>
      <c r="AV712" s="43"/>
      <c r="AW712" s="43"/>
      <c r="AX712" s="43"/>
      <c r="AY712" s="43"/>
      <c r="AZ712" s="43"/>
      <c r="BA712" s="43"/>
      <c r="BB712" s="43"/>
      <c r="BC712" s="43"/>
      <c r="BD712" s="43"/>
      <c r="BE712" s="43"/>
      <c r="BF712" s="43"/>
      <c r="BG712" s="43"/>
      <c r="BH712" s="43"/>
      <c r="BI712" s="43"/>
      <c r="BJ712" s="43"/>
      <c r="BK712" s="43"/>
      <c r="BL712" s="43"/>
      <c r="BM712" s="43"/>
      <c r="BN712" s="43"/>
      <c r="BO712" s="43"/>
      <c r="BP712" s="43"/>
      <c r="BQ712" s="43"/>
      <c r="BR712" s="43"/>
      <c r="BS712" s="43"/>
      <c r="BT712" s="43"/>
      <c r="BU712" s="43"/>
      <c r="BV712" s="43"/>
      <c r="BW712" s="43"/>
      <c r="BX712" s="43"/>
      <c r="BY712" s="43"/>
      <c r="B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c r="AE713" s="43"/>
      <c r="AF713" s="43"/>
      <c r="AG713" s="43"/>
      <c r="AH713" s="43"/>
      <c r="AI713" s="43"/>
      <c r="AJ713" s="43"/>
      <c r="AK713" s="43"/>
      <c r="AL713" s="43"/>
      <c r="AM713" s="43"/>
      <c r="AN713" s="43"/>
      <c r="AO713" s="43"/>
      <c r="AP713" s="43"/>
      <c r="AQ713" s="43"/>
      <c r="AR713" s="43"/>
      <c r="AS713" s="43"/>
      <c r="AT713" s="43"/>
      <c r="AU713" s="43"/>
      <c r="AV713" s="43"/>
      <c r="AW713" s="43"/>
      <c r="AX713" s="43"/>
      <c r="AY713" s="43"/>
      <c r="AZ713" s="43"/>
      <c r="BA713" s="43"/>
      <c r="BB713" s="43"/>
      <c r="BC713" s="43"/>
      <c r="BD713" s="43"/>
      <c r="BE713" s="43"/>
      <c r="BF713" s="43"/>
      <c r="BG713" s="43"/>
      <c r="BH713" s="43"/>
      <c r="BI713" s="43"/>
      <c r="BJ713" s="43"/>
      <c r="BK713" s="43"/>
      <c r="BL713" s="43"/>
      <c r="BM713" s="43"/>
      <c r="BN713" s="43"/>
      <c r="BO713" s="43"/>
      <c r="BP713" s="43"/>
      <c r="BQ713" s="43"/>
      <c r="BR713" s="43"/>
      <c r="BS713" s="43"/>
      <c r="BT713" s="43"/>
      <c r="BU713" s="43"/>
      <c r="BV713" s="43"/>
      <c r="BW713" s="43"/>
      <c r="BX713" s="43"/>
      <c r="BY713" s="43"/>
      <c r="B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c r="AE714" s="43"/>
      <c r="AF714" s="43"/>
      <c r="AG714" s="43"/>
      <c r="AH714" s="43"/>
      <c r="AI714" s="43"/>
      <c r="AJ714" s="43"/>
      <c r="AK714" s="43"/>
      <c r="AL714" s="43"/>
      <c r="AM714" s="43"/>
      <c r="AN714" s="43"/>
      <c r="AO714" s="43"/>
      <c r="AP714" s="43"/>
      <c r="AQ714" s="43"/>
      <c r="AR714" s="43"/>
      <c r="AS714" s="43"/>
      <c r="AT714" s="43"/>
      <c r="AU714" s="43"/>
      <c r="AV714" s="43"/>
      <c r="AW714" s="43"/>
      <c r="AX714" s="43"/>
      <c r="AY714" s="43"/>
      <c r="AZ714" s="43"/>
      <c r="BA714" s="43"/>
      <c r="BB714" s="43"/>
      <c r="BC714" s="43"/>
      <c r="BD714" s="43"/>
      <c r="BE714" s="43"/>
      <c r="BF714" s="43"/>
      <c r="BG714" s="43"/>
      <c r="BH714" s="43"/>
      <c r="BI714" s="43"/>
      <c r="BJ714" s="43"/>
      <c r="BK714" s="43"/>
      <c r="BL714" s="43"/>
      <c r="BM714" s="43"/>
      <c r="BN714" s="43"/>
      <c r="BO714" s="43"/>
      <c r="BP714" s="43"/>
      <c r="BQ714" s="43"/>
      <c r="BR714" s="43"/>
      <c r="BS714" s="43"/>
      <c r="BT714" s="43"/>
      <c r="BU714" s="43"/>
      <c r="BV714" s="43"/>
      <c r="BW714" s="43"/>
      <c r="BX714" s="43"/>
      <c r="BY714" s="43"/>
      <c r="B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c r="AE715" s="43"/>
      <c r="AF715" s="43"/>
      <c r="AG715" s="43"/>
      <c r="AH715" s="43"/>
      <c r="AI715" s="43"/>
      <c r="AJ715" s="43"/>
      <c r="AK715" s="43"/>
      <c r="AL715" s="43"/>
      <c r="AM715" s="43"/>
      <c r="AN715" s="43"/>
      <c r="AO715" s="43"/>
      <c r="AP715" s="43"/>
      <c r="AQ715" s="43"/>
      <c r="AR715" s="43"/>
      <c r="AS715" s="43"/>
      <c r="AT715" s="43"/>
      <c r="AU715" s="43"/>
      <c r="AV715" s="43"/>
      <c r="AW715" s="43"/>
      <c r="AX715" s="43"/>
      <c r="AY715" s="43"/>
      <c r="AZ715" s="43"/>
      <c r="BA715" s="43"/>
      <c r="BB715" s="43"/>
      <c r="BC715" s="43"/>
      <c r="BD715" s="43"/>
      <c r="BE715" s="43"/>
      <c r="BF715" s="43"/>
      <c r="BG715" s="43"/>
      <c r="BH715" s="43"/>
      <c r="BI715" s="43"/>
      <c r="BJ715" s="43"/>
      <c r="BK715" s="43"/>
      <c r="BL715" s="43"/>
      <c r="BM715" s="43"/>
      <c r="BN715" s="43"/>
      <c r="BO715" s="43"/>
      <c r="BP715" s="43"/>
      <c r="BQ715" s="43"/>
      <c r="BR715" s="43"/>
      <c r="BS715" s="43"/>
      <c r="BT715" s="43"/>
      <c r="BU715" s="43"/>
      <c r="BV715" s="43"/>
      <c r="BW715" s="43"/>
      <c r="BX715" s="43"/>
      <c r="BY715" s="43"/>
      <c r="B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c r="AE716" s="43"/>
      <c r="AF716" s="43"/>
      <c r="AG716" s="43"/>
      <c r="AH716" s="43"/>
      <c r="AI716" s="43"/>
      <c r="AJ716" s="43"/>
      <c r="AK716" s="43"/>
      <c r="AL716" s="43"/>
      <c r="AM716" s="43"/>
      <c r="AN716" s="43"/>
      <c r="AO716" s="43"/>
      <c r="AP716" s="43"/>
      <c r="AQ716" s="43"/>
      <c r="AR716" s="43"/>
      <c r="AS716" s="43"/>
      <c r="AT716" s="43"/>
      <c r="AU716" s="43"/>
      <c r="AV716" s="43"/>
      <c r="AW716" s="43"/>
      <c r="AX716" s="43"/>
      <c r="AY716" s="43"/>
      <c r="AZ716" s="43"/>
      <c r="BA716" s="43"/>
      <c r="BB716" s="43"/>
      <c r="BC716" s="43"/>
      <c r="BD716" s="43"/>
      <c r="BE716" s="43"/>
      <c r="BF716" s="43"/>
      <c r="BG716" s="43"/>
      <c r="BH716" s="43"/>
      <c r="BI716" s="43"/>
      <c r="BJ716" s="43"/>
      <c r="BK716" s="43"/>
      <c r="BL716" s="43"/>
      <c r="BM716" s="43"/>
      <c r="BN716" s="43"/>
      <c r="BO716" s="43"/>
      <c r="BP716" s="43"/>
      <c r="BQ716" s="43"/>
      <c r="BR716" s="43"/>
      <c r="BS716" s="43"/>
      <c r="BT716" s="43"/>
      <c r="BU716" s="43"/>
      <c r="BV716" s="43"/>
      <c r="BW716" s="43"/>
      <c r="BX716" s="43"/>
      <c r="BY716" s="43"/>
      <c r="B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c r="AE717" s="43"/>
      <c r="AF717" s="43"/>
      <c r="AG717" s="43"/>
      <c r="AH717" s="43"/>
      <c r="AI717" s="43"/>
      <c r="AJ717" s="43"/>
      <c r="AK717" s="43"/>
      <c r="AL717" s="43"/>
      <c r="AM717" s="43"/>
      <c r="AN717" s="43"/>
      <c r="AO717" s="43"/>
      <c r="AP717" s="43"/>
      <c r="AQ717" s="43"/>
      <c r="AR717" s="43"/>
      <c r="AS717" s="43"/>
      <c r="AT717" s="43"/>
      <c r="AU717" s="43"/>
      <c r="AV717" s="43"/>
      <c r="AW717" s="43"/>
      <c r="AX717" s="43"/>
      <c r="AY717" s="43"/>
      <c r="AZ717" s="43"/>
      <c r="BA717" s="43"/>
      <c r="BB717" s="43"/>
      <c r="BC717" s="43"/>
      <c r="BD717" s="43"/>
      <c r="BE717" s="43"/>
      <c r="BF717" s="43"/>
      <c r="BG717" s="43"/>
      <c r="BH717" s="43"/>
      <c r="BI717" s="43"/>
      <c r="BJ717" s="43"/>
      <c r="BK717" s="43"/>
      <c r="BL717" s="43"/>
      <c r="BM717" s="43"/>
      <c r="BN717" s="43"/>
      <c r="BO717" s="43"/>
      <c r="BP717" s="43"/>
      <c r="BQ717" s="43"/>
      <c r="BR717" s="43"/>
      <c r="BS717" s="43"/>
      <c r="BT717" s="43"/>
      <c r="BU717" s="43"/>
      <c r="BV717" s="43"/>
      <c r="BW717" s="43"/>
      <c r="BX717" s="43"/>
      <c r="BY717" s="43"/>
      <c r="B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c r="AE718" s="43"/>
      <c r="AF718" s="43"/>
      <c r="AG718" s="43"/>
      <c r="AH718" s="43"/>
      <c r="AI718" s="43"/>
      <c r="AJ718" s="43"/>
      <c r="AK718" s="43"/>
      <c r="AL718" s="43"/>
      <c r="AM718" s="43"/>
      <c r="AN718" s="43"/>
      <c r="AO718" s="43"/>
      <c r="AP718" s="43"/>
      <c r="AQ718" s="43"/>
      <c r="AR718" s="43"/>
      <c r="AS718" s="43"/>
      <c r="AT718" s="43"/>
      <c r="AU718" s="43"/>
      <c r="AV718" s="43"/>
      <c r="AW718" s="43"/>
      <c r="AX718" s="43"/>
      <c r="AY718" s="43"/>
      <c r="AZ718" s="43"/>
      <c r="BA718" s="43"/>
      <c r="BB718" s="43"/>
      <c r="BC718" s="43"/>
      <c r="BD718" s="43"/>
      <c r="BE718" s="43"/>
      <c r="BF718" s="43"/>
      <c r="BG718" s="43"/>
      <c r="BH718" s="43"/>
      <c r="BI718" s="43"/>
      <c r="BJ718" s="43"/>
      <c r="BK718" s="43"/>
      <c r="BL718" s="43"/>
      <c r="BM718" s="43"/>
      <c r="BN718" s="43"/>
      <c r="BO718" s="43"/>
      <c r="BP718" s="43"/>
      <c r="BQ718" s="43"/>
      <c r="BR718" s="43"/>
      <c r="BS718" s="43"/>
      <c r="BT718" s="43"/>
      <c r="BU718" s="43"/>
      <c r="BV718" s="43"/>
      <c r="BW718" s="43"/>
      <c r="BX718" s="43"/>
      <c r="BY718" s="43"/>
      <c r="B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c r="AE719" s="43"/>
      <c r="AF719" s="43"/>
      <c r="AG719" s="43"/>
      <c r="AH719" s="43"/>
      <c r="AI719" s="43"/>
      <c r="AJ719" s="43"/>
      <c r="AK719" s="43"/>
      <c r="AL719" s="43"/>
      <c r="AM719" s="43"/>
      <c r="AN719" s="43"/>
      <c r="AO719" s="43"/>
      <c r="AP719" s="43"/>
      <c r="AQ719" s="43"/>
      <c r="AR719" s="43"/>
      <c r="AS719" s="43"/>
      <c r="AT719" s="43"/>
      <c r="AU719" s="43"/>
      <c r="AV719" s="43"/>
      <c r="AW719" s="43"/>
      <c r="AX719" s="43"/>
      <c r="AY719" s="43"/>
      <c r="AZ719" s="43"/>
      <c r="BA719" s="43"/>
      <c r="BB719" s="43"/>
      <c r="BC719" s="43"/>
      <c r="BD719" s="43"/>
      <c r="BE719" s="43"/>
      <c r="BF719" s="43"/>
      <c r="BG719" s="43"/>
      <c r="BH719" s="43"/>
      <c r="BI719" s="43"/>
      <c r="BJ719" s="43"/>
      <c r="BK719" s="43"/>
      <c r="BL719" s="43"/>
      <c r="BM719" s="43"/>
      <c r="BN719" s="43"/>
      <c r="BO719" s="43"/>
      <c r="BP719" s="43"/>
      <c r="BQ719" s="43"/>
      <c r="BR719" s="43"/>
      <c r="BS719" s="43"/>
      <c r="BT719" s="43"/>
      <c r="BU719" s="43"/>
      <c r="BV719" s="43"/>
      <c r="BW719" s="43"/>
      <c r="BX719" s="43"/>
      <c r="BY719" s="43"/>
      <c r="B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c r="AE720" s="43"/>
      <c r="AF720" s="43"/>
      <c r="AG720" s="43"/>
      <c r="AH720" s="43"/>
      <c r="AI720" s="43"/>
      <c r="AJ720" s="43"/>
      <c r="AK720" s="43"/>
      <c r="AL720" s="43"/>
      <c r="AM720" s="43"/>
      <c r="AN720" s="43"/>
      <c r="AO720" s="43"/>
      <c r="AP720" s="43"/>
      <c r="AQ720" s="43"/>
      <c r="AR720" s="43"/>
      <c r="AS720" s="43"/>
      <c r="AT720" s="43"/>
      <c r="AU720" s="43"/>
      <c r="AV720" s="43"/>
      <c r="AW720" s="43"/>
      <c r="AX720" s="43"/>
      <c r="AY720" s="43"/>
      <c r="AZ720" s="43"/>
      <c r="BA720" s="43"/>
      <c r="BB720" s="43"/>
      <c r="BC720" s="43"/>
      <c r="BD720" s="43"/>
      <c r="BE720" s="43"/>
      <c r="BF720" s="43"/>
      <c r="BG720" s="43"/>
      <c r="BH720" s="43"/>
      <c r="BI720" s="43"/>
      <c r="BJ720" s="43"/>
      <c r="BK720" s="43"/>
      <c r="BL720" s="43"/>
      <c r="BM720" s="43"/>
      <c r="BN720" s="43"/>
      <c r="BO720" s="43"/>
      <c r="BP720" s="43"/>
      <c r="BQ720" s="43"/>
      <c r="BR720" s="43"/>
      <c r="BS720" s="43"/>
      <c r="BT720" s="43"/>
      <c r="BU720" s="43"/>
      <c r="BV720" s="43"/>
      <c r="BW720" s="43"/>
      <c r="BX720" s="43"/>
      <c r="BY720" s="43"/>
      <c r="B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c r="AE721" s="43"/>
      <c r="AF721" s="43"/>
      <c r="AG721" s="43"/>
      <c r="AH721" s="43"/>
      <c r="AI721" s="43"/>
      <c r="AJ721" s="43"/>
      <c r="AK721" s="43"/>
      <c r="AL721" s="43"/>
      <c r="AM721" s="43"/>
      <c r="AN721" s="43"/>
      <c r="AO721" s="43"/>
      <c r="AP721" s="43"/>
      <c r="AQ721" s="43"/>
      <c r="AR721" s="43"/>
      <c r="AS721" s="43"/>
      <c r="AT721" s="43"/>
      <c r="AU721" s="43"/>
      <c r="AV721" s="43"/>
      <c r="AW721" s="43"/>
      <c r="AX721" s="43"/>
      <c r="AY721" s="43"/>
      <c r="AZ721" s="43"/>
      <c r="BA721" s="43"/>
      <c r="BB721" s="43"/>
      <c r="BC721" s="43"/>
      <c r="BD721" s="43"/>
      <c r="BE721" s="43"/>
      <c r="BF721" s="43"/>
      <c r="BG721" s="43"/>
      <c r="BH721" s="43"/>
      <c r="BI721" s="43"/>
      <c r="BJ721" s="43"/>
      <c r="BK721" s="43"/>
      <c r="BL721" s="43"/>
      <c r="BM721" s="43"/>
      <c r="BN721" s="43"/>
      <c r="BO721" s="43"/>
      <c r="BP721" s="43"/>
      <c r="BQ721" s="43"/>
      <c r="BR721" s="43"/>
      <c r="BS721" s="43"/>
      <c r="BT721" s="43"/>
      <c r="BU721" s="43"/>
      <c r="BV721" s="43"/>
      <c r="BW721" s="43"/>
      <c r="BX721" s="43"/>
      <c r="BY721" s="43"/>
      <c r="B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c r="AE722" s="43"/>
      <c r="AF722" s="43"/>
      <c r="AG722" s="43"/>
      <c r="AH722" s="43"/>
      <c r="AI722" s="43"/>
      <c r="AJ722" s="43"/>
      <c r="AK722" s="43"/>
      <c r="AL722" s="43"/>
      <c r="AM722" s="43"/>
      <c r="AN722" s="43"/>
      <c r="AO722" s="43"/>
      <c r="AP722" s="43"/>
      <c r="AQ722" s="43"/>
      <c r="AR722" s="43"/>
      <c r="AS722" s="43"/>
      <c r="AT722" s="43"/>
      <c r="AU722" s="43"/>
      <c r="AV722" s="43"/>
      <c r="AW722" s="43"/>
      <c r="AX722" s="43"/>
      <c r="AY722" s="43"/>
      <c r="AZ722" s="43"/>
      <c r="BA722" s="43"/>
      <c r="BB722" s="43"/>
      <c r="BC722" s="43"/>
      <c r="BD722" s="43"/>
      <c r="BE722" s="43"/>
      <c r="BF722" s="43"/>
      <c r="BG722" s="43"/>
      <c r="BH722" s="43"/>
      <c r="BI722" s="43"/>
      <c r="BJ722" s="43"/>
      <c r="BK722" s="43"/>
      <c r="BL722" s="43"/>
      <c r="BM722" s="43"/>
      <c r="BN722" s="43"/>
      <c r="BO722" s="43"/>
      <c r="BP722" s="43"/>
      <c r="BQ722" s="43"/>
      <c r="BR722" s="43"/>
      <c r="BS722" s="43"/>
      <c r="BT722" s="43"/>
      <c r="BU722" s="43"/>
      <c r="BV722" s="43"/>
      <c r="BW722" s="43"/>
      <c r="BX722" s="43"/>
      <c r="BY722" s="43"/>
      <c r="B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c r="AE723" s="43"/>
      <c r="AF723" s="43"/>
      <c r="AG723" s="43"/>
      <c r="AH723" s="43"/>
      <c r="AI723" s="43"/>
      <c r="AJ723" s="43"/>
      <c r="AK723" s="43"/>
      <c r="AL723" s="43"/>
      <c r="AM723" s="43"/>
      <c r="AN723" s="43"/>
      <c r="AO723" s="43"/>
      <c r="AP723" s="43"/>
      <c r="AQ723" s="43"/>
      <c r="AR723" s="43"/>
      <c r="AS723" s="43"/>
      <c r="AT723" s="43"/>
      <c r="AU723" s="43"/>
      <c r="AV723" s="43"/>
      <c r="AW723" s="43"/>
      <c r="AX723" s="43"/>
      <c r="AY723" s="43"/>
      <c r="AZ723" s="43"/>
      <c r="BA723" s="43"/>
      <c r="BB723" s="43"/>
      <c r="BC723" s="43"/>
      <c r="BD723" s="43"/>
      <c r="BE723" s="43"/>
      <c r="BF723" s="43"/>
      <c r="BG723" s="43"/>
      <c r="BH723" s="43"/>
      <c r="BI723" s="43"/>
      <c r="BJ723" s="43"/>
      <c r="BK723" s="43"/>
      <c r="BL723" s="43"/>
      <c r="BM723" s="43"/>
      <c r="BN723" s="43"/>
      <c r="BO723" s="43"/>
      <c r="BP723" s="43"/>
      <c r="BQ723" s="43"/>
      <c r="BR723" s="43"/>
      <c r="BS723" s="43"/>
      <c r="BT723" s="43"/>
      <c r="BU723" s="43"/>
      <c r="BV723" s="43"/>
      <c r="BW723" s="43"/>
      <c r="BX723" s="43"/>
      <c r="BY723" s="43"/>
      <c r="B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c r="AE724" s="43"/>
      <c r="AF724" s="43"/>
      <c r="AG724" s="43"/>
      <c r="AH724" s="43"/>
      <c r="AI724" s="43"/>
      <c r="AJ724" s="43"/>
      <c r="AK724" s="43"/>
      <c r="AL724" s="43"/>
      <c r="AM724" s="43"/>
      <c r="AN724" s="43"/>
      <c r="AO724" s="43"/>
      <c r="AP724" s="43"/>
      <c r="AQ724" s="43"/>
      <c r="AR724" s="43"/>
      <c r="AS724" s="43"/>
      <c r="AT724" s="43"/>
      <c r="AU724" s="43"/>
      <c r="AV724" s="43"/>
      <c r="AW724" s="43"/>
      <c r="AX724" s="43"/>
      <c r="AY724" s="43"/>
      <c r="AZ724" s="43"/>
      <c r="BA724" s="43"/>
      <c r="BB724" s="43"/>
      <c r="BC724" s="43"/>
      <c r="BD724" s="43"/>
      <c r="BE724" s="43"/>
      <c r="BF724" s="43"/>
      <c r="BG724" s="43"/>
      <c r="BH724" s="43"/>
      <c r="BI724" s="43"/>
      <c r="BJ724" s="43"/>
      <c r="BK724" s="43"/>
      <c r="BL724" s="43"/>
      <c r="BM724" s="43"/>
      <c r="BN724" s="43"/>
      <c r="BO724" s="43"/>
      <c r="BP724" s="43"/>
      <c r="BQ724" s="43"/>
      <c r="BR724" s="43"/>
      <c r="BS724" s="43"/>
      <c r="BT724" s="43"/>
      <c r="BU724" s="43"/>
      <c r="BV724" s="43"/>
      <c r="BW724" s="43"/>
      <c r="BX724" s="43"/>
      <c r="BY724" s="43"/>
      <c r="B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c r="AE725" s="43"/>
      <c r="AF725" s="43"/>
      <c r="AG725" s="43"/>
      <c r="AH725" s="43"/>
      <c r="AI725" s="43"/>
      <c r="AJ725" s="43"/>
      <c r="AK725" s="43"/>
      <c r="AL725" s="43"/>
      <c r="AM725" s="43"/>
      <c r="AN725" s="43"/>
      <c r="AO725" s="43"/>
      <c r="AP725" s="43"/>
      <c r="AQ725" s="43"/>
      <c r="AR725" s="43"/>
      <c r="AS725" s="43"/>
      <c r="AT725" s="43"/>
      <c r="AU725" s="43"/>
      <c r="AV725" s="43"/>
      <c r="AW725" s="43"/>
      <c r="AX725" s="43"/>
      <c r="AY725" s="43"/>
      <c r="AZ725" s="43"/>
      <c r="BA725" s="43"/>
      <c r="BB725" s="43"/>
      <c r="BC725" s="43"/>
      <c r="BD725" s="43"/>
      <c r="BE725" s="43"/>
      <c r="BF725" s="43"/>
      <c r="BG725" s="43"/>
      <c r="BH725" s="43"/>
      <c r="BI725" s="43"/>
      <c r="BJ725" s="43"/>
      <c r="BK725" s="43"/>
      <c r="BL725" s="43"/>
      <c r="BM725" s="43"/>
      <c r="BN725" s="43"/>
      <c r="BO725" s="43"/>
      <c r="BP725" s="43"/>
      <c r="BQ725" s="43"/>
      <c r="BR725" s="43"/>
      <c r="BS725" s="43"/>
      <c r="BT725" s="43"/>
      <c r="BU725" s="43"/>
      <c r="BV725" s="43"/>
      <c r="BW725" s="43"/>
      <c r="BX725" s="43"/>
      <c r="BY725" s="43"/>
      <c r="B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c r="AE726" s="43"/>
      <c r="AF726" s="43"/>
      <c r="AG726" s="43"/>
      <c r="AH726" s="43"/>
      <c r="AI726" s="43"/>
      <c r="AJ726" s="43"/>
      <c r="AK726" s="43"/>
      <c r="AL726" s="43"/>
      <c r="AM726" s="43"/>
      <c r="AN726" s="43"/>
      <c r="AO726" s="43"/>
      <c r="AP726" s="43"/>
      <c r="AQ726" s="43"/>
      <c r="AR726" s="43"/>
      <c r="AS726" s="43"/>
      <c r="AT726" s="43"/>
      <c r="AU726" s="43"/>
      <c r="AV726" s="43"/>
      <c r="AW726" s="43"/>
      <c r="AX726" s="43"/>
      <c r="AY726" s="43"/>
      <c r="AZ726" s="43"/>
      <c r="BA726" s="43"/>
      <c r="BB726" s="43"/>
      <c r="BC726" s="43"/>
      <c r="BD726" s="43"/>
      <c r="BE726" s="43"/>
      <c r="BF726" s="43"/>
      <c r="BG726" s="43"/>
      <c r="BH726" s="43"/>
      <c r="BI726" s="43"/>
      <c r="BJ726" s="43"/>
      <c r="BK726" s="43"/>
      <c r="BL726" s="43"/>
      <c r="BM726" s="43"/>
      <c r="BN726" s="43"/>
      <c r="BO726" s="43"/>
      <c r="BP726" s="43"/>
      <c r="BQ726" s="43"/>
      <c r="BR726" s="43"/>
      <c r="BS726" s="43"/>
      <c r="BT726" s="43"/>
      <c r="BU726" s="43"/>
      <c r="BV726" s="43"/>
      <c r="BW726" s="43"/>
      <c r="BX726" s="43"/>
      <c r="BY726" s="43"/>
      <c r="B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c r="AE727" s="43"/>
      <c r="AF727" s="43"/>
      <c r="AG727" s="43"/>
      <c r="AH727" s="43"/>
      <c r="AI727" s="43"/>
      <c r="AJ727" s="43"/>
      <c r="AK727" s="43"/>
      <c r="AL727" s="43"/>
      <c r="AM727" s="43"/>
      <c r="AN727" s="43"/>
      <c r="AO727" s="43"/>
      <c r="AP727" s="43"/>
      <c r="AQ727" s="43"/>
      <c r="AR727" s="43"/>
      <c r="AS727" s="43"/>
      <c r="AT727" s="43"/>
      <c r="AU727" s="43"/>
      <c r="AV727" s="43"/>
      <c r="AW727" s="43"/>
      <c r="AX727" s="43"/>
      <c r="AY727" s="43"/>
      <c r="AZ727" s="43"/>
      <c r="BA727" s="43"/>
      <c r="BB727" s="43"/>
      <c r="BC727" s="43"/>
      <c r="BD727" s="43"/>
      <c r="BE727" s="43"/>
      <c r="BF727" s="43"/>
      <c r="BG727" s="43"/>
      <c r="BH727" s="43"/>
      <c r="BI727" s="43"/>
      <c r="BJ727" s="43"/>
      <c r="BK727" s="43"/>
      <c r="BL727" s="43"/>
      <c r="BM727" s="43"/>
      <c r="BN727" s="43"/>
      <c r="BO727" s="43"/>
      <c r="BP727" s="43"/>
      <c r="BQ727" s="43"/>
      <c r="BR727" s="43"/>
      <c r="BS727" s="43"/>
      <c r="BT727" s="43"/>
      <c r="BU727" s="43"/>
      <c r="BV727" s="43"/>
      <c r="BW727" s="43"/>
      <c r="BX727" s="43"/>
      <c r="BY727" s="43"/>
      <c r="B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c r="AE728" s="43"/>
      <c r="AF728" s="43"/>
      <c r="AG728" s="43"/>
      <c r="AH728" s="43"/>
      <c r="AI728" s="43"/>
      <c r="AJ728" s="43"/>
      <c r="AK728" s="43"/>
      <c r="AL728" s="43"/>
      <c r="AM728" s="43"/>
      <c r="AN728" s="43"/>
      <c r="AO728" s="43"/>
      <c r="AP728" s="43"/>
      <c r="AQ728" s="43"/>
      <c r="AR728" s="43"/>
      <c r="AS728" s="43"/>
      <c r="AT728" s="43"/>
      <c r="AU728" s="43"/>
      <c r="AV728" s="43"/>
      <c r="AW728" s="43"/>
      <c r="AX728" s="43"/>
      <c r="AY728" s="43"/>
      <c r="AZ728" s="43"/>
      <c r="BA728" s="43"/>
      <c r="BB728" s="43"/>
      <c r="BC728" s="43"/>
      <c r="BD728" s="43"/>
      <c r="BE728" s="43"/>
      <c r="BF728" s="43"/>
      <c r="BG728" s="43"/>
      <c r="BH728" s="43"/>
      <c r="BI728" s="43"/>
      <c r="BJ728" s="43"/>
      <c r="BK728" s="43"/>
      <c r="BL728" s="43"/>
      <c r="BM728" s="43"/>
      <c r="BN728" s="43"/>
      <c r="BO728" s="43"/>
      <c r="BP728" s="43"/>
      <c r="BQ728" s="43"/>
      <c r="BR728" s="43"/>
      <c r="BS728" s="43"/>
      <c r="BT728" s="43"/>
      <c r="BU728" s="43"/>
      <c r="BV728" s="43"/>
      <c r="BW728" s="43"/>
      <c r="BX728" s="43"/>
      <c r="BY728" s="43"/>
      <c r="B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c r="AE729" s="43"/>
      <c r="AF729" s="43"/>
      <c r="AG729" s="43"/>
      <c r="AH729" s="43"/>
      <c r="AI729" s="43"/>
      <c r="AJ729" s="43"/>
      <c r="AK729" s="43"/>
      <c r="AL729" s="43"/>
      <c r="AM729" s="43"/>
      <c r="AN729" s="43"/>
      <c r="AO729" s="43"/>
      <c r="AP729" s="43"/>
      <c r="AQ729" s="43"/>
      <c r="AR729" s="43"/>
      <c r="AS729" s="43"/>
      <c r="AT729" s="43"/>
      <c r="AU729" s="43"/>
      <c r="AV729" s="43"/>
      <c r="AW729" s="43"/>
      <c r="AX729" s="43"/>
      <c r="AY729" s="43"/>
      <c r="AZ729" s="43"/>
      <c r="BA729" s="43"/>
      <c r="BB729" s="43"/>
      <c r="BC729" s="43"/>
      <c r="BD729" s="43"/>
      <c r="BE729" s="43"/>
      <c r="BF729" s="43"/>
      <c r="BG729" s="43"/>
      <c r="BH729" s="43"/>
      <c r="BI729" s="43"/>
      <c r="BJ729" s="43"/>
      <c r="BK729" s="43"/>
      <c r="BL729" s="43"/>
      <c r="BM729" s="43"/>
      <c r="BN729" s="43"/>
      <c r="BO729" s="43"/>
      <c r="BP729" s="43"/>
      <c r="BQ729" s="43"/>
      <c r="BR729" s="43"/>
      <c r="BS729" s="43"/>
      <c r="BT729" s="43"/>
      <c r="BU729" s="43"/>
      <c r="BV729" s="43"/>
      <c r="BW729" s="43"/>
      <c r="BX729" s="43"/>
      <c r="BY729" s="43"/>
      <c r="B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c r="AE730" s="43"/>
      <c r="AF730" s="43"/>
      <c r="AG730" s="43"/>
      <c r="AH730" s="43"/>
      <c r="AI730" s="43"/>
      <c r="AJ730" s="43"/>
      <c r="AK730" s="43"/>
      <c r="AL730" s="43"/>
      <c r="AM730" s="43"/>
      <c r="AN730" s="43"/>
      <c r="AO730" s="43"/>
      <c r="AP730" s="43"/>
      <c r="AQ730" s="43"/>
      <c r="AR730" s="43"/>
      <c r="AS730" s="43"/>
      <c r="AT730" s="43"/>
      <c r="AU730" s="43"/>
      <c r="AV730" s="43"/>
      <c r="AW730" s="43"/>
      <c r="AX730" s="43"/>
      <c r="AY730" s="43"/>
      <c r="AZ730" s="43"/>
      <c r="BA730" s="43"/>
      <c r="BB730" s="43"/>
      <c r="BC730" s="43"/>
      <c r="BD730" s="43"/>
      <c r="BE730" s="43"/>
      <c r="BF730" s="43"/>
      <c r="BG730" s="43"/>
      <c r="BH730" s="43"/>
      <c r="BI730" s="43"/>
      <c r="BJ730" s="43"/>
      <c r="BK730" s="43"/>
      <c r="BL730" s="43"/>
      <c r="BM730" s="43"/>
      <c r="BN730" s="43"/>
      <c r="BO730" s="43"/>
      <c r="BP730" s="43"/>
      <c r="BQ730" s="43"/>
      <c r="BR730" s="43"/>
      <c r="BS730" s="43"/>
      <c r="BT730" s="43"/>
      <c r="BU730" s="43"/>
      <c r="BV730" s="43"/>
      <c r="BW730" s="43"/>
      <c r="BX730" s="43"/>
      <c r="BY730" s="43"/>
      <c r="B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c r="AE731" s="43"/>
      <c r="AF731" s="43"/>
      <c r="AG731" s="43"/>
      <c r="AH731" s="43"/>
      <c r="AI731" s="43"/>
      <c r="AJ731" s="43"/>
      <c r="AK731" s="43"/>
      <c r="AL731" s="43"/>
      <c r="AM731" s="43"/>
      <c r="AN731" s="43"/>
      <c r="AO731" s="43"/>
      <c r="AP731" s="43"/>
      <c r="AQ731" s="43"/>
      <c r="AR731" s="43"/>
      <c r="AS731" s="43"/>
      <c r="AT731" s="43"/>
      <c r="AU731" s="43"/>
      <c r="AV731" s="43"/>
      <c r="AW731" s="43"/>
      <c r="AX731" s="43"/>
      <c r="AY731" s="43"/>
      <c r="AZ731" s="43"/>
      <c r="BA731" s="43"/>
      <c r="BB731" s="43"/>
      <c r="BC731" s="43"/>
      <c r="BD731" s="43"/>
      <c r="BE731" s="43"/>
      <c r="BF731" s="43"/>
      <c r="BG731" s="43"/>
      <c r="BH731" s="43"/>
      <c r="BI731" s="43"/>
      <c r="BJ731" s="43"/>
      <c r="BK731" s="43"/>
      <c r="BL731" s="43"/>
      <c r="BM731" s="43"/>
      <c r="BN731" s="43"/>
      <c r="BO731" s="43"/>
      <c r="BP731" s="43"/>
      <c r="BQ731" s="43"/>
      <c r="BR731" s="43"/>
      <c r="BS731" s="43"/>
      <c r="BT731" s="43"/>
      <c r="BU731" s="43"/>
      <c r="BV731" s="43"/>
      <c r="BW731" s="43"/>
      <c r="BX731" s="43"/>
      <c r="BY731" s="43"/>
      <c r="B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c r="AE732" s="43"/>
      <c r="AF732" s="43"/>
      <c r="AG732" s="43"/>
      <c r="AH732" s="43"/>
      <c r="AI732" s="43"/>
      <c r="AJ732" s="43"/>
      <c r="AK732" s="43"/>
      <c r="AL732" s="43"/>
      <c r="AM732" s="43"/>
      <c r="AN732" s="43"/>
      <c r="AO732" s="43"/>
      <c r="AP732" s="43"/>
      <c r="AQ732" s="43"/>
      <c r="AR732" s="43"/>
      <c r="AS732" s="43"/>
      <c r="AT732" s="43"/>
      <c r="AU732" s="43"/>
      <c r="AV732" s="43"/>
      <c r="AW732" s="43"/>
      <c r="AX732" s="43"/>
      <c r="AY732" s="43"/>
      <c r="AZ732" s="43"/>
      <c r="BA732" s="43"/>
      <c r="BB732" s="43"/>
      <c r="BC732" s="43"/>
      <c r="BD732" s="43"/>
      <c r="BE732" s="43"/>
      <c r="BF732" s="43"/>
      <c r="BG732" s="43"/>
      <c r="BH732" s="43"/>
      <c r="BI732" s="43"/>
      <c r="BJ732" s="43"/>
      <c r="BK732" s="43"/>
      <c r="BL732" s="43"/>
      <c r="BM732" s="43"/>
      <c r="BN732" s="43"/>
      <c r="BO732" s="43"/>
      <c r="BP732" s="43"/>
      <c r="BQ732" s="43"/>
      <c r="BR732" s="43"/>
      <c r="BS732" s="43"/>
      <c r="BT732" s="43"/>
      <c r="BU732" s="43"/>
      <c r="BV732" s="43"/>
      <c r="BW732" s="43"/>
      <c r="BX732" s="43"/>
      <c r="BY732" s="43"/>
      <c r="B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c r="AE733" s="43"/>
      <c r="AF733" s="43"/>
      <c r="AG733" s="43"/>
      <c r="AH733" s="43"/>
      <c r="AI733" s="43"/>
      <c r="AJ733" s="43"/>
      <c r="AK733" s="43"/>
      <c r="AL733" s="43"/>
      <c r="AM733" s="43"/>
      <c r="AN733" s="43"/>
      <c r="AO733" s="43"/>
      <c r="AP733" s="43"/>
      <c r="AQ733" s="43"/>
      <c r="AR733" s="43"/>
      <c r="AS733" s="43"/>
      <c r="AT733" s="43"/>
      <c r="AU733" s="43"/>
      <c r="AV733" s="43"/>
      <c r="AW733" s="43"/>
      <c r="AX733" s="43"/>
      <c r="AY733" s="43"/>
      <c r="AZ733" s="43"/>
      <c r="BA733" s="43"/>
      <c r="BB733" s="43"/>
      <c r="BC733" s="43"/>
      <c r="BD733" s="43"/>
      <c r="BE733" s="43"/>
      <c r="BF733" s="43"/>
      <c r="BG733" s="43"/>
      <c r="BH733" s="43"/>
      <c r="BI733" s="43"/>
      <c r="BJ733" s="43"/>
      <c r="BK733" s="43"/>
      <c r="BL733" s="43"/>
      <c r="BM733" s="43"/>
      <c r="BN733" s="43"/>
      <c r="BO733" s="43"/>
      <c r="BP733" s="43"/>
      <c r="BQ733" s="43"/>
      <c r="BR733" s="43"/>
      <c r="BS733" s="43"/>
      <c r="BT733" s="43"/>
      <c r="BU733" s="43"/>
      <c r="BV733" s="43"/>
      <c r="BW733" s="43"/>
      <c r="BX733" s="43"/>
      <c r="BY733" s="43"/>
      <c r="B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c r="AE734" s="43"/>
      <c r="AF734" s="43"/>
      <c r="AG734" s="43"/>
      <c r="AH734" s="43"/>
      <c r="AI734" s="43"/>
      <c r="AJ734" s="43"/>
      <c r="AK734" s="43"/>
      <c r="AL734" s="43"/>
      <c r="AM734" s="43"/>
      <c r="AN734" s="43"/>
      <c r="AO734" s="43"/>
      <c r="AP734" s="43"/>
      <c r="AQ734" s="43"/>
      <c r="AR734" s="43"/>
      <c r="AS734" s="43"/>
      <c r="AT734" s="43"/>
      <c r="AU734" s="43"/>
      <c r="AV734" s="43"/>
      <c r="AW734" s="43"/>
      <c r="AX734" s="43"/>
      <c r="AY734" s="43"/>
      <c r="AZ734" s="43"/>
      <c r="BA734" s="43"/>
      <c r="BB734" s="43"/>
      <c r="BC734" s="43"/>
      <c r="BD734" s="43"/>
      <c r="BE734" s="43"/>
      <c r="BF734" s="43"/>
      <c r="BG734" s="43"/>
      <c r="BH734" s="43"/>
      <c r="BI734" s="43"/>
      <c r="BJ734" s="43"/>
      <c r="BK734" s="43"/>
      <c r="BL734" s="43"/>
      <c r="BM734" s="43"/>
      <c r="BN734" s="43"/>
      <c r="BO734" s="43"/>
      <c r="BP734" s="43"/>
      <c r="BQ734" s="43"/>
      <c r="BR734" s="43"/>
      <c r="BS734" s="43"/>
      <c r="BT734" s="43"/>
      <c r="BU734" s="43"/>
      <c r="BV734" s="43"/>
      <c r="BW734" s="43"/>
      <c r="BX734" s="43"/>
      <c r="BY734" s="43"/>
      <c r="B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c r="AE735" s="43"/>
      <c r="AF735" s="43"/>
      <c r="AG735" s="43"/>
      <c r="AH735" s="43"/>
      <c r="AI735" s="43"/>
      <c r="AJ735" s="43"/>
      <c r="AK735" s="43"/>
      <c r="AL735" s="43"/>
      <c r="AM735" s="43"/>
      <c r="AN735" s="43"/>
      <c r="AO735" s="43"/>
      <c r="AP735" s="43"/>
      <c r="AQ735" s="43"/>
      <c r="AR735" s="43"/>
      <c r="AS735" s="43"/>
      <c r="AT735" s="43"/>
      <c r="AU735" s="43"/>
      <c r="AV735" s="43"/>
      <c r="AW735" s="43"/>
      <c r="AX735" s="43"/>
      <c r="AY735" s="43"/>
      <c r="AZ735" s="43"/>
      <c r="BA735" s="43"/>
      <c r="BB735" s="43"/>
      <c r="BC735" s="43"/>
      <c r="BD735" s="43"/>
      <c r="BE735" s="43"/>
      <c r="BF735" s="43"/>
      <c r="BG735" s="43"/>
      <c r="BH735" s="43"/>
      <c r="BI735" s="43"/>
      <c r="BJ735" s="43"/>
      <c r="BK735" s="43"/>
      <c r="BL735" s="43"/>
      <c r="BM735" s="43"/>
      <c r="BN735" s="43"/>
      <c r="BO735" s="43"/>
      <c r="BP735" s="43"/>
      <c r="BQ735" s="43"/>
      <c r="BR735" s="43"/>
      <c r="BS735" s="43"/>
      <c r="BT735" s="43"/>
      <c r="BU735" s="43"/>
      <c r="BV735" s="43"/>
      <c r="BW735" s="43"/>
      <c r="BX735" s="43"/>
      <c r="BY735" s="43"/>
      <c r="B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c r="AE736" s="43"/>
      <c r="AF736" s="43"/>
      <c r="AG736" s="43"/>
      <c r="AH736" s="43"/>
      <c r="AI736" s="43"/>
      <c r="AJ736" s="43"/>
      <c r="AK736" s="43"/>
      <c r="AL736" s="43"/>
      <c r="AM736" s="43"/>
      <c r="AN736" s="43"/>
      <c r="AO736" s="43"/>
      <c r="AP736" s="43"/>
      <c r="AQ736" s="43"/>
      <c r="AR736" s="43"/>
      <c r="AS736" s="43"/>
      <c r="AT736" s="43"/>
      <c r="AU736" s="43"/>
      <c r="AV736" s="43"/>
      <c r="AW736" s="43"/>
      <c r="AX736" s="43"/>
      <c r="AY736" s="43"/>
      <c r="AZ736" s="43"/>
      <c r="BA736" s="43"/>
      <c r="BB736" s="43"/>
      <c r="BC736" s="43"/>
      <c r="BD736" s="43"/>
      <c r="BE736" s="43"/>
      <c r="BF736" s="43"/>
      <c r="BG736" s="43"/>
      <c r="BH736" s="43"/>
      <c r="BI736" s="43"/>
      <c r="BJ736" s="43"/>
      <c r="BK736" s="43"/>
      <c r="BL736" s="43"/>
      <c r="BM736" s="43"/>
      <c r="BN736" s="43"/>
      <c r="BO736" s="43"/>
      <c r="BP736" s="43"/>
      <c r="BQ736" s="43"/>
      <c r="BR736" s="43"/>
      <c r="BS736" s="43"/>
      <c r="BT736" s="43"/>
      <c r="BU736" s="43"/>
      <c r="BV736" s="43"/>
      <c r="BW736" s="43"/>
      <c r="BX736" s="43"/>
      <c r="BY736" s="43"/>
      <c r="B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J737" s="43"/>
      <c r="AK737" s="43"/>
      <c r="AL737" s="43"/>
      <c r="AM737" s="43"/>
      <c r="AN737" s="43"/>
      <c r="AO737" s="43"/>
      <c r="AP737" s="43"/>
      <c r="AQ737" s="43"/>
      <c r="AR737" s="43"/>
      <c r="AS737" s="43"/>
      <c r="AT737" s="43"/>
      <c r="AU737" s="43"/>
      <c r="AV737" s="43"/>
      <c r="AW737" s="43"/>
      <c r="AX737" s="43"/>
      <c r="AY737" s="43"/>
      <c r="AZ737" s="43"/>
      <c r="BA737" s="43"/>
      <c r="BB737" s="43"/>
      <c r="BC737" s="43"/>
      <c r="BD737" s="43"/>
      <c r="BE737" s="43"/>
      <c r="BF737" s="43"/>
      <c r="BG737" s="43"/>
      <c r="BH737" s="43"/>
      <c r="BI737" s="43"/>
      <c r="BJ737" s="43"/>
      <c r="BK737" s="43"/>
      <c r="BL737" s="43"/>
      <c r="BM737" s="43"/>
      <c r="BN737" s="43"/>
      <c r="BO737" s="43"/>
      <c r="BP737" s="43"/>
      <c r="BQ737" s="43"/>
      <c r="BR737" s="43"/>
      <c r="BS737" s="43"/>
      <c r="BT737" s="43"/>
      <c r="BU737" s="43"/>
      <c r="BV737" s="43"/>
      <c r="BW737" s="43"/>
      <c r="BX737" s="43"/>
      <c r="BY737" s="43"/>
      <c r="B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J738" s="43"/>
      <c r="AK738" s="43"/>
      <c r="AL738" s="43"/>
      <c r="AM738" s="43"/>
      <c r="AN738" s="43"/>
      <c r="AO738" s="43"/>
      <c r="AP738" s="43"/>
      <c r="AQ738" s="43"/>
      <c r="AR738" s="43"/>
      <c r="AS738" s="43"/>
      <c r="AT738" s="43"/>
      <c r="AU738" s="43"/>
      <c r="AV738" s="43"/>
      <c r="AW738" s="43"/>
      <c r="AX738" s="43"/>
      <c r="AY738" s="43"/>
      <c r="AZ738" s="43"/>
      <c r="BA738" s="43"/>
      <c r="BB738" s="43"/>
      <c r="BC738" s="43"/>
      <c r="BD738" s="43"/>
      <c r="BE738" s="43"/>
      <c r="BF738" s="43"/>
      <c r="BG738" s="43"/>
      <c r="BH738" s="43"/>
      <c r="BI738" s="43"/>
      <c r="BJ738" s="43"/>
      <c r="BK738" s="43"/>
      <c r="BL738" s="43"/>
      <c r="BM738" s="43"/>
      <c r="BN738" s="43"/>
      <c r="BO738" s="43"/>
      <c r="BP738" s="43"/>
      <c r="BQ738" s="43"/>
      <c r="BR738" s="43"/>
      <c r="BS738" s="43"/>
      <c r="BT738" s="43"/>
      <c r="BU738" s="43"/>
      <c r="BV738" s="43"/>
      <c r="BW738" s="43"/>
      <c r="BX738" s="43"/>
      <c r="BY738" s="43"/>
      <c r="B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c r="AN739" s="43"/>
      <c r="AO739" s="43"/>
      <c r="AP739" s="43"/>
      <c r="AQ739" s="43"/>
      <c r="AR739" s="43"/>
      <c r="AS739" s="43"/>
      <c r="AT739" s="43"/>
      <c r="AU739" s="43"/>
      <c r="AV739" s="43"/>
      <c r="AW739" s="43"/>
      <c r="AX739" s="43"/>
      <c r="AY739" s="43"/>
      <c r="AZ739" s="43"/>
      <c r="BA739" s="43"/>
      <c r="BB739" s="43"/>
      <c r="BC739" s="43"/>
      <c r="BD739" s="43"/>
      <c r="BE739" s="43"/>
      <c r="BF739" s="43"/>
      <c r="BG739" s="43"/>
      <c r="BH739" s="43"/>
      <c r="BI739" s="43"/>
      <c r="BJ739" s="43"/>
      <c r="BK739" s="43"/>
      <c r="BL739" s="43"/>
      <c r="BM739" s="43"/>
      <c r="BN739" s="43"/>
      <c r="BO739" s="43"/>
      <c r="BP739" s="43"/>
      <c r="BQ739" s="43"/>
      <c r="BR739" s="43"/>
      <c r="BS739" s="43"/>
      <c r="BT739" s="43"/>
      <c r="BU739" s="43"/>
      <c r="BV739" s="43"/>
      <c r="BW739" s="43"/>
      <c r="BX739" s="43"/>
      <c r="BY739" s="43"/>
      <c r="B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c r="AE740" s="43"/>
      <c r="AF740" s="43"/>
      <c r="AG740" s="43"/>
      <c r="AH740" s="43"/>
      <c r="AI740" s="43"/>
      <c r="AJ740" s="43"/>
      <c r="AK740" s="43"/>
      <c r="AL740" s="43"/>
      <c r="AM740" s="43"/>
      <c r="AN740" s="43"/>
      <c r="AO740" s="43"/>
      <c r="AP740" s="43"/>
      <c r="AQ740" s="43"/>
      <c r="AR740" s="43"/>
      <c r="AS740" s="43"/>
      <c r="AT740" s="43"/>
      <c r="AU740" s="43"/>
      <c r="AV740" s="43"/>
      <c r="AW740" s="43"/>
      <c r="AX740" s="43"/>
      <c r="AY740" s="43"/>
      <c r="AZ740" s="43"/>
      <c r="BA740" s="43"/>
      <c r="BB740" s="43"/>
      <c r="BC740" s="43"/>
      <c r="BD740" s="43"/>
      <c r="BE740" s="43"/>
      <c r="BF740" s="43"/>
      <c r="BG740" s="43"/>
      <c r="BH740" s="43"/>
      <c r="BI740" s="43"/>
      <c r="BJ740" s="43"/>
      <c r="BK740" s="43"/>
      <c r="BL740" s="43"/>
      <c r="BM740" s="43"/>
      <c r="BN740" s="43"/>
      <c r="BO740" s="43"/>
      <c r="BP740" s="43"/>
      <c r="BQ740" s="43"/>
      <c r="BR740" s="43"/>
      <c r="BS740" s="43"/>
      <c r="BT740" s="43"/>
      <c r="BU740" s="43"/>
      <c r="BV740" s="43"/>
      <c r="BW740" s="43"/>
      <c r="BX740" s="43"/>
      <c r="BY740" s="43"/>
      <c r="B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c r="AE741" s="43"/>
      <c r="AF741" s="43"/>
      <c r="AG741" s="43"/>
      <c r="AH741" s="43"/>
      <c r="AI741" s="43"/>
      <c r="AJ741" s="43"/>
      <c r="AK741" s="43"/>
      <c r="AL741" s="43"/>
      <c r="AM741" s="43"/>
      <c r="AN741" s="43"/>
      <c r="AO741" s="43"/>
      <c r="AP741" s="43"/>
      <c r="AQ741" s="43"/>
      <c r="AR741" s="43"/>
      <c r="AS741" s="43"/>
      <c r="AT741" s="43"/>
      <c r="AU741" s="43"/>
      <c r="AV741" s="43"/>
      <c r="AW741" s="43"/>
      <c r="AX741" s="43"/>
      <c r="AY741" s="43"/>
      <c r="AZ741" s="43"/>
      <c r="BA741" s="43"/>
      <c r="BB741" s="43"/>
      <c r="BC741" s="43"/>
      <c r="BD741" s="43"/>
      <c r="BE741" s="43"/>
      <c r="BF741" s="43"/>
      <c r="BG741" s="43"/>
      <c r="BH741" s="43"/>
      <c r="BI741" s="43"/>
      <c r="BJ741" s="43"/>
      <c r="BK741" s="43"/>
      <c r="BL741" s="43"/>
      <c r="BM741" s="43"/>
      <c r="BN741" s="43"/>
      <c r="BO741" s="43"/>
      <c r="BP741" s="43"/>
      <c r="BQ741" s="43"/>
      <c r="BR741" s="43"/>
      <c r="BS741" s="43"/>
      <c r="BT741" s="43"/>
      <c r="BU741" s="43"/>
      <c r="BV741" s="43"/>
      <c r="BW741" s="43"/>
      <c r="BX741" s="43"/>
      <c r="BY741" s="43"/>
      <c r="B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c r="AE742" s="43"/>
      <c r="AF742" s="43"/>
      <c r="AG742" s="43"/>
      <c r="AH742" s="43"/>
      <c r="AI742" s="43"/>
      <c r="AJ742" s="43"/>
      <c r="AK742" s="43"/>
      <c r="AL742" s="43"/>
      <c r="AM742" s="43"/>
      <c r="AN742" s="43"/>
      <c r="AO742" s="43"/>
      <c r="AP742" s="43"/>
      <c r="AQ742" s="43"/>
      <c r="AR742" s="43"/>
      <c r="AS742" s="43"/>
      <c r="AT742" s="43"/>
      <c r="AU742" s="43"/>
      <c r="AV742" s="43"/>
      <c r="AW742" s="43"/>
      <c r="AX742" s="43"/>
      <c r="AY742" s="43"/>
      <c r="AZ742" s="43"/>
      <c r="BA742" s="43"/>
      <c r="BB742" s="43"/>
      <c r="BC742" s="43"/>
      <c r="BD742" s="43"/>
      <c r="BE742" s="43"/>
      <c r="BF742" s="43"/>
      <c r="BG742" s="43"/>
      <c r="BH742" s="43"/>
      <c r="BI742" s="43"/>
      <c r="BJ742" s="43"/>
      <c r="BK742" s="43"/>
      <c r="BL742" s="43"/>
      <c r="BM742" s="43"/>
      <c r="BN742" s="43"/>
      <c r="BO742" s="43"/>
      <c r="BP742" s="43"/>
      <c r="BQ742" s="43"/>
      <c r="BR742" s="43"/>
      <c r="BS742" s="43"/>
      <c r="BT742" s="43"/>
      <c r="BU742" s="43"/>
      <c r="BV742" s="43"/>
      <c r="BW742" s="43"/>
      <c r="BX742" s="43"/>
      <c r="BY742" s="43"/>
      <c r="B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c r="AE743" s="43"/>
      <c r="AF743" s="43"/>
      <c r="AG743" s="43"/>
      <c r="AH743" s="43"/>
      <c r="AI743" s="43"/>
      <c r="AJ743" s="43"/>
      <c r="AK743" s="43"/>
      <c r="AL743" s="43"/>
      <c r="AM743" s="43"/>
      <c r="AN743" s="43"/>
      <c r="AO743" s="43"/>
      <c r="AP743" s="43"/>
      <c r="AQ743" s="43"/>
      <c r="AR743" s="43"/>
      <c r="AS743" s="43"/>
      <c r="AT743" s="43"/>
      <c r="AU743" s="43"/>
      <c r="AV743" s="43"/>
      <c r="AW743" s="43"/>
      <c r="AX743" s="43"/>
      <c r="AY743" s="43"/>
      <c r="AZ743" s="43"/>
      <c r="BA743" s="43"/>
      <c r="BB743" s="43"/>
      <c r="BC743" s="43"/>
      <c r="BD743" s="43"/>
      <c r="BE743" s="43"/>
      <c r="BF743" s="43"/>
      <c r="BG743" s="43"/>
      <c r="BH743" s="43"/>
      <c r="BI743" s="43"/>
      <c r="BJ743" s="43"/>
      <c r="BK743" s="43"/>
      <c r="BL743" s="43"/>
      <c r="BM743" s="43"/>
      <c r="BN743" s="43"/>
      <c r="BO743" s="43"/>
      <c r="BP743" s="43"/>
      <c r="BQ743" s="43"/>
      <c r="BR743" s="43"/>
      <c r="BS743" s="43"/>
      <c r="BT743" s="43"/>
      <c r="BU743" s="43"/>
      <c r="BV743" s="43"/>
      <c r="BW743" s="43"/>
      <c r="BX743" s="43"/>
      <c r="BY743" s="43"/>
      <c r="B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c r="AE744" s="43"/>
      <c r="AF744" s="43"/>
      <c r="AG744" s="43"/>
      <c r="AH744" s="43"/>
      <c r="AI744" s="43"/>
      <c r="AJ744" s="43"/>
      <c r="AK744" s="43"/>
      <c r="AL744" s="43"/>
      <c r="AM744" s="43"/>
      <c r="AN744" s="43"/>
      <c r="AO744" s="43"/>
      <c r="AP744" s="43"/>
      <c r="AQ744" s="43"/>
      <c r="AR744" s="43"/>
      <c r="AS744" s="43"/>
      <c r="AT744" s="43"/>
      <c r="AU744" s="43"/>
      <c r="AV744" s="43"/>
      <c r="AW744" s="43"/>
      <c r="AX744" s="43"/>
      <c r="AY744" s="43"/>
      <c r="AZ744" s="43"/>
      <c r="BA744" s="43"/>
      <c r="BB744" s="43"/>
      <c r="BC744" s="43"/>
      <c r="BD744" s="43"/>
      <c r="BE744" s="43"/>
      <c r="BF744" s="43"/>
      <c r="BG744" s="43"/>
      <c r="BH744" s="43"/>
      <c r="BI744" s="43"/>
      <c r="BJ744" s="43"/>
      <c r="BK744" s="43"/>
      <c r="BL744" s="43"/>
      <c r="BM744" s="43"/>
      <c r="BN744" s="43"/>
      <c r="BO744" s="43"/>
      <c r="BP744" s="43"/>
      <c r="BQ744" s="43"/>
      <c r="BR744" s="43"/>
      <c r="BS744" s="43"/>
      <c r="BT744" s="43"/>
      <c r="BU744" s="43"/>
      <c r="BV744" s="43"/>
      <c r="BW744" s="43"/>
      <c r="BX744" s="43"/>
      <c r="BY744" s="43"/>
      <c r="B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c r="AE745" s="43"/>
      <c r="AF745" s="43"/>
      <c r="AG745" s="43"/>
      <c r="AH745" s="43"/>
      <c r="AI745" s="43"/>
      <c r="AJ745" s="43"/>
      <c r="AK745" s="43"/>
      <c r="AL745" s="43"/>
      <c r="AM745" s="43"/>
      <c r="AN745" s="43"/>
      <c r="AO745" s="43"/>
      <c r="AP745" s="43"/>
      <c r="AQ745" s="43"/>
      <c r="AR745" s="43"/>
      <c r="AS745" s="43"/>
      <c r="AT745" s="43"/>
      <c r="AU745" s="43"/>
      <c r="AV745" s="43"/>
      <c r="AW745" s="43"/>
      <c r="AX745" s="43"/>
      <c r="AY745" s="43"/>
      <c r="AZ745" s="43"/>
      <c r="BA745" s="43"/>
      <c r="BB745" s="43"/>
      <c r="BC745" s="43"/>
      <c r="BD745" s="43"/>
      <c r="BE745" s="43"/>
      <c r="BF745" s="43"/>
      <c r="BG745" s="43"/>
      <c r="BH745" s="43"/>
      <c r="BI745" s="43"/>
      <c r="BJ745" s="43"/>
      <c r="BK745" s="43"/>
      <c r="BL745" s="43"/>
      <c r="BM745" s="43"/>
      <c r="BN745" s="43"/>
      <c r="BO745" s="43"/>
      <c r="BP745" s="43"/>
      <c r="BQ745" s="43"/>
      <c r="BR745" s="43"/>
      <c r="BS745" s="43"/>
      <c r="BT745" s="43"/>
      <c r="BU745" s="43"/>
      <c r="BV745" s="43"/>
      <c r="BW745" s="43"/>
      <c r="BX745" s="43"/>
      <c r="BY745" s="43"/>
      <c r="B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c r="AE746" s="43"/>
      <c r="AF746" s="43"/>
      <c r="AG746" s="43"/>
      <c r="AH746" s="43"/>
      <c r="AI746" s="43"/>
      <c r="AJ746" s="43"/>
      <c r="AK746" s="43"/>
      <c r="AL746" s="43"/>
      <c r="AM746" s="43"/>
      <c r="AN746" s="43"/>
      <c r="AO746" s="43"/>
      <c r="AP746" s="43"/>
      <c r="AQ746" s="43"/>
      <c r="AR746" s="43"/>
      <c r="AS746" s="43"/>
      <c r="AT746" s="43"/>
      <c r="AU746" s="43"/>
      <c r="AV746" s="43"/>
      <c r="AW746" s="43"/>
      <c r="AX746" s="43"/>
      <c r="AY746" s="43"/>
      <c r="AZ746" s="43"/>
      <c r="BA746" s="43"/>
      <c r="BB746" s="43"/>
      <c r="BC746" s="43"/>
      <c r="BD746" s="43"/>
      <c r="BE746" s="43"/>
      <c r="BF746" s="43"/>
      <c r="BG746" s="43"/>
      <c r="BH746" s="43"/>
      <c r="BI746" s="43"/>
      <c r="BJ746" s="43"/>
      <c r="BK746" s="43"/>
      <c r="BL746" s="43"/>
      <c r="BM746" s="43"/>
      <c r="BN746" s="43"/>
      <c r="BO746" s="43"/>
      <c r="BP746" s="43"/>
      <c r="BQ746" s="43"/>
      <c r="BR746" s="43"/>
      <c r="BS746" s="43"/>
      <c r="BT746" s="43"/>
      <c r="BU746" s="43"/>
      <c r="BV746" s="43"/>
      <c r="BW746" s="43"/>
      <c r="BX746" s="43"/>
      <c r="BY746" s="43"/>
      <c r="B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c r="AE747" s="43"/>
      <c r="AF747" s="43"/>
      <c r="AG747" s="43"/>
      <c r="AH747" s="43"/>
      <c r="AI747" s="43"/>
      <c r="AJ747" s="43"/>
      <c r="AK747" s="43"/>
      <c r="AL747" s="43"/>
      <c r="AM747" s="43"/>
      <c r="AN747" s="43"/>
      <c r="AO747" s="43"/>
      <c r="AP747" s="43"/>
      <c r="AQ747" s="43"/>
      <c r="AR747" s="43"/>
      <c r="AS747" s="43"/>
      <c r="AT747" s="43"/>
      <c r="AU747" s="43"/>
      <c r="AV747" s="43"/>
      <c r="AW747" s="43"/>
      <c r="AX747" s="43"/>
      <c r="AY747" s="43"/>
      <c r="AZ747" s="43"/>
      <c r="BA747" s="43"/>
      <c r="BB747" s="43"/>
      <c r="BC747" s="43"/>
      <c r="BD747" s="43"/>
      <c r="BE747" s="43"/>
      <c r="BF747" s="43"/>
      <c r="BG747" s="43"/>
      <c r="BH747" s="43"/>
      <c r="BI747" s="43"/>
      <c r="BJ747" s="43"/>
      <c r="BK747" s="43"/>
      <c r="BL747" s="43"/>
      <c r="BM747" s="43"/>
      <c r="BN747" s="43"/>
      <c r="BO747" s="43"/>
      <c r="BP747" s="43"/>
      <c r="BQ747" s="43"/>
      <c r="BR747" s="43"/>
      <c r="BS747" s="43"/>
      <c r="BT747" s="43"/>
      <c r="BU747" s="43"/>
      <c r="BV747" s="43"/>
      <c r="BW747" s="43"/>
      <c r="BX747" s="43"/>
      <c r="BY747" s="43"/>
      <c r="B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c r="AE748" s="43"/>
      <c r="AF748" s="43"/>
      <c r="AG748" s="43"/>
      <c r="AH748" s="43"/>
      <c r="AI748" s="43"/>
      <c r="AJ748" s="43"/>
      <c r="AK748" s="43"/>
      <c r="AL748" s="43"/>
      <c r="AM748" s="43"/>
      <c r="AN748" s="43"/>
      <c r="AO748" s="43"/>
      <c r="AP748" s="43"/>
      <c r="AQ748" s="43"/>
      <c r="AR748" s="43"/>
      <c r="AS748" s="43"/>
      <c r="AT748" s="43"/>
      <c r="AU748" s="43"/>
      <c r="AV748" s="43"/>
      <c r="AW748" s="43"/>
      <c r="AX748" s="43"/>
      <c r="AY748" s="43"/>
      <c r="AZ748" s="43"/>
      <c r="BA748" s="43"/>
      <c r="BB748" s="43"/>
      <c r="BC748" s="43"/>
      <c r="BD748" s="43"/>
      <c r="BE748" s="43"/>
      <c r="BF748" s="43"/>
      <c r="BG748" s="43"/>
      <c r="BH748" s="43"/>
      <c r="BI748" s="43"/>
      <c r="BJ748" s="43"/>
      <c r="BK748" s="43"/>
      <c r="BL748" s="43"/>
      <c r="BM748" s="43"/>
      <c r="BN748" s="43"/>
      <c r="BO748" s="43"/>
      <c r="BP748" s="43"/>
      <c r="BQ748" s="43"/>
      <c r="BR748" s="43"/>
      <c r="BS748" s="43"/>
      <c r="BT748" s="43"/>
      <c r="BU748" s="43"/>
      <c r="BV748" s="43"/>
      <c r="BW748" s="43"/>
      <c r="BX748" s="43"/>
      <c r="BY748" s="43"/>
      <c r="B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c r="AE749" s="43"/>
      <c r="AF749" s="43"/>
      <c r="AG749" s="43"/>
      <c r="AH749" s="43"/>
      <c r="AI749" s="43"/>
      <c r="AJ749" s="43"/>
      <c r="AK749" s="43"/>
      <c r="AL749" s="43"/>
      <c r="AM749" s="43"/>
      <c r="AN749" s="43"/>
      <c r="AO749" s="43"/>
      <c r="AP749" s="43"/>
      <c r="AQ749" s="43"/>
      <c r="AR749" s="43"/>
      <c r="AS749" s="43"/>
      <c r="AT749" s="43"/>
      <c r="AU749" s="43"/>
      <c r="AV749" s="43"/>
      <c r="AW749" s="43"/>
      <c r="AX749" s="43"/>
      <c r="AY749" s="43"/>
      <c r="AZ749" s="43"/>
      <c r="BA749" s="43"/>
      <c r="BB749" s="43"/>
      <c r="BC749" s="43"/>
      <c r="BD749" s="43"/>
      <c r="BE749" s="43"/>
      <c r="BF749" s="43"/>
      <c r="BG749" s="43"/>
      <c r="BH749" s="43"/>
      <c r="BI749" s="43"/>
      <c r="BJ749" s="43"/>
      <c r="BK749" s="43"/>
      <c r="BL749" s="43"/>
      <c r="BM749" s="43"/>
      <c r="BN749" s="43"/>
      <c r="BO749" s="43"/>
      <c r="BP749" s="43"/>
      <c r="BQ749" s="43"/>
      <c r="BR749" s="43"/>
      <c r="BS749" s="43"/>
      <c r="BT749" s="43"/>
      <c r="BU749" s="43"/>
      <c r="BV749" s="43"/>
      <c r="BW749" s="43"/>
      <c r="BX749" s="43"/>
      <c r="BY749" s="43"/>
      <c r="B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c r="AE750" s="43"/>
      <c r="AF750" s="43"/>
      <c r="AG750" s="43"/>
      <c r="AH750" s="43"/>
      <c r="AI750" s="43"/>
      <c r="AJ750" s="43"/>
      <c r="AK750" s="43"/>
      <c r="AL750" s="43"/>
      <c r="AM750" s="43"/>
      <c r="AN750" s="43"/>
      <c r="AO750" s="43"/>
      <c r="AP750" s="43"/>
      <c r="AQ750" s="43"/>
      <c r="AR750" s="43"/>
      <c r="AS750" s="43"/>
      <c r="AT750" s="43"/>
      <c r="AU750" s="43"/>
      <c r="AV750" s="43"/>
      <c r="AW750" s="43"/>
      <c r="AX750" s="43"/>
      <c r="AY750" s="43"/>
      <c r="AZ750" s="43"/>
      <c r="BA750" s="43"/>
      <c r="BB750" s="43"/>
      <c r="BC750" s="43"/>
      <c r="BD750" s="43"/>
      <c r="BE750" s="43"/>
      <c r="BF750" s="43"/>
      <c r="BG750" s="43"/>
      <c r="BH750" s="43"/>
      <c r="BI750" s="43"/>
      <c r="BJ750" s="43"/>
      <c r="BK750" s="43"/>
      <c r="BL750" s="43"/>
      <c r="BM750" s="43"/>
      <c r="BN750" s="43"/>
      <c r="BO750" s="43"/>
      <c r="BP750" s="43"/>
      <c r="BQ750" s="43"/>
      <c r="BR750" s="43"/>
      <c r="BS750" s="43"/>
      <c r="BT750" s="43"/>
      <c r="BU750" s="43"/>
      <c r="BV750" s="43"/>
      <c r="BW750" s="43"/>
      <c r="BX750" s="43"/>
      <c r="BY750" s="43"/>
      <c r="B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c r="AE751" s="43"/>
      <c r="AF751" s="43"/>
      <c r="AG751" s="43"/>
      <c r="AH751" s="43"/>
      <c r="AI751" s="43"/>
      <c r="AJ751" s="43"/>
      <c r="AK751" s="43"/>
      <c r="AL751" s="43"/>
      <c r="AM751" s="43"/>
      <c r="AN751" s="43"/>
      <c r="AO751" s="43"/>
      <c r="AP751" s="43"/>
      <c r="AQ751" s="43"/>
      <c r="AR751" s="43"/>
      <c r="AS751" s="43"/>
      <c r="AT751" s="43"/>
      <c r="AU751" s="43"/>
      <c r="AV751" s="43"/>
      <c r="AW751" s="43"/>
      <c r="AX751" s="43"/>
      <c r="AY751" s="43"/>
      <c r="AZ751" s="43"/>
      <c r="BA751" s="43"/>
      <c r="BB751" s="43"/>
      <c r="BC751" s="43"/>
      <c r="BD751" s="43"/>
      <c r="BE751" s="43"/>
      <c r="BF751" s="43"/>
      <c r="BG751" s="43"/>
      <c r="BH751" s="43"/>
      <c r="BI751" s="43"/>
      <c r="BJ751" s="43"/>
      <c r="BK751" s="43"/>
      <c r="BL751" s="43"/>
      <c r="BM751" s="43"/>
      <c r="BN751" s="43"/>
      <c r="BO751" s="43"/>
      <c r="BP751" s="43"/>
      <c r="BQ751" s="43"/>
      <c r="BR751" s="43"/>
      <c r="BS751" s="43"/>
      <c r="BT751" s="43"/>
      <c r="BU751" s="43"/>
      <c r="BV751" s="43"/>
      <c r="BW751" s="43"/>
      <c r="BX751" s="43"/>
      <c r="BY751" s="43"/>
      <c r="B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c r="AE752" s="43"/>
      <c r="AF752" s="43"/>
      <c r="AG752" s="43"/>
      <c r="AH752" s="43"/>
      <c r="AI752" s="43"/>
      <c r="AJ752" s="43"/>
      <c r="AK752" s="43"/>
      <c r="AL752" s="43"/>
      <c r="AM752" s="43"/>
      <c r="AN752" s="43"/>
      <c r="AO752" s="43"/>
      <c r="AP752" s="43"/>
      <c r="AQ752" s="43"/>
      <c r="AR752" s="43"/>
      <c r="AS752" s="43"/>
      <c r="AT752" s="43"/>
      <c r="AU752" s="43"/>
      <c r="AV752" s="43"/>
      <c r="AW752" s="43"/>
      <c r="AX752" s="43"/>
      <c r="AY752" s="43"/>
      <c r="AZ752" s="43"/>
      <c r="BA752" s="43"/>
      <c r="BB752" s="43"/>
      <c r="BC752" s="43"/>
      <c r="BD752" s="43"/>
      <c r="BE752" s="43"/>
      <c r="BF752" s="43"/>
      <c r="BG752" s="43"/>
      <c r="BH752" s="43"/>
      <c r="BI752" s="43"/>
      <c r="BJ752" s="43"/>
      <c r="BK752" s="43"/>
      <c r="BL752" s="43"/>
      <c r="BM752" s="43"/>
      <c r="BN752" s="43"/>
      <c r="BO752" s="43"/>
      <c r="BP752" s="43"/>
      <c r="BQ752" s="43"/>
      <c r="BR752" s="43"/>
      <c r="BS752" s="43"/>
      <c r="BT752" s="43"/>
      <c r="BU752" s="43"/>
      <c r="BV752" s="43"/>
      <c r="BW752" s="43"/>
      <c r="BX752" s="43"/>
      <c r="BY752" s="43"/>
      <c r="B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c r="AE753" s="43"/>
      <c r="AF753" s="43"/>
      <c r="AG753" s="43"/>
      <c r="AH753" s="43"/>
      <c r="AI753" s="43"/>
      <c r="AJ753" s="43"/>
      <c r="AK753" s="43"/>
      <c r="AL753" s="43"/>
      <c r="AM753" s="43"/>
      <c r="AN753" s="43"/>
      <c r="AO753" s="43"/>
      <c r="AP753" s="43"/>
      <c r="AQ753" s="43"/>
      <c r="AR753" s="43"/>
      <c r="AS753" s="43"/>
      <c r="AT753" s="43"/>
      <c r="AU753" s="43"/>
      <c r="AV753" s="43"/>
      <c r="AW753" s="43"/>
      <c r="AX753" s="43"/>
      <c r="AY753" s="43"/>
      <c r="AZ753" s="43"/>
      <c r="BA753" s="43"/>
      <c r="BB753" s="43"/>
      <c r="BC753" s="43"/>
      <c r="BD753" s="43"/>
      <c r="BE753" s="43"/>
      <c r="BF753" s="43"/>
      <c r="BG753" s="43"/>
      <c r="BH753" s="43"/>
      <c r="BI753" s="43"/>
      <c r="BJ753" s="43"/>
      <c r="BK753" s="43"/>
      <c r="BL753" s="43"/>
      <c r="BM753" s="43"/>
      <c r="BN753" s="43"/>
      <c r="BO753" s="43"/>
      <c r="BP753" s="43"/>
      <c r="BQ753" s="43"/>
      <c r="BR753" s="43"/>
      <c r="BS753" s="43"/>
      <c r="BT753" s="43"/>
      <c r="BU753" s="43"/>
      <c r="BV753" s="43"/>
      <c r="BW753" s="43"/>
      <c r="BX753" s="43"/>
      <c r="BY753" s="43"/>
      <c r="B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c r="AE754" s="43"/>
      <c r="AF754" s="43"/>
      <c r="AG754" s="43"/>
      <c r="AH754" s="43"/>
      <c r="AI754" s="43"/>
      <c r="AJ754" s="43"/>
      <c r="AK754" s="43"/>
      <c r="AL754" s="43"/>
      <c r="AM754" s="43"/>
      <c r="AN754" s="43"/>
      <c r="AO754" s="43"/>
      <c r="AP754" s="43"/>
      <c r="AQ754" s="43"/>
      <c r="AR754" s="43"/>
      <c r="AS754" s="43"/>
      <c r="AT754" s="43"/>
      <c r="AU754" s="43"/>
      <c r="AV754" s="43"/>
      <c r="AW754" s="43"/>
      <c r="AX754" s="43"/>
      <c r="AY754" s="43"/>
      <c r="AZ754" s="43"/>
      <c r="BA754" s="43"/>
      <c r="BB754" s="43"/>
      <c r="BC754" s="43"/>
      <c r="BD754" s="43"/>
      <c r="BE754" s="43"/>
      <c r="BF754" s="43"/>
      <c r="BG754" s="43"/>
      <c r="BH754" s="43"/>
      <c r="BI754" s="43"/>
      <c r="BJ754" s="43"/>
      <c r="BK754" s="43"/>
      <c r="BL754" s="43"/>
      <c r="BM754" s="43"/>
      <c r="BN754" s="43"/>
      <c r="BO754" s="43"/>
      <c r="BP754" s="43"/>
      <c r="BQ754" s="43"/>
      <c r="BR754" s="43"/>
      <c r="BS754" s="43"/>
      <c r="BT754" s="43"/>
      <c r="BU754" s="43"/>
      <c r="BV754" s="43"/>
      <c r="BW754" s="43"/>
      <c r="BX754" s="43"/>
      <c r="BY754" s="43"/>
      <c r="B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c r="AE755" s="43"/>
      <c r="AF755" s="43"/>
      <c r="AG755" s="43"/>
      <c r="AH755" s="43"/>
      <c r="AI755" s="43"/>
      <c r="AJ755" s="43"/>
      <c r="AK755" s="43"/>
      <c r="AL755" s="43"/>
      <c r="AM755" s="43"/>
      <c r="AN755" s="43"/>
      <c r="AO755" s="43"/>
      <c r="AP755" s="43"/>
      <c r="AQ755" s="43"/>
      <c r="AR755" s="43"/>
      <c r="AS755" s="43"/>
      <c r="AT755" s="43"/>
      <c r="AU755" s="43"/>
      <c r="AV755" s="43"/>
      <c r="AW755" s="43"/>
      <c r="AX755" s="43"/>
      <c r="AY755" s="43"/>
      <c r="AZ755" s="43"/>
      <c r="BA755" s="43"/>
      <c r="BB755" s="43"/>
      <c r="BC755" s="43"/>
      <c r="BD755" s="43"/>
      <c r="BE755" s="43"/>
      <c r="BF755" s="43"/>
      <c r="BG755" s="43"/>
      <c r="BH755" s="43"/>
      <c r="BI755" s="43"/>
      <c r="BJ755" s="43"/>
      <c r="BK755" s="43"/>
      <c r="BL755" s="43"/>
      <c r="BM755" s="43"/>
      <c r="BN755" s="43"/>
      <c r="BO755" s="43"/>
      <c r="BP755" s="43"/>
      <c r="BQ755" s="43"/>
      <c r="BR755" s="43"/>
      <c r="BS755" s="43"/>
      <c r="BT755" s="43"/>
      <c r="BU755" s="43"/>
      <c r="BV755" s="43"/>
      <c r="BW755" s="43"/>
      <c r="BX755" s="43"/>
      <c r="BY755" s="43"/>
      <c r="B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c r="AE756" s="43"/>
      <c r="AF756" s="43"/>
      <c r="AG756" s="43"/>
      <c r="AH756" s="43"/>
      <c r="AI756" s="43"/>
      <c r="AJ756" s="43"/>
      <c r="AK756" s="43"/>
      <c r="AL756" s="43"/>
      <c r="AM756" s="43"/>
      <c r="AN756" s="43"/>
      <c r="AO756" s="43"/>
      <c r="AP756" s="43"/>
      <c r="AQ756" s="43"/>
      <c r="AR756" s="43"/>
      <c r="AS756" s="43"/>
      <c r="AT756" s="43"/>
      <c r="AU756" s="43"/>
      <c r="AV756" s="43"/>
      <c r="AW756" s="43"/>
      <c r="AX756" s="43"/>
      <c r="AY756" s="43"/>
      <c r="AZ756" s="43"/>
      <c r="BA756" s="43"/>
      <c r="BB756" s="43"/>
      <c r="BC756" s="43"/>
      <c r="BD756" s="43"/>
      <c r="BE756" s="43"/>
      <c r="BF756" s="43"/>
      <c r="BG756" s="43"/>
      <c r="BH756" s="43"/>
      <c r="BI756" s="43"/>
      <c r="BJ756" s="43"/>
      <c r="BK756" s="43"/>
      <c r="BL756" s="43"/>
      <c r="BM756" s="43"/>
      <c r="BN756" s="43"/>
      <c r="BO756" s="43"/>
      <c r="BP756" s="43"/>
      <c r="BQ756" s="43"/>
      <c r="BR756" s="43"/>
      <c r="BS756" s="43"/>
      <c r="BT756" s="43"/>
      <c r="BU756" s="43"/>
      <c r="BV756" s="43"/>
      <c r="BW756" s="43"/>
      <c r="BX756" s="43"/>
      <c r="BY756" s="43"/>
      <c r="B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c r="AE757" s="43"/>
      <c r="AF757" s="43"/>
      <c r="AG757" s="43"/>
      <c r="AH757" s="43"/>
      <c r="AI757" s="43"/>
      <c r="AJ757" s="43"/>
      <c r="AK757" s="43"/>
      <c r="AL757" s="43"/>
      <c r="AM757" s="43"/>
      <c r="AN757" s="43"/>
      <c r="AO757" s="43"/>
      <c r="AP757" s="43"/>
      <c r="AQ757" s="43"/>
      <c r="AR757" s="43"/>
      <c r="AS757" s="43"/>
      <c r="AT757" s="43"/>
      <c r="AU757" s="43"/>
      <c r="AV757" s="43"/>
      <c r="AW757" s="43"/>
      <c r="AX757" s="43"/>
      <c r="AY757" s="43"/>
      <c r="AZ757" s="43"/>
      <c r="BA757" s="43"/>
      <c r="BB757" s="43"/>
      <c r="BC757" s="43"/>
      <c r="BD757" s="43"/>
      <c r="BE757" s="43"/>
      <c r="BF757" s="43"/>
      <c r="BG757" s="43"/>
      <c r="BH757" s="43"/>
      <c r="BI757" s="43"/>
      <c r="BJ757" s="43"/>
      <c r="BK757" s="43"/>
      <c r="BL757" s="43"/>
      <c r="BM757" s="43"/>
      <c r="BN757" s="43"/>
      <c r="BO757" s="43"/>
      <c r="BP757" s="43"/>
      <c r="BQ757" s="43"/>
      <c r="BR757" s="43"/>
      <c r="BS757" s="43"/>
      <c r="BT757" s="43"/>
      <c r="BU757" s="43"/>
      <c r="BV757" s="43"/>
      <c r="BW757" s="43"/>
      <c r="BX757" s="43"/>
      <c r="BY757" s="43"/>
      <c r="B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c r="AE758" s="43"/>
      <c r="AF758" s="43"/>
      <c r="AG758" s="43"/>
      <c r="AH758" s="43"/>
      <c r="AI758" s="43"/>
      <c r="AJ758" s="43"/>
      <c r="AK758" s="43"/>
      <c r="AL758" s="43"/>
      <c r="AM758" s="43"/>
      <c r="AN758" s="43"/>
      <c r="AO758" s="43"/>
      <c r="AP758" s="43"/>
      <c r="AQ758" s="43"/>
      <c r="AR758" s="43"/>
      <c r="AS758" s="43"/>
      <c r="AT758" s="43"/>
      <c r="AU758" s="43"/>
      <c r="AV758" s="43"/>
      <c r="AW758" s="43"/>
      <c r="AX758" s="43"/>
      <c r="AY758" s="43"/>
      <c r="AZ758" s="43"/>
      <c r="BA758" s="43"/>
      <c r="BB758" s="43"/>
      <c r="BC758" s="43"/>
      <c r="BD758" s="43"/>
      <c r="BE758" s="43"/>
      <c r="BF758" s="43"/>
      <c r="BG758" s="43"/>
      <c r="BH758" s="43"/>
      <c r="BI758" s="43"/>
      <c r="BJ758" s="43"/>
      <c r="BK758" s="43"/>
      <c r="BL758" s="43"/>
      <c r="BM758" s="43"/>
      <c r="BN758" s="43"/>
      <c r="BO758" s="43"/>
      <c r="BP758" s="43"/>
      <c r="BQ758" s="43"/>
      <c r="BR758" s="43"/>
      <c r="BS758" s="43"/>
      <c r="BT758" s="43"/>
      <c r="BU758" s="43"/>
      <c r="BV758" s="43"/>
      <c r="BW758" s="43"/>
      <c r="BX758" s="43"/>
      <c r="BY758" s="43"/>
      <c r="B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c r="AE759" s="43"/>
      <c r="AF759" s="43"/>
      <c r="AG759" s="43"/>
      <c r="AH759" s="43"/>
      <c r="AI759" s="43"/>
      <c r="AJ759" s="43"/>
      <c r="AK759" s="43"/>
      <c r="AL759" s="43"/>
      <c r="AM759" s="43"/>
      <c r="AN759" s="43"/>
      <c r="AO759" s="43"/>
      <c r="AP759" s="43"/>
      <c r="AQ759" s="43"/>
      <c r="AR759" s="43"/>
      <c r="AS759" s="43"/>
      <c r="AT759" s="43"/>
      <c r="AU759" s="43"/>
      <c r="AV759" s="43"/>
      <c r="AW759" s="43"/>
      <c r="AX759" s="43"/>
      <c r="AY759" s="43"/>
      <c r="AZ759" s="43"/>
      <c r="BA759" s="43"/>
      <c r="BB759" s="43"/>
      <c r="BC759" s="43"/>
      <c r="BD759" s="43"/>
      <c r="BE759" s="43"/>
      <c r="BF759" s="43"/>
      <c r="BG759" s="43"/>
      <c r="BH759" s="43"/>
      <c r="BI759" s="43"/>
      <c r="BJ759" s="43"/>
      <c r="BK759" s="43"/>
      <c r="BL759" s="43"/>
      <c r="BM759" s="43"/>
      <c r="BN759" s="43"/>
      <c r="BO759" s="43"/>
      <c r="BP759" s="43"/>
      <c r="BQ759" s="43"/>
      <c r="BR759" s="43"/>
      <c r="BS759" s="43"/>
      <c r="BT759" s="43"/>
      <c r="BU759" s="43"/>
      <c r="BV759" s="43"/>
      <c r="BW759" s="43"/>
      <c r="BX759" s="43"/>
      <c r="BY759" s="43"/>
      <c r="B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J760" s="43"/>
      <c r="AK760" s="43"/>
      <c r="AL760" s="43"/>
      <c r="AM760" s="43"/>
      <c r="AN760" s="43"/>
      <c r="AO760" s="43"/>
      <c r="AP760" s="43"/>
      <c r="AQ760" s="43"/>
      <c r="AR760" s="43"/>
      <c r="AS760" s="43"/>
      <c r="AT760" s="43"/>
      <c r="AU760" s="43"/>
      <c r="AV760" s="43"/>
      <c r="AW760" s="43"/>
      <c r="AX760" s="43"/>
      <c r="AY760" s="43"/>
      <c r="AZ760" s="43"/>
      <c r="BA760" s="43"/>
      <c r="BB760" s="43"/>
      <c r="BC760" s="43"/>
      <c r="BD760" s="43"/>
      <c r="BE760" s="43"/>
      <c r="BF760" s="43"/>
      <c r="BG760" s="43"/>
      <c r="BH760" s="43"/>
      <c r="BI760" s="43"/>
      <c r="BJ760" s="43"/>
      <c r="BK760" s="43"/>
      <c r="BL760" s="43"/>
      <c r="BM760" s="43"/>
      <c r="BN760" s="43"/>
      <c r="BO760" s="43"/>
      <c r="BP760" s="43"/>
      <c r="BQ760" s="43"/>
      <c r="BR760" s="43"/>
      <c r="BS760" s="43"/>
      <c r="BT760" s="43"/>
      <c r="BU760" s="43"/>
      <c r="BV760" s="43"/>
      <c r="BW760" s="43"/>
      <c r="BX760" s="43"/>
      <c r="BY760" s="43"/>
      <c r="B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J761" s="43"/>
      <c r="AK761" s="43"/>
      <c r="AL761" s="43"/>
      <c r="AM761" s="43"/>
      <c r="AN761" s="43"/>
      <c r="AO761" s="43"/>
      <c r="AP761" s="43"/>
      <c r="AQ761" s="43"/>
      <c r="AR761" s="43"/>
      <c r="AS761" s="43"/>
      <c r="AT761" s="43"/>
      <c r="AU761" s="43"/>
      <c r="AV761" s="43"/>
      <c r="AW761" s="43"/>
      <c r="AX761" s="43"/>
      <c r="AY761" s="43"/>
      <c r="AZ761" s="43"/>
      <c r="BA761" s="43"/>
      <c r="BB761" s="43"/>
      <c r="BC761" s="43"/>
      <c r="BD761" s="43"/>
      <c r="BE761" s="43"/>
      <c r="BF761" s="43"/>
      <c r="BG761" s="43"/>
      <c r="BH761" s="43"/>
      <c r="BI761" s="43"/>
      <c r="BJ761" s="43"/>
      <c r="BK761" s="43"/>
      <c r="BL761" s="43"/>
      <c r="BM761" s="43"/>
      <c r="BN761" s="43"/>
      <c r="BO761" s="43"/>
      <c r="BP761" s="43"/>
      <c r="BQ761" s="43"/>
      <c r="BR761" s="43"/>
      <c r="BS761" s="43"/>
      <c r="BT761" s="43"/>
      <c r="BU761" s="43"/>
      <c r="BV761" s="43"/>
      <c r="BW761" s="43"/>
      <c r="BX761" s="43"/>
      <c r="BY761" s="43"/>
      <c r="B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J762" s="43"/>
      <c r="AK762" s="43"/>
      <c r="AL762" s="43"/>
      <c r="AM762" s="43"/>
      <c r="AN762" s="43"/>
      <c r="AO762" s="43"/>
      <c r="AP762" s="43"/>
      <c r="AQ762" s="43"/>
      <c r="AR762" s="43"/>
      <c r="AS762" s="43"/>
      <c r="AT762" s="43"/>
      <c r="AU762" s="43"/>
      <c r="AV762" s="43"/>
      <c r="AW762" s="43"/>
      <c r="AX762" s="43"/>
      <c r="AY762" s="43"/>
      <c r="AZ762" s="43"/>
      <c r="BA762" s="43"/>
      <c r="BB762" s="43"/>
      <c r="BC762" s="43"/>
      <c r="BD762" s="43"/>
      <c r="BE762" s="43"/>
      <c r="BF762" s="43"/>
      <c r="BG762" s="43"/>
      <c r="BH762" s="43"/>
      <c r="BI762" s="43"/>
      <c r="BJ762" s="43"/>
      <c r="BK762" s="43"/>
      <c r="BL762" s="43"/>
      <c r="BM762" s="43"/>
      <c r="BN762" s="43"/>
      <c r="BO762" s="43"/>
      <c r="BP762" s="43"/>
      <c r="BQ762" s="43"/>
      <c r="BR762" s="43"/>
      <c r="BS762" s="43"/>
      <c r="BT762" s="43"/>
      <c r="BU762" s="43"/>
      <c r="BV762" s="43"/>
      <c r="BW762" s="43"/>
      <c r="BX762" s="43"/>
      <c r="BY762" s="43"/>
      <c r="B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c r="AE763" s="43"/>
      <c r="AF763" s="43"/>
      <c r="AG763" s="43"/>
      <c r="AH763" s="43"/>
      <c r="AI763" s="43"/>
      <c r="AJ763" s="43"/>
      <c r="AK763" s="43"/>
      <c r="AL763" s="43"/>
      <c r="AM763" s="43"/>
      <c r="AN763" s="43"/>
      <c r="AO763" s="43"/>
      <c r="AP763" s="43"/>
      <c r="AQ763" s="43"/>
      <c r="AR763" s="43"/>
      <c r="AS763" s="43"/>
      <c r="AT763" s="43"/>
      <c r="AU763" s="43"/>
      <c r="AV763" s="43"/>
      <c r="AW763" s="43"/>
      <c r="AX763" s="43"/>
      <c r="AY763" s="43"/>
      <c r="AZ763" s="43"/>
      <c r="BA763" s="43"/>
      <c r="BB763" s="43"/>
      <c r="BC763" s="43"/>
      <c r="BD763" s="43"/>
      <c r="BE763" s="43"/>
      <c r="BF763" s="43"/>
      <c r="BG763" s="43"/>
      <c r="BH763" s="43"/>
      <c r="BI763" s="43"/>
      <c r="BJ763" s="43"/>
      <c r="BK763" s="43"/>
      <c r="BL763" s="43"/>
      <c r="BM763" s="43"/>
      <c r="BN763" s="43"/>
      <c r="BO763" s="43"/>
      <c r="BP763" s="43"/>
      <c r="BQ763" s="43"/>
      <c r="BR763" s="43"/>
      <c r="BS763" s="43"/>
      <c r="BT763" s="43"/>
      <c r="BU763" s="43"/>
      <c r="BV763" s="43"/>
      <c r="BW763" s="43"/>
      <c r="BX763" s="43"/>
      <c r="BY763" s="43"/>
      <c r="B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c r="AE764" s="43"/>
      <c r="AF764" s="43"/>
      <c r="AG764" s="43"/>
      <c r="AH764" s="43"/>
      <c r="AI764" s="43"/>
      <c r="AJ764" s="43"/>
      <c r="AK764" s="43"/>
      <c r="AL764" s="43"/>
      <c r="AM764" s="43"/>
      <c r="AN764" s="43"/>
      <c r="AO764" s="43"/>
      <c r="AP764" s="43"/>
      <c r="AQ764" s="43"/>
      <c r="AR764" s="43"/>
      <c r="AS764" s="43"/>
      <c r="AT764" s="43"/>
      <c r="AU764" s="43"/>
      <c r="AV764" s="43"/>
      <c r="AW764" s="43"/>
      <c r="AX764" s="43"/>
      <c r="AY764" s="43"/>
      <c r="AZ764" s="43"/>
      <c r="BA764" s="43"/>
      <c r="BB764" s="43"/>
      <c r="BC764" s="43"/>
      <c r="BD764" s="43"/>
      <c r="BE764" s="43"/>
      <c r="BF764" s="43"/>
      <c r="BG764" s="43"/>
      <c r="BH764" s="43"/>
      <c r="BI764" s="43"/>
      <c r="BJ764" s="43"/>
      <c r="BK764" s="43"/>
      <c r="BL764" s="43"/>
      <c r="BM764" s="43"/>
      <c r="BN764" s="43"/>
      <c r="BO764" s="43"/>
      <c r="BP764" s="43"/>
      <c r="BQ764" s="43"/>
      <c r="BR764" s="43"/>
      <c r="BS764" s="43"/>
      <c r="BT764" s="43"/>
      <c r="BU764" s="43"/>
      <c r="BV764" s="43"/>
      <c r="BW764" s="43"/>
      <c r="BX764" s="43"/>
      <c r="BY764" s="43"/>
      <c r="B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c r="AE765" s="43"/>
      <c r="AF765" s="43"/>
      <c r="AG765" s="43"/>
      <c r="AH765" s="43"/>
      <c r="AI765" s="43"/>
      <c r="AJ765" s="43"/>
      <c r="AK765" s="43"/>
      <c r="AL765" s="43"/>
      <c r="AM765" s="43"/>
      <c r="AN765" s="43"/>
      <c r="AO765" s="43"/>
      <c r="AP765" s="43"/>
      <c r="AQ765" s="43"/>
      <c r="AR765" s="43"/>
      <c r="AS765" s="43"/>
      <c r="AT765" s="43"/>
      <c r="AU765" s="43"/>
      <c r="AV765" s="43"/>
      <c r="AW765" s="43"/>
      <c r="AX765" s="43"/>
      <c r="AY765" s="43"/>
      <c r="AZ765" s="43"/>
      <c r="BA765" s="43"/>
      <c r="BB765" s="43"/>
      <c r="BC765" s="43"/>
      <c r="BD765" s="43"/>
      <c r="BE765" s="43"/>
      <c r="BF765" s="43"/>
      <c r="BG765" s="43"/>
      <c r="BH765" s="43"/>
      <c r="BI765" s="43"/>
      <c r="BJ765" s="43"/>
      <c r="BK765" s="43"/>
      <c r="BL765" s="43"/>
      <c r="BM765" s="43"/>
      <c r="BN765" s="43"/>
      <c r="BO765" s="43"/>
      <c r="BP765" s="43"/>
      <c r="BQ765" s="43"/>
      <c r="BR765" s="43"/>
      <c r="BS765" s="43"/>
      <c r="BT765" s="43"/>
      <c r="BU765" s="43"/>
      <c r="BV765" s="43"/>
      <c r="BW765" s="43"/>
      <c r="BX765" s="43"/>
      <c r="BY765" s="43"/>
      <c r="B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c r="AE766" s="43"/>
      <c r="AF766" s="43"/>
      <c r="AG766" s="43"/>
      <c r="AH766" s="43"/>
      <c r="AI766" s="43"/>
      <c r="AJ766" s="43"/>
      <c r="AK766" s="43"/>
      <c r="AL766" s="43"/>
      <c r="AM766" s="43"/>
      <c r="AN766" s="43"/>
      <c r="AO766" s="43"/>
      <c r="AP766" s="43"/>
      <c r="AQ766" s="43"/>
      <c r="AR766" s="43"/>
      <c r="AS766" s="43"/>
      <c r="AT766" s="43"/>
      <c r="AU766" s="43"/>
      <c r="AV766" s="43"/>
      <c r="AW766" s="43"/>
      <c r="AX766" s="43"/>
      <c r="AY766" s="43"/>
      <c r="AZ766" s="43"/>
      <c r="BA766" s="43"/>
      <c r="BB766" s="43"/>
      <c r="BC766" s="43"/>
      <c r="BD766" s="43"/>
      <c r="BE766" s="43"/>
      <c r="BF766" s="43"/>
      <c r="BG766" s="43"/>
      <c r="BH766" s="43"/>
      <c r="BI766" s="43"/>
      <c r="BJ766" s="43"/>
      <c r="BK766" s="43"/>
      <c r="BL766" s="43"/>
      <c r="BM766" s="43"/>
      <c r="BN766" s="43"/>
      <c r="BO766" s="43"/>
      <c r="BP766" s="43"/>
      <c r="BQ766" s="43"/>
      <c r="BR766" s="43"/>
      <c r="BS766" s="43"/>
      <c r="BT766" s="43"/>
      <c r="BU766" s="43"/>
      <c r="BV766" s="43"/>
      <c r="BW766" s="43"/>
      <c r="BX766" s="43"/>
      <c r="BY766" s="43"/>
      <c r="B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c r="AE767" s="43"/>
      <c r="AF767" s="43"/>
      <c r="AG767" s="43"/>
      <c r="AH767" s="43"/>
      <c r="AI767" s="43"/>
      <c r="AJ767" s="43"/>
      <c r="AK767" s="43"/>
      <c r="AL767" s="43"/>
      <c r="AM767" s="43"/>
      <c r="AN767" s="43"/>
      <c r="AO767" s="43"/>
      <c r="AP767" s="43"/>
      <c r="AQ767" s="43"/>
      <c r="AR767" s="43"/>
      <c r="AS767" s="43"/>
      <c r="AT767" s="43"/>
      <c r="AU767" s="43"/>
      <c r="AV767" s="43"/>
      <c r="AW767" s="43"/>
      <c r="AX767" s="43"/>
      <c r="AY767" s="43"/>
      <c r="AZ767" s="43"/>
      <c r="BA767" s="43"/>
      <c r="BB767" s="43"/>
      <c r="BC767" s="43"/>
      <c r="BD767" s="43"/>
      <c r="BE767" s="43"/>
      <c r="BF767" s="43"/>
      <c r="BG767" s="43"/>
      <c r="BH767" s="43"/>
      <c r="BI767" s="43"/>
      <c r="BJ767" s="43"/>
      <c r="BK767" s="43"/>
      <c r="BL767" s="43"/>
      <c r="BM767" s="43"/>
      <c r="BN767" s="43"/>
      <c r="BO767" s="43"/>
      <c r="BP767" s="43"/>
      <c r="BQ767" s="43"/>
      <c r="BR767" s="43"/>
      <c r="BS767" s="43"/>
      <c r="BT767" s="43"/>
      <c r="BU767" s="43"/>
      <c r="BV767" s="43"/>
      <c r="BW767" s="43"/>
      <c r="BX767" s="43"/>
      <c r="BY767" s="43"/>
      <c r="B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c r="AE768" s="43"/>
      <c r="AF768" s="43"/>
      <c r="AG768" s="43"/>
      <c r="AH768" s="43"/>
      <c r="AI768" s="43"/>
      <c r="AJ768" s="43"/>
      <c r="AK768" s="43"/>
      <c r="AL768" s="43"/>
      <c r="AM768" s="43"/>
      <c r="AN768" s="43"/>
      <c r="AO768" s="43"/>
      <c r="AP768" s="43"/>
      <c r="AQ768" s="43"/>
      <c r="AR768" s="43"/>
      <c r="AS768" s="43"/>
      <c r="AT768" s="43"/>
      <c r="AU768" s="43"/>
      <c r="AV768" s="43"/>
      <c r="AW768" s="43"/>
      <c r="AX768" s="43"/>
      <c r="AY768" s="43"/>
      <c r="AZ768" s="43"/>
      <c r="BA768" s="43"/>
      <c r="BB768" s="43"/>
      <c r="BC768" s="43"/>
      <c r="BD768" s="43"/>
      <c r="BE768" s="43"/>
      <c r="BF768" s="43"/>
      <c r="BG768" s="43"/>
      <c r="BH768" s="43"/>
      <c r="BI768" s="43"/>
      <c r="BJ768" s="43"/>
      <c r="BK768" s="43"/>
      <c r="BL768" s="43"/>
      <c r="BM768" s="43"/>
      <c r="BN768" s="43"/>
      <c r="BO768" s="43"/>
      <c r="BP768" s="43"/>
      <c r="BQ768" s="43"/>
      <c r="BR768" s="43"/>
      <c r="BS768" s="43"/>
      <c r="BT768" s="43"/>
      <c r="BU768" s="43"/>
      <c r="BV768" s="43"/>
      <c r="BW768" s="43"/>
      <c r="BX768" s="43"/>
      <c r="BY768" s="43"/>
      <c r="B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c r="AE769" s="43"/>
      <c r="AF769" s="43"/>
      <c r="AG769" s="43"/>
      <c r="AH769" s="43"/>
      <c r="AI769" s="43"/>
      <c r="AJ769" s="43"/>
      <c r="AK769" s="43"/>
      <c r="AL769" s="43"/>
      <c r="AM769" s="43"/>
      <c r="AN769" s="43"/>
      <c r="AO769" s="43"/>
      <c r="AP769" s="43"/>
      <c r="AQ769" s="43"/>
      <c r="AR769" s="43"/>
      <c r="AS769" s="43"/>
      <c r="AT769" s="43"/>
      <c r="AU769" s="43"/>
      <c r="AV769" s="43"/>
      <c r="AW769" s="43"/>
      <c r="AX769" s="43"/>
      <c r="AY769" s="43"/>
      <c r="AZ769" s="43"/>
      <c r="BA769" s="43"/>
      <c r="BB769" s="43"/>
      <c r="BC769" s="43"/>
      <c r="BD769" s="43"/>
      <c r="BE769" s="43"/>
      <c r="BF769" s="43"/>
      <c r="BG769" s="43"/>
      <c r="BH769" s="43"/>
      <c r="BI769" s="43"/>
      <c r="BJ769" s="43"/>
      <c r="BK769" s="43"/>
      <c r="BL769" s="43"/>
      <c r="BM769" s="43"/>
      <c r="BN769" s="43"/>
      <c r="BO769" s="43"/>
      <c r="BP769" s="43"/>
      <c r="BQ769" s="43"/>
      <c r="BR769" s="43"/>
      <c r="BS769" s="43"/>
      <c r="BT769" s="43"/>
      <c r="BU769" s="43"/>
      <c r="BV769" s="43"/>
      <c r="BW769" s="43"/>
      <c r="BX769" s="43"/>
      <c r="BY769" s="43"/>
      <c r="B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c r="AE770" s="43"/>
      <c r="AF770" s="43"/>
      <c r="AG770" s="43"/>
      <c r="AH770" s="43"/>
      <c r="AI770" s="43"/>
      <c r="AJ770" s="43"/>
      <c r="AK770" s="43"/>
      <c r="AL770" s="43"/>
      <c r="AM770" s="43"/>
      <c r="AN770" s="43"/>
      <c r="AO770" s="43"/>
      <c r="AP770" s="43"/>
      <c r="AQ770" s="43"/>
      <c r="AR770" s="43"/>
      <c r="AS770" s="43"/>
      <c r="AT770" s="43"/>
      <c r="AU770" s="43"/>
      <c r="AV770" s="43"/>
      <c r="AW770" s="43"/>
      <c r="AX770" s="43"/>
      <c r="AY770" s="43"/>
      <c r="AZ770" s="43"/>
      <c r="BA770" s="43"/>
      <c r="BB770" s="43"/>
      <c r="BC770" s="43"/>
      <c r="BD770" s="43"/>
      <c r="BE770" s="43"/>
      <c r="BF770" s="43"/>
      <c r="BG770" s="43"/>
      <c r="BH770" s="43"/>
      <c r="BI770" s="43"/>
      <c r="BJ770" s="43"/>
      <c r="BK770" s="43"/>
      <c r="BL770" s="43"/>
      <c r="BM770" s="43"/>
      <c r="BN770" s="43"/>
      <c r="BO770" s="43"/>
      <c r="BP770" s="43"/>
      <c r="BQ770" s="43"/>
      <c r="BR770" s="43"/>
      <c r="BS770" s="43"/>
      <c r="BT770" s="43"/>
      <c r="BU770" s="43"/>
      <c r="BV770" s="43"/>
      <c r="BW770" s="43"/>
      <c r="BX770" s="43"/>
      <c r="BY770" s="43"/>
      <c r="B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c r="AE771" s="43"/>
      <c r="AF771" s="43"/>
      <c r="AG771" s="43"/>
      <c r="AH771" s="43"/>
      <c r="AI771" s="43"/>
      <c r="AJ771" s="43"/>
      <c r="AK771" s="43"/>
      <c r="AL771" s="43"/>
      <c r="AM771" s="43"/>
      <c r="AN771" s="43"/>
      <c r="AO771" s="43"/>
      <c r="AP771" s="43"/>
      <c r="AQ771" s="43"/>
      <c r="AR771" s="43"/>
      <c r="AS771" s="43"/>
      <c r="AT771" s="43"/>
      <c r="AU771" s="43"/>
      <c r="AV771" s="43"/>
      <c r="AW771" s="43"/>
      <c r="AX771" s="43"/>
      <c r="AY771" s="43"/>
      <c r="AZ771" s="43"/>
      <c r="BA771" s="43"/>
      <c r="BB771" s="43"/>
      <c r="BC771" s="43"/>
      <c r="BD771" s="43"/>
      <c r="BE771" s="43"/>
      <c r="BF771" s="43"/>
      <c r="BG771" s="43"/>
      <c r="BH771" s="43"/>
      <c r="BI771" s="43"/>
      <c r="BJ771" s="43"/>
      <c r="BK771" s="43"/>
      <c r="BL771" s="43"/>
      <c r="BM771" s="43"/>
      <c r="BN771" s="43"/>
      <c r="BO771" s="43"/>
      <c r="BP771" s="43"/>
      <c r="BQ771" s="43"/>
      <c r="BR771" s="43"/>
      <c r="BS771" s="43"/>
      <c r="BT771" s="43"/>
      <c r="BU771" s="43"/>
      <c r="BV771" s="43"/>
      <c r="BW771" s="43"/>
      <c r="BX771" s="43"/>
      <c r="BY771" s="43"/>
      <c r="B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c r="AE772" s="43"/>
      <c r="AF772" s="43"/>
      <c r="AG772" s="43"/>
      <c r="AH772" s="43"/>
      <c r="AI772" s="43"/>
      <c r="AJ772" s="43"/>
      <c r="AK772" s="43"/>
      <c r="AL772" s="43"/>
      <c r="AM772" s="43"/>
      <c r="AN772" s="43"/>
      <c r="AO772" s="43"/>
      <c r="AP772" s="43"/>
      <c r="AQ772" s="43"/>
      <c r="AR772" s="43"/>
      <c r="AS772" s="43"/>
      <c r="AT772" s="43"/>
      <c r="AU772" s="43"/>
      <c r="AV772" s="43"/>
      <c r="AW772" s="43"/>
      <c r="AX772" s="43"/>
      <c r="AY772" s="43"/>
      <c r="AZ772" s="43"/>
      <c r="BA772" s="43"/>
      <c r="BB772" s="43"/>
      <c r="BC772" s="43"/>
      <c r="BD772" s="43"/>
      <c r="BE772" s="43"/>
      <c r="BF772" s="43"/>
      <c r="BG772" s="43"/>
      <c r="BH772" s="43"/>
      <c r="BI772" s="43"/>
      <c r="BJ772" s="43"/>
      <c r="BK772" s="43"/>
      <c r="BL772" s="43"/>
      <c r="BM772" s="43"/>
      <c r="BN772" s="43"/>
      <c r="BO772" s="43"/>
      <c r="BP772" s="43"/>
      <c r="BQ772" s="43"/>
      <c r="BR772" s="43"/>
      <c r="BS772" s="43"/>
      <c r="BT772" s="43"/>
      <c r="BU772" s="43"/>
      <c r="BV772" s="43"/>
      <c r="BW772" s="43"/>
      <c r="BX772" s="43"/>
      <c r="BY772" s="43"/>
      <c r="B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c r="AE773" s="43"/>
      <c r="AF773" s="43"/>
      <c r="AG773" s="43"/>
      <c r="AH773" s="43"/>
      <c r="AI773" s="43"/>
      <c r="AJ773" s="43"/>
      <c r="AK773" s="43"/>
      <c r="AL773" s="43"/>
      <c r="AM773" s="43"/>
      <c r="AN773" s="43"/>
      <c r="AO773" s="43"/>
      <c r="AP773" s="43"/>
      <c r="AQ773" s="43"/>
      <c r="AR773" s="43"/>
      <c r="AS773" s="43"/>
      <c r="AT773" s="43"/>
      <c r="AU773" s="43"/>
      <c r="AV773" s="43"/>
      <c r="AW773" s="43"/>
      <c r="AX773" s="43"/>
      <c r="AY773" s="43"/>
      <c r="AZ773" s="43"/>
      <c r="BA773" s="43"/>
      <c r="BB773" s="43"/>
      <c r="BC773" s="43"/>
      <c r="BD773" s="43"/>
      <c r="BE773" s="43"/>
      <c r="BF773" s="43"/>
      <c r="BG773" s="43"/>
      <c r="BH773" s="43"/>
      <c r="BI773" s="43"/>
      <c r="BJ773" s="43"/>
      <c r="BK773" s="43"/>
      <c r="BL773" s="43"/>
      <c r="BM773" s="43"/>
      <c r="BN773" s="43"/>
      <c r="BO773" s="43"/>
      <c r="BP773" s="43"/>
      <c r="BQ773" s="43"/>
      <c r="BR773" s="43"/>
      <c r="BS773" s="43"/>
      <c r="BT773" s="43"/>
      <c r="BU773" s="43"/>
      <c r="BV773" s="43"/>
      <c r="BW773" s="43"/>
      <c r="BX773" s="43"/>
      <c r="BY773" s="43"/>
      <c r="B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c r="AE774" s="43"/>
      <c r="AF774" s="43"/>
      <c r="AG774" s="43"/>
      <c r="AH774" s="43"/>
      <c r="AI774" s="43"/>
      <c r="AJ774" s="43"/>
      <c r="AK774" s="43"/>
      <c r="AL774" s="43"/>
      <c r="AM774" s="43"/>
      <c r="AN774" s="43"/>
      <c r="AO774" s="43"/>
      <c r="AP774" s="43"/>
      <c r="AQ774" s="43"/>
      <c r="AR774" s="43"/>
      <c r="AS774" s="43"/>
      <c r="AT774" s="43"/>
      <c r="AU774" s="43"/>
      <c r="AV774" s="43"/>
      <c r="AW774" s="43"/>
      <c r="AX774" s="43"/>
      <c r="AY774" s="43"/>
      <c r="AZ774" s="43"/>
      <c r="BA774" s="43"/>
      <c r="BB774" s="43"/>
      <c r="BC774" s="43"/>
      <c r="BD774" s="43"/>
      <c r="BE774" s="43"/>
      <c r="BF774" s="43"/>
      <c r="BG774" s="43"/>
      <c r="BH774" s="43"/>
      <c r="BI774" s="43"/>
      <c r="BJ774" s="43"/>
      <c r="BK774" s="43"/>
      <c r="BL774" s="43"/>
      <c r="BM774" s="43"/>
      <c r="BN774" s="43"/>
      <c r="BO774" s="43"/>
      <c r="BP774" s="43"/>
      <c r="BQ774" s="43"/>
      <c r="BR774" s="43"/>
      <c r="BS774" s="43"/>
      <c r="BT774" s="43"/>
      <c r="BU774" s="43"/>
      <c r="BV774" s="43"/>
      <c r="BW774" s="43"/>
      <c r="BX774" s="43"/>
      <c r="BY774" s="43"/>
      <c r="B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c r="AE775" s="43"/>
      <c r="AF775" s="43"/>
      <c r="AG775" s="43"/>
      <c r="AH775" s="43"/>
      <c r="AI775" s="43"/>
      <c r="AJ775" s="43"/>
      <c r="AK775" s="43"/>
      <c r="AL775" s="43"/>
      <c r="AM775" s="43"/>
      <c r="AN775" s="43"/>
      <c r="AO775" s="43"/>
      <c r="AP775" s="43"/>
      <c r="AQ775" s="43"/>
      <c r="AR775" s="43"/>
      <c r="AS775" s="43"/>
      <c r="AT775" s="43"/>
      <c r="AU775" s="43"/>
      <c r="AV775" s="43"/>
      <c r="AW775" s="43"/>
      <c r="AX775" s="43"/>
      <c r="AY775" s="43"/>
      <c r="AZ775" s="43"/>
      <c r="BA775" s="43"/>
      <c r="BB775" s="43"/>
      <c r="BC775" s="43"/>
      <c r="BD775" s="43"/>
      <c r="BE775" s="43"/>
      <c r="BF775" s="43"/>
      <c r="BG775" s="43"/>
      <c r="BH775" s="43"/>
      <c r="BI775" s="43"/>
      <c r="BJ775" s="43"/>
      <c r="BK775" s="43"/>
      <c r="BL775" s="43"/>
      <c r="BM775" s="43"/>
      <c r="BN775" s="43"/>
      <c r="BO775" s="43"/>
      <c r="BP775" s="43"/>
      <c r="BQ775" s="43"/>
      <c r="BR775" s="43"/>
      <c r="BS775" s="43"/>
      <c r="BT775" s="43"/>
      <c r="BU775" s="43"/>
      <c r="BV775" s="43"/>
      <c r="BW775" s="43"/>
      <c r="BX775" s="43"/>
      <c r="BY775" s="43"/>
      <c r="B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c r="AE776" s="43"/>
      <c r="AF776" s="43"/>
      <c r="AG776" s="43"/>
      <c r="AH776" s="43"/>
      <c r="AI776" s="43"/>
      <c r="AJ776" s="43"/>
      <c r="AK776" s="43"/>
      <c r="AL776" s="43"/>
      <c r="AM776" s="43"/>
      <c r="AN776" s="43"/>
      <c r="AO776" s="43"/>
      <c r="AP776" s="43"/>
      <c r="AQ776" s="43"/>
      <c r="AR776" s="43"/>
      <c r="AS776" s="43"/>
      <c r="AT776" s="43"/>
      <c r="AU776" s="43"/>
      <c r="AV776" s="43"/>
      <c r="AW776" s="43"/>
      <c r="AX776" s="43"/>
      <c r="AY776" s="43"/>
      <c r="AZ776" s="43"/>
      <c r="BA776" s="43"/>
      <c r="BB776" s="43"/>
      <c r="BC776" s="43"/>
      <c r="BD776" s="43"/>
      <c r="BE776" s="43"/>
      <c r="BF776" s="43"/>
      <c r="BG776" s="43"/>
      <c r="BH776" s="43"/>
      <c r="BI776" s="43"/>
      <c r="BJ776" s="43"/>
      <c r="BK776" s="43"/>
      <c r="BL776" s="43"/>
      <c r="BM776" s="43"/>
      <c r="BN776" s="43"/>
      <c r="BO776" s="43"/>
      <c r="BP776" s="43"/>
      <c r="BQ776" s="43"/>
      <c r="BR776" s="43"/>
      <c r="BS776" s="43"/>
      <c r="BT776" s="43"/>
      <c r="BU776" s="43"/>
      <c r="BV776" s="43"/>
      <c r="BW776" s="43"/>
      <c r="BX776" s="43"/>
      <c r="BY776" s="43"/>
      <c r="B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c r="AE777" s="43"/>
      <c r="AF777" s="43"/>
      <c r="AG777" s="43"/>
      <c r="AH777" s="43"/>
      <c r="AI777" s="43"/>
      <c r="AJ777" s="43"/>
      <c r="AK777" s="43"/>
      <c r="AL777" s="43"/>
      <c r="AM777" s="43"/>
      <c r="AN777" s="43"/>
      <c r="AO777" s="43"/>
      <c r="AP777" s="43"/>
      <c r="AQ777" s="43"/>
      <c r="AR777" s="43"/>
      <c r="AS777" s="43"/>
      <c r="AT777" s="43"/>
      <c r="AU777" s="43"/>
      <c r="AV777" s="43"/>
      <c r="AW777" s="43"/>
      <c r="AX777" s="43"/>
      <c r="AY777" s="43"/>
      <c r="AZ777" s="43"/>
      <c r="BA777" s="43"/>
      <c r="BB777" s="43"/>
      <c r="BC777" s="43"/>
      <c r="BD777" s="43"/>
      <c r="BE777" s="43"/>
      <c r="BF777" s="43"/>
      <c r="BG777" s="43"/>
      <c r="BH777" s="43"/>
      <c r="BI777" s="43"/>
      <c r="BJ777" s="43"/>
      <c r="BK777" s="43"/>
      <c r="BL777" s="43"/>
      <c r="BM777" s="43"/>
      <c r="BN777" s="43"/>
      <c r="BO777" s="43"/>
      <c r="BP777" s="43"/>
      <c r="BQ777" s="43"/>
      <c r="BR777" s="43"/>
      <c r="BS777" s="43"/>
      <c r="BT777" s="43"/>
      <c r="BU777" s="43"/>
      <c r="BV777" s="43"/>
      <c r="BW777" s="43"/>
      <c r="BX777" s="43"/>
      <c r="BY777" s="43"/>
      <c r="B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c r="AE778" s="43"/>
      <c r="AF778" s="43"/>
      <c r="AG778" s="43"/>
      <c r="AH778" s="43"/>
      <c r="AI778" s="43"/>
      <c r="AJ778" s="43"/>
      <c r="AK778" s="43"/>
      <c r="AL778" s="43"/>
      <c r="AM778" s="43"/>
      <c r="AN778" s="43"/>
      <c r="AO778" s="43"/>
      <c r="AP778" s="43"/>
      <c r="AQ778" s="43"/>
      <c r="AR778" s="43"/>
      <c r="AS778" s="43"/>
      <c r="AT778" s="43"/>
      <c r="AU778" s="43"/>
      <c r="AV778" s="43"/>
      <c r="AW778" s="43"/>
      <c r="AX778" s="43"/>
      <c r="AY778" s="43"/>
      <c r="AZ778" s="43"/>
      <c r="BA778" s="43"/>
      <c r="BB778" s="43"/>
      <c r="BC778" s="43"/>
      <c r="BD778" s="43"/>
      <c r="BE778" s="43"/>
      <c r="BF778" s="43"/>
      <c r="BG778" s="43"/>
      <c r="BH778" s="43"/>
      <c r="BI778" s="43"/>
      <c r="BJ778" s="43"/>
      <c r="BK778" s="43"/>
      <c r="BL778" s="43"/>
      <c r="BM778" s="43"/>
      <c r="BN778" s="43"/>
      <c r="BO778" s="43"/>
      <c r="BP778" s="43"/>
      <c r="BQ778" s="43"/>
      <c r="BR778" s="43"/>
      <c r="BS778" s="43"/>
      <c r="BT778" s="43"/>
      <c r="BU778" s="43"/>
      <c r="BV778" s="43"/>
      <c r="BW778" s="43"/>
      <c r="BX778" s="43"/>
      <c r="BY778" s="43"/>
      <c r="B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c r="AE779" s="43"/>
      <c r="AF779" s="43"/>
      <c r="AG779" s="43"/>
      <c r="AH779" s="43"/>
      <c r="AI779" s="43"/>
      <c r="AJ779" s="43"/>
      <c r="AK779" s="43"/>
      <c r="AL779" s="43"/>
      <c r="AM779" s="43"/>
      <c r="AN779" s="43"/>
      <c r="AO779" s="43"/>
      <c r="AP779" s="43"/>
      <c r="AQ779" s="43"/>
      <c r="AR779" s="43"/>
      <c r="AS779" s="43"/>
      <c r="AT779" s="43"/>
      <c r="AU779" s="43"/>
      <c r="AV779" s="43"/>
      <c r="AW779" s="43"/>
      <c r="AX779" s="43"/>
      <c r="AY779" s="43"/>
      <c r="AZ779" s="43"/>
      <c r="BA779" s="43"/>
      <c r="BB779" s="43"/>
      <c r="BC779" s="43"/>
      <c r="BD779" s="43"/>
      <c r="BE779" s="43"/>
      <c r="BF779" s="43"/>
      <c r="BG779" s="43"/>
      <c r="BH779" s="43"/>
      <c r="BI779" s="43"/>
      <c r="BJ779" s="43"/>
      <c r="BK779" s="43"/>
      <c r="BL779" s="43"/>
      <c r="BM779" s="43"/>
      <c r="BN779" s="43"/>
      <c r="BO779" s="43"/>
      <c r="BP779" s="43"/>
      <c r="BQ779" s="43"/>
      <c r="BR779" s="43"/>
      <c r="BS779" s="43"/>
      <c r="BT779" s="43"/>
      <c r="BU779" s="43"/>
      <c r="BV779" s="43"/>
      <c r="BW779" s="43"/>
      <c r="BX779" s="43"/>
      <c r="BY779" s="43"/>
      <c r="B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c r="AE780" s="43"/>
      <c r="AF780" s="43"/>
      <c r="AG780" s="43"/>
      <c r="AH780" s="43"/>
      <c r="AI780" s="43"/>
      <c r="AJ780" s="43"/>
      <c r="AK780" s="43"/>
      <c r="AL780" s="43"/>
      <c r="AM780" s="43"/>
      <c r="AN780" s="43"/>
      <c r="AO780" s="43"/>
      <c r="AP780" s="43"/>
      <c r="AQ780" s="43"/>
      <c r="AR780" s="43"/>
      <c r="AS780" s="43"/>
      <c r="AT780" s="43"/>
      <c r="AU780" s="43"/>
      <c r="AV780" s="43"/>
      <c r="AW780" s="43"/>
      <c r="AX780" s="43"/>
      <c r="AY780" s="43"/>
      <c r="AZ780" s="43"/>
      <c r="BA780" s="43"/>
      <c r="BB780" s="43"/>
      <c r="BC780" s="43"/>
      <c r="BD780" s="43"/>
      <c r="BE780" s="43"/>
      <c r="BF780" s="43"/>
      <c r="BG780" s="43"/>
      <c r="BH780" s="43"/>
      <c r="BI780" s="43"/>
      <c r="BJ780" s="43"/>
      <c r="BK780" s="43"/>
      <c r="BL780" s="43"/>
      <c r="BM780" s="43"/>
      <c r="BN780" s="43"/>
      <c r="BO780" s="43"/>
      <c r="BP780" s="43"/>
      <c r="BQ780" s="43"/>
      <c r="BR780" s="43"/>
      <c r="BS780" s="43"/>
      <c r="BT780" s="43"/>
      <c r="BU780" s="43"/>
      <c r="BV780" s="43"/>
      <c r="BW780" s="43"/>
      <c r="BX780" s="43"/>
      <c r="BY780" s="43"/>
      <c r="B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c r="AE781" s="43"/>
      <c r="AF781" s="43"/>
      <c r="AG781" s="43"/>
      <c r="AH781" s="43"/>
      <c r="AI781" s="43"/>
      <c r="AJ781" s="43"/>
      <c r="AK781" s="43"/>
      <c r="AL781" s="43"/>
      <c r="AM781" s="43"/>
      <c r="AN781" s="43"/>
      <c r="AO781" s="43"/>
      <c r="AP781" s="43"/>
      <c r="AQ781" s="43"/>
      <c r="AR781" s="43"/>
      <c r="AS781" s="43"/>
      <c r="AT781" s="43"/>
      <c r="AU781" s="43"/>
      <c r="AV781" s="43"/>
      <c r="AW781" s="43"/>
      <c r="AX781" s="43"/>
      <c r="AY781" s="43"/>
      <c r="AZ781" s="43"/>
      <c r="BA781" s="43"/>
      <c r="BB781" s="43"/>
      <c r="BC781" s="43"/>
      <c r="BD781" s="43"/>
      <c r="BE781" s="43"/>
      <c r="BF781" s="43"/>
      <c r="BG781" s="43"/>
      <c r="BH781" s="43"/>
      <c r="BI781" s="43"/>
      <c r="BJ781" s="43"/>
      <c r="BK781" s="43"/>
      <c r="BL781" s="43"/>
      <c r="BM781" s="43"/>
      <c r="BN781" s="43"/>
      <c r="BO781" s="43"/>
      <c r="BP781" s="43"/>
      <c r="BQ781" s="43"/>
      <c r="BR781" s="43"/>
      <c r="BS781" s="43"/>
      <c r="BT781" s="43"/>
      <c r="BU781" s="43"/>
      <c r="BV781" s="43"/>
      <c r="BW781" s="43"/>
      <c r="BX781" s="43"/>
      <c r="BY781" s="43"/>
      <c r="B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c r="AE782" s="43"/>
      <c r="AF782" s="43"/>
      <c r="AG782" s="43"/>
      <c r="AH782" s="43"/>
      <c r="AI782" s="43"/>
      <c r="AJ782" s="43"/>
      <c r="AK782" s="43"/>
      <c r="AL782" s="43"/>
      <c r="AM782" s="43"/>
      <c r="AN782" s="43"/>
      <c r="AO782" s="43"/>
      <c r="AP782" s="43"/>
      <c r="AQ782" s="43"/>
      <c r="AR782" s="43"/>
      <c r="AS782" s="43"/>
      <c r="AT782" s="43"/>
      <c r="AU782" s="43"/>
      <c r="AV782" s="43"/>
      <c r="AW782" s="43"/>
      <c r="AX782" s="43"/>
      <c r="AY782" s="43"/>
      <c r="AZ782" s="43"/>
      <c r="BA782" s="43"/>
      <c r="BB782" s="43"/>
      <c r="BC782" s="43"/>
      <c r="BD782" s="43"/>
      <c r="BE782" s="43"/>
      <c r="BF782" s="43"/>
      <c r="BG782" s="43"/>
      <c r="BH782" s="43"/>
      <c r="BI782" s="43"/>
      <c r="BJ782" s="43"/>
      <c r="BK782" s="43"/>
      <c r="BL782" s="43"/>
      <c r="BM782" s="43"/>
      <c r="BN782" s="43"/>
      <c r="BO782" s="43"/>
      <c r="BP782" s="43"/>
      <c r="BQ782" s="43"/>
      <c r="BR782" s="43"/>
      <c r="BS782" s="43"/>
      <c r="BT782" s="43"/>
      <c r="BU782" s="43"/>
      <c r="BV782" s="43"/>
      <c r="BW782" s="43"/>
      <c r="BX782" s="43"/>
      <c r="BY782" s="43"/>
      <c r="B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c r="AE783" s="43"/>
      <c r="AF783" s="43"/>
      <c r="AG783" s="43"/>
      <c r="AH783" s="43"/>
      <c r="AI783" s="43"/>
      <c r="AJ783" s="43"/>
      <c r="AK783" s="43"/>
      <c r="AL783" s="43"/>
      <c r="AM783" s="43"/>
      <c r="AN783" s="43"/>
      <c r="AO783" s="43"/>
      <c r="AP783" s="43"/>
      <c r="AQ783" s="43"/>
      <c r="AR783" s="43"/>
      <c r="AS783" s="43"/>
      <c r="AT783" s="43"/>
      <c r="AU783" s="43"/>
      <c r="AV783" s="43"/>
      <c r="AW783" s="43"/>
      <c r="AX783" s="43"/>
      <c r="AY783" s="43"/>
      <c r="AZ783" s="43"/>
      <c r="BA783" s="43"/>
      <c r="BB783" s="43"/>
      <c r="BC783" s="43"/>
      <c r="BD783" s="43"/>
      <c r="BE783" s="43"/>
      <c r="BF783" s="43"/>
      <c r="BG783" s="43"/>
      <c r="BH783" s="43"/>
      <c r="BI783" s="43"/>
      <c r="BJ783" s="43"/>
      <c r="BK783" s="43"/>
      <c r="BL783" s="43"/>
      <c r="BM783" s="43"/>
      <c r="BN783" s="43"/>
      <c r="BO783" s="43"/>
      <c r="BP783" s="43"/>
      <c r="BQ783" s="43"/>
      <c r="BR783" s="43"/>
      <c r="BS783" s="43"/>
      <c r="BT783" s="43"/>
      <c r="BU783" s="43"/>
      <c r="BV783" s="43"/>
      <c r="BW783" s="43"/>
      <c r="BX783" s="43"/>
      <c r="BY783" s="43"/>
      <c r="B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c r="AE784" s="43"/>
      <c r="AF784" s="43"/>
      <c r="AG784" s="43"/>
      <c r="AH784" s="43"/>
      <c r="AI784" s="43"/>
      <c r="AJ784" s="43"/>
      <c r="AK784" s="43"/>
      <c r="AL784" s="43"/>
      <c r="AM784" s="43"/>
      <c r="AN784" s="43"/>
      <c r="AO784" s="43"/>
      <c r="AP784" s="43"/>
      <c r="AQ784" s="43"/>
      <c r="AR784" s="43"/>
      <c r="AS784" s="43"/>
      <c r="AT784" s="43"/>
      <c r="AU784" s="43"/>
      <c r="AV784" s="43"/>
      <c r="AW784" s="43"/>
      <c r="AX784" s="43"/>
      <c r="AY784" s="43"/>
      <c r="AZ784" s="43"/>
      <c r="BA784" s="43"/>
      <c r="BB784" s="43"/>
      <c r="BC784" s="43"/>
      <c r="BD784" s="43"/>
      <c r="BE784" s="43"/>
      <c r="BF784" s="43"/>
      <c r="BG784" s="43"/>
      <c r="BH784" s="43"/>
      <c r="BI784" s="43"/>
      <c r="BJ784" s="43"/>
      <c r="BK784" s="43"/>
      <c r="BL784" s="43"/>
      <c r="BM784" s="43"/>
      <c r="BN784" s="43"/>
      <c r="BO784" s="43"/>
      <c r="BP784" s="43"/>
      <c r="BQ784" s="43"/>
      <c r="BR784" s="43"/>
      <c r="BS784" s="43"/>
      <c r="BT784" s="43"/>
      <c r="BU784" s="43"/>
      <c r="BV784" s="43"/>
      <c r="BW784" s="43"/>
      <c r="BX784" s="43"/>
      <c r="BY784" s="43"/>
      <c r="B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c r="AE785" s="43"/>
      <c r="AF785" s="43"/>
      <c r="AG785" s="43"/>
      <c r="AH785" s="43"/>
      <c r="AI785" s="43"/>
      <c r="AJ785" s="43"/>
      <c r="AK785" s="43"/>
      <c r="AL785" s="43"/>
      <c r="AM785" s="43"/>
      <c r="AN785" s="43"/>
      <c r="AO785" s="43"/>
      <c r="AP785" s="43"/>
      <c r="AQ785" s="43"/>
      <c r="AR785" s="43"/>
      <c r="AS785" s="43"/>
      <c r="AT785" s="43"/>
      <c r="AU785" s="43"/>
      <c r="AV785" s="43"/>
      <c r="AW785" s="43"/>
      <c r="AX785" s="43"/>
      <c r="AY785" s="43"/>
      <c r="AZ785" s="43"/>
      <c r="BA785" s="43"/>
      <c r="BB785" s="43"/>
      <c r="BC785" s="43"/>
      <c r="BD785" s="43"/>
      <c r="BE785" s="43"/>
      <c r="BF785" s="43"/>
      <c r="BG785" s="43"/>
      <c r="BH785" s="43"/>
      <c r="BI785" s="43"/>
      <c r="BJ785" s="43"/>
      <c r="BK785" s="43"/>
      <c r="BL785" s="43"/>
      <c r="BM785" s="43"/>
      <c r="BN785" s="43"/>
      <c r="BO785" s="43"/>
      <c r="BP785" s="43"/>
      <c r="BQ785" s="43"/>
      <c r="BR785" s="43"/>
      <c r="BS785" s="43"/>
      <c r="BT785" s="43"/>
      <c r="BU785" s="43"/>
      <c r="BV785" s="43"/>
      <c r="BW785" s="43"/>
      <c r="BX785" s="43"/>
      <c r="BY785" s="43"/>
      <c r="B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c r="AE786" s="43"/>
      <c r="AF786" s="43"/>
      <c r="AG786" s="43"/>
      <c r="AH786" s="43"/>
      <c r="AI786" s="43"/>
      <c r="AJ786" s="43"/>
      <c r="AK786" s="43"/>
      <c r="AL786" s="43"/>
      <c r="AM786" s="43"/>
      <c r="AN786" s="43"/>
      <c r="AO786" s="43"/>
      <c r="AP786" s="43"/>
      <c r="AQ786" s="43"/>
      <c r="AR786" s="43"/>
      <c r="AS786" s="43"/>
      <c r="AT786" s="43"/>
      <c r="AU786" s="43"/>
      <c r="AV786" s="43"/>
      <c r="AW786" s="43"/>
      <c r="AX786" s="43"/>
      <c r="AY786" s="43"/>
      <c r="AZ786" s="43"/>
      <c r="BA786" s="43"/>
      <c r="BB786" s="43"/>
      <c r="BC786" s="43"/>
      <c r="BD786" s="43"/>
      <c r="BE786" s="43"/>
      <c r="BF786" s="43"/>
      <c r="BG786" s="43"/>
      <c r="BH786" s="43"/>
      <c r="BI786" s="43"/>
      <c r="BJ786" s="43"/>
      <c r="BK786" s="43"/>
      <c r="BL786" s="43"/>
      <c r="BM786" s="43"/>
      <c r="BN786" s="43"/>
      <c r="BO786" s="43"/>
      <c r="BP786" s="43"/>
      <c r="BQ786" s="43"/>
      <c r="BR786" s="43"/>
      <c r="BS786" s="43"/>
      <c r="BT786" s="43"/>
      <c r="BU786" s="43"/>
      <c r="BV786" s="43"/>
      <c r="BW786" s="43"/>
      <c r="BX786" s="43"/>
      <c r="BY786" s="43"/>
      <c r="B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c r="AE787" s="43"/>
      <c r="AF787" s="43"/>
      <c r="AG787" s="43"/>
      <c r="AH787" s="43"/>
      <c r="AI787" s="43"/>
      <c r="AJ787" s="43"/>
      <c r="AK787" s="43"/>
      <c r="AL787" s="43"/>
      <c r="AM787" s="43"/>
      <c r="AN787" s="43"/>
      <c r="AO787" s="43"/>
      <c r="AP787" s="43"/>
      <c r="AQ787" s="43"/>
      <c r="AR787" s="43"/>
      <c r="AS787" s="43"/>
      <c r="AT787" s="43"/>
      <c r="AU787" s="43"/>
      <c r="AV787" s="43"/>
      <c r="AW787" s="43"/>
      <c r="AX787" s="43"/>
      <c r="AY787" s="43"/>
      <c r="AZ787" s="43"/>
      <c r="BA787" s="43"/>
      <c r="BB787" s="43"/>
      <c r="BC787" s="43"/>
      <c r="BD787" s="43"/>
      <c r="BE787" s="43"/>
      <c r="BF787" s="43"/>
      <c r="BG787" s="43"/>
      <c r="BH787" s="43"/>
      <c r="BI787" s="43"/>
      <c r="BJ787" s="43"/>
      <c r="BK787" s="43"/>
      <c r="BL787" s="43"/>
      <c r="BM787" s="43"/>
      <c r="BN787" s="43"/>
      <c r="BO787" s="43"/>
      <c r="BP787" s="43"/>
      <c r="BQ787" s="43"/>
      <c r="BR787" s="43"/>
      <c r="BS787" s="43"/>
      <c r="BT787" s="43"/>
      <c r="BU787" s="43"/>
      <c r="BV787" s="43"/>
      <c r="BW787" s="43"/>
      <c r="BX787" s="43"/>
      <c r="BY787" s="43"/>
      <c r="B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c r="AE788" s="43"/>
      <c r="AF788" s="43"/>
      <c r="AG788" s="43"/>
      <c r="AH788" s="43"/>
      <c r="AI788" s="43"/>
      <c r="AJ788" s="43"/>
      <c r="AK788" s="43"/>
      <c r="AL788" s="43"/>
      <c r="AM788" s="43"/>
      <c r="AN788" s="43"/>
      <c r="AO788" s="43"/>
      <c r="AP788" s="43"/>
      <c r="AQ788" s="43"/>
      <c r="AR788" s="43"/>
      <c r="AS788" s="43"/>
      <c r="AT788" s="43"/>
      <c r="AU788" s="43"/>
      <c r="AV788" s="43"/>
      <c r="AW788" s="43"/>
      <c r="AX788" s="43"/>
      <c r="AY788" s="43"/>
      <c r="AZ788" s="43"/>
      <c r="BA788" s="43"/>
      <c r="BB788" s="43"/>
      <c r="BC788" s="43"/>
      <c r="BD788" s="43"/>
      <c r="BE788" s="43"/>
      <c r="BF788" s="43"/>
      <c r="BG788" s="43"/>
      <c r="BH788" s="43"/>
      <c r="BI788" s="43"/>
      <c r="BJ788" s="43"/>
      <c r="BK788" s="43"/>
      <c r="BL788" s="43"/>
      <c r="BM788" s="43"/>
      <c r="BN788" s="43"/>
      <c r="BO788" s="43"/>
      <c r="BP788" s="43"/>
      <c r="BQ788" s="43"/>
      <c r="BR788" s="43"/>
      <c r="BS788" s="43"/>
      <c r="BT788" s="43"/>
      <c r="BU788" s="43"/>
      <c r="BV788" s="43"/>
      <c r="BW788" s="43"/>
      <c r="BX788" s="43"/>
      <c r="BY788" s="43"/>
      <c r="B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c r="AE789" s="43"/>
      <c r="AF789" s="43"/>
      <c r="AG789" s="43"/>
      <c r="AH789" s="43"/>
      <c r="AI789" s="43"/>
      <c r="AJ789" s="43"/>
      <c r="AK789" s="43"/>
      <c r="AL789" s="43"/>
      <c r="AM789" s="43"/>
      <c r="AN789" s="43"/>
      <c r="AO789" s="43"/>
      <c r="AP789" s="43"/>
      <c r="AQ789" s="43"/>
      <c r="AR789" s="43"/>
      <c r="AS789" s="43"/>
      <c r="AT789" s="43"/>
      <c r="AU789" s="43"/>
      <c r="AV789" s="43"/>
      <c r="AW789" s="43"/>
      <c r="AX789" s="43"/>
      <c r="AY789" s="43"/>
      <c r="AZ789" s="43"/>
      <c r="BA789" s="43"/>
      <c r="BB789" s="43"/>
      <c r="BC789" s="43"/>
      <c r="BD789" s="43"/>
      <c r="BE789" s="43"/>
      <c r="BF789" s="43"/>
      <c r="BG789" s="43"/>
      <c r="BH789" s="43"/>
      <c r="BI789" s="43"/>
      <c r="BJ789" s="43"/>
      <c r="BK789" s="43"/>
      <c r="BL789" s="43"/>
      <c r="BM789" s="43"/>
      <c r="BN789" s="43"/>
      <c r="BO789" s="43"/>
      <c r="BP789" s="43"/>
      <c r="BQ789" s="43"/>
      <c r="BR789" s="43"/>
      <c r="BS789" s="43"/>
      <c r="BT789" s="43"/>
      <c r="BU789" s="43"/>
      <c r="BV789" s="43"/>
      <c r="BW789" s="43"/>
      <c r="BX789" s="43"/>
      <c r="BY789" s="43"/>
      <c r="B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c r="AE790" s="43"/>
      <c r="AF790" s="43"/>
      <c r="AG790" s="43"/>
      <c r="AH790" s="43"/>
      <c r="AI790" s="43"/>
      <c r="AJ790" s="43"/>
      <c r="AK790" s="43"/>
      <c r="AL790" s="43"/>
      <c r="AM790" s="43"/>
      <c r="AN790" s="43"/>
      <c r="AO790" s="43"/>
      <c r="AP790" s="43"/>
      <c r="AQ790" s="43"/>
      <c r="AR790" s="43"/>
      <c r="AS790" s="43"/>
      <c r="AT790" s="43"/>
      <c r="AU790" s="43"/>
      <c r="AV790" s="43"/>
      <c r="AW790" s="43"/>
      <c r="AX790" s="43"/>
      <c r="AY790" s="43"/>
      <c r="AZ790" s="43"/>
      <c r="BA790" s="43"/>
      <c r="BB790" s="43"/>
      <c r="BC790" s="43"/>
      <c r="BD790" s="43"/>
      <c r="BE790" s="43"/>
      <c r="BF790" s="43"/>
      <c r="BG790" s="43"/>
      <c r="BH790" s="43"/>
      <c r="BI790" s="43"/>
      <c r="BJ790" s="43"/>
      <c r="BK790" s="43"/>
      <c r="BL790" s="43"/>
      <c r="BM790" s="43"/>
      <c r="BN790" s="43"/>
      <c r="BO790" s="43"/>
      <c r="BP790" s="43"/>
      <c r="BQ790" s="43"/>
      <c r="BR790" s="43"/>
      <c r="BS790" s="43"/>
      <c r="BT790" s="43"/>
      <c r="BU790" s="43"/>
      <c r="BV790" s="43"/>
      <c r="BW790" s="43"/>
      <c r="BX790" s="43"/>
      <c r="BY790" s="43"/>
      <c r="B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c r="AE791" s="43"/>
      <c r="AF791" s="43"/>
      <c r="AG791" s="43"/>
      <c r="AH791" s="43"/>
      <c r="AI791" s="43"/>
      <c r="AJ791" s="43"/>
      <c r="AK791" s="43"/>
      <c r="AL791" s="43"/>
      <c r="AM791" s="43"/>
      <c r="AN791" s="43"/>
      <c r="AO791" s="43"/>
      <c r="AP791" s="43"/>
      <c r="AQ791" s="43"/>
      <c r="AR791" s="43"/>
      <c r="AS791" s="43"/>
      <c r="AT791" s="43"/>
      <c r="AU791" s="43"/>
      <c r="AV791" s="43"/>
      <c r="AW791" s="43"/>
      <c r="AX791" s="43"/>
      <c r="AY791" s="43"/>
      <c r="AZ791" s="43"/>
      <c r="BA791" s="43"/>
      <c r="BB791" s="43"/>
      <c r="BC791" s="43"/>
      <c r="BD791" s="43"/>
      <c r="BE791" s="43"/>
      <c r="BF791" s="43"/>
      <c r="BG791" s="43"/>
      <c r="BH791" s="43"/>
      <c r="BI791" s="43"/>
      <c r="BJ791" s="43"/>
      <c r="BK791" s="43"/>
      <c r="BL791" s="43"/>
      <c r="BM791" s="43"/>
      <c r="BN791" s="43"/>
      <c r="BO791" s="43"/>
      <c r="BP791" s="43"/>
      <c r="BQ791" s="43"/>
      <c r="BR791" s="43"/>
      <c r="BS791" s="43"/>
      <c r="BT791" s="43"/>
      <c r="BU791" s="43"/>
      <c r="BV791" s="43"/>
      <c r="BW791" s="43"/>
      <c r="BX791" s="43"/>
      <c r="BY791" s="43"/>
      <c r="B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c r="AE792" s="43"/>
      <c r="AF792" s="43"/>
      <c r="AG792" s="43"/>
      <c r="AH792" s="43"/>
      <c r="AI792" s="43"/>
      <c r="AJ792" s="43"/>
      <c r="AK792" s="43"/>
      <c r="AL792" s="43"/>
      <c r="AM792" s="43"/>
      <c r="AN792" s="43"/>
      <c r="AO792" s="43"/>
      <c r="AP792" s="43"/>
      <c r="AQ792" s="43"/>
      <c r="AR792" s="43"/>
      <c r="AS792" s="43"/>
      <c r="AT792" s="43"/>
      <c r="AU792" s="43"/>
      <c r="AV792" s="43"/>
      <c r="AW792" s="43"/>
      <c r="AX792" s="43"/>
      <c r="AY792" s="43"/>
      <c r="AZ792" s="43"/>
      <c r="BA792" s="43"/>
      <c r="BB792" s="43"/>
      <c r="BC792" s="43"/>
      <c r="BD792" s="43"/>
      <c r="BE792" s="43"/>
      <c r="BF792" s="43"/>
      <c r="BG792" s="43"/>
      <c r="BH792" s="43"/>
      <c r="BI792" s="43"/>
      <c r="BJ792" s="43"/>
      <c r="BK792" s="43"/>
      <c r="BL792" s="43"/>
      <c r="BM792" s="43"/>
      <c r="BN792" s="43"/>
      <c r="BO792" s="43"/>
      <c r="BP792" s="43"/>
      <c r="BQ792" s="43"/>
      <c r="BR792" s="43"/>
      <c r="BS792" s="43"/>
      <c r="BT792" s="43"/>
      <c r="BU792" s="43"/>
      <c r="BV792" s="43"/>
      <c r="BW792" s="43"/>
      <c r="BX792" s="43"/>
      <c r="BY792" s="43"/>
      <c r="B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c r="AE793" s="43"/>
      <c r="AF793" s="43"/>
      <c r="AG793" s="43"/>
      <c r="AH793" s="43"/>
      <c r="AI793" s="43"/>
      <c r="AJ793" s="43"/>
      <c r="AK793" s="43"/>
      <c r="AL793" s="43"/>
      <c r="AM793" s="43"/>
      <c r="AN793" s="43"/>
      <c r="AO793" s="43"/>
      <c r="AP793" s="43"/>
      <c r="AQ793" s="43"/>
      <c r="AR793" s="43"/>
      <c r="AS793" s="43"/>
      <c r="AT793" s="43"/>
      <c r="AU793" s="43"/>
      <c r="AV793" s="43"/>
      <c r="AW793" s="43"/>
      <c r="AX793" s="43"/>
      <c r="AY793" s="43"/>
      <c r="AZ793" s="43"/>
      <c r="BA793" s="43"/>
      <c r="BB793" s="43"/>
      <c r="BC793" s="43"/>
      <c r="BD793" s="43"/>
      <c r="BE793" s="43"/>
      <c r="BF793" s="43"/>
      <c r="BG793" s="43"/>
      <c r="BH793" s="43"/>
      <c r="BI793" s="43"/>
      <c r="BJ793" s="43"/>
      <c r="BK793" s="43"/>
      <c r="BL793" s="43"/>
      <c r="BM793" s="43"/>
      <c r="BN793" s="43"/>
      <c r="BO793" s="43"/>
      <c r="BP793" s="43"/>
      <c r="BQ793" s="43"/>
      <c r="BR793" s="43"/>
      <c r="BS793" s="43"/>
      <c r="BT793" s="43"/>
      <c r="BU793" s="43"/>
      <c r="BV793" s="43"/>
      <c r="BW793" s="43"/>
      <c r="BX793" s="43"/>
      <c r="BY793" s="43"/>
      <c r="B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c r="AE794" s="43"/>
      <c r="AF794" s="43"/>
      <c r="AG794" s="43"/>
      <c r="AH794" s="43"/>
      <c r="AI794" s="43"/>
      <c r="AJ794" s="43"/>
      <c r="AK794" s="43"/>
      <c r="AL794" s="43"/>
      <c r="AM794" s="43"/>
      <c r="AN794" s="43"/>
      <c r="AO794" s="43"/>
      <c r="AP794" s="43"/>
      <c r="AQ794" s="43"/>
      <c r="AR794" s="43"/>
      <c r="AS794" s="43"/>
      <c r="AT794" s="43"/>
      <c r="AU794" s="43"/>
      <c r="AV794" s="43"/>
      <c r="AW794" s="43"/>
      <c r="AX794" s="43"/>
      <c r="AY794" s="43"/>
      <c r="AZ794" s="43"/>
      <c r="BA794" s="43"/>
      <c r="BB794" s="43"/>
      <c r="BC794" s="43"/>
      <c r="BD794" s="43"/>
      <c r="BE794" s="43"/>
      <c r="BF794" s="43"/>
      <c r="BG794" s="43"/>
      <c r="BH794" s="43"/>
      <c r="BI794" s="43"/>
      <c r="BJ794" s="43"/>
      <c r="BK794" s="43"/>
      <c r="BL794" s="43"/>
      <c r="BM794" s="43"/>
      <c r="BN794" s="43"/>
      <c r="BO794" s="43"/>
      <c r="BP794" s="43"/>
      <c r="BQ794" s="43"/>
      <c r="BR794" s="43"/>
      <c r="BS794" s="43"/>
      <c r="BT794" s="43"/>
      <c r="BU794" s="43"/>
      <c r="BV794" s="43"/>
      <c r="BW794" s="43"/>
      <c r="BX794" s="43"/>
      <c r="BY794" s="43"/>
      <c r="B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c r="AE795" s="43"/>
      <c r="AF795" s="43"/>
      <c r="AG795" s="43"/>
      <c r="AH795" s="43"/>
      <c r="AI795" s="43"/>
      <c r="AJ795" s="43"/>
      <c r="AK795" s="43"/>
      <c r="AL795" s="43"/>
      <c r="AM795" s="43"/>
      <c r="AN795" s="43"/>
      <c r="AO795" s="43"/>
      <c r="AP795" s="43"/>
      <c r="AQ795" s="43"/>
      <c r="AR795" s="43"/>
      <c r="AS795" s="43"/>
      <c r="AT795" s="43"/>
      <c r="AU795" s="43"/>
      <c r="AV795" s="43"/>
      <c r="AW795" s="43"/>
      <c r="AX795" s="43"/>
      <c r="AY795" s="43"/>
      <c r="AZ795" s="43"/>
      <c r="BA795" s="43"/>
      <c r="BB795" s="43"/>
      <c r="BC795" s="43"/>
      <c r="BD795" s="43"/>
      <c r="BE795" s="43"/>
      <c r="BF795" s="43"/>
      <c r="BG795" s="43"/>
      <c r="BH795" s="43"/>
      <c r="BI795" s="43"/>
      <c r="BJ795" s="43"/>
      <c r="BK795" s="43"/>
      <c r="BL795" s="43"/>
      <c r="BM795" s="43"/>
      <c r="BN795" s="43"/>
      <c r="BO795" s="43"/>
      <c r="BP795" s="43"/>
      <c r="BQ795" s="43"/>
      <c r="BR795" s="43"/>
      <c r="BS795" s="43"/>
      <c r="BT795" s="43"/>
      <c r="BU795" s="43"/>
      <c r="BV795" s="43"/>
      <c r="BW795" s="43"/>
      <c r="BX795" s="43"/>
      <c r="BY795" s="43"/>
      <c r="B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c r="AE796" s="43"/>
      <c r="AF796" s="43"/>
      <c r="AG796" s="43"/>
      <c r="AH796" s="43"/>
      <c r="AI796" s="43"/>
      <c r="AJ796" s="43"/>
      <c r="AK796" s="43"/>
      <c r="AL796" s="43"/>
      <c r="AM796" s="43"/>
      <c r="AN796" s="43"/>
      <c r="AO796" s="43"/>
      <c r="AP796" s="43"/>
      <c r="AQ796" s="43"/>
      <c r="AR796" s="43"/>
      <c r="AS796" s="43"/>
      <c r="AT796" s="43"/>
      <c r="AU796" s="43"/>
      <c r="AV796" s="43"/>
      <c r="AW796" s="43"/>
      <c r="AX796" s="43"/>
      <c r="AY796" s="43"/>
      <c r="AZ796" s="43"/>
      <c r="BA796" s="43"/>
      <c r="BB796" s="43"/>
      <c r="BC796" s="43"/>
      <c r="BD796" s="43"/>
      <c r="BE796" s="43"/>
      <c r="BF796" s="43"/>
      <c r="BG796" s="43"/>
      <c r="BH796" s="43"/>
      <c r="BI796" s="43"/>
      <c r="BJ796" s="43"/>
      <c r="BK796" s="43"/>
      <c r="BL796" s="43"/>
      <c r="BM796" s="43"/>
      <c r="BN796" s="43"/>
      <c r="BO796" s="43"/>
      <c r="BP796" s="43"/>
      <c r="BQ796" s="43"/>
      <c r="BR796" s="43"/>
      <c r="BS796" s="43"/>
      <c r="BT796" s="43"/>
      <c r="BU796" s="43"/>
      <c r="BV796" s="43"/>
      <c r="BW796" s="43"/>
      <c r="BX796" s="43"/>
      <c r="BY796" s="43"/>
      <c r="B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c r="AE797" s="43"/>
      <c r="AF797" s="43"/>
      <c r="AG797" s="43"/>
      <c r="AH797" s="43"/>
      <c r="AI797" s="43"/>
      <c r="AJ797" s="43"/>
      <c r="AK797" s="43"/>
      <c r="AL797" s="43"/>
      <c r="AM797" s="43"/>
      <c r="AN797" s="43"/>
      <c r="AO797" s="43"/>
      <c r="AP797" s="43"/>
      <c r="AQ797" s="43"/>
      <c r="AR797" s="43"/>
      <c r="AS797" s="43"/>
      <c r="AT797" s="43"/>
      <c r="AU797" s="43"/>
      <c r="AV797" s="43"/>
      <c r="AW797" s="43"/>
      <c r="AX797" s="43"/>
      <c r="AY797" s="43"/>
      <c r="AZ797" s="43"/>
      <c r="BA797" s="43"/>
      <c r="BB797" s="43"/>
      <c r="BC797" s="43"/>
      <c r="BD797" s="43"/>
      <c r="BE797" s="43"/>
      <c r="BF797" s="43"/>
      <c r="BG797" s="43"/>
      <c r="BH797" s="43"/>
      <c r="BI797" s="43"/>
      <c r="BJ797" s="43"/>
      <c r="BK797" s="43"/>
      <c r="BL797" s="43"/>
      <c r="BM797" s="43"/>
      <c r="BN797" s="43"/>
      <c r="BO797" s="43"/>
      <c r="BP797" s="43"/>
      <c r="BQ797" s="43"/>
      <c r="BR797" s="43"/>
      <c r="BS797" s="43"/>
      <c r="BT797" s="43"/>
      <c r="BU797" s="43"/>
      <c r="BV797" s="43"/>
      <c r="BW797" s="43"/>
      <c r="BX797" s="43"/>
      <c r="BY797" s="43"/>
      <c r="B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c r="AE798" s="43"/>
      <c r="AF798" s="43"/>
      <c r="AG798" s="43"/>
      <c r="AH798" s="43"/>
      <c r="AI798" s="43"/>
      <c r="AJ798" s="43"/>
      <c r="AK798" s="43"/>
      <c r="AL798" s="43"/>
      <c r="AM798" s="43"/>
      <c r="AN798" s="43"/>
      <c r="AO798" s="43"/>
      <c r="AP798" s="43"/>
      <c r="AQ798" s="43"/>
      <c r="AR798" s="43"/>
      <c r="AS798" s="43"/>
      <c r="AT798" s="43"/>
      <c r="AU798" s="43"/>
      <c r="AV798" s="43"/>
      <c r="AW798" s="43"/>
      <c r="AX798" s="43"/>
      <c r="AY798" s="43"/>
      <c r="AZ798" s="43"/>
      <c r="BA798" s="43"/>
      <c r="BB798" s="43"/>
      <c r="BC798" s="43"/>
      <c r="BD798" s="43"/>
      <c r="BE798" s="43"/>
      <c r="BF798" s="43"/>
      <c r="BG798" s="43"/>
      <c r="BH798" s="43"/>
      <c r="BI798" s="43"/>
      <c r="BJ798" s="43"/>
      <c r="BK798" s="43"/>
      <c r="BL798" s="43"/>
      <c r="BM798" s="43"/>
      <c r="BN798" s="43"/>
      <c r="BO798" s="43"/>
      <c r="BP798" s="43"/>
      <c r="BQ798" s="43"/>
      <c r="BR798" s="43"/>
      <c r="BS798" s="43"/>
      <c r="BT798" s="43"/>
      <c r="BU798" s="43"/>
      <c r="BV798" s="43"/>
      <c r="BW798" s="43"/>
      <c r="BX798" s="43"/>
      <c r="BY798" s="43"/>
      <c r="B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43"/>
      <c r="AG799" s="43"/>
      <c r="AH799" s="43"/>
      <c r="AI799" s="43"/>
      <c r="AJ799" s="43"/>
      <c r="AK799" s="43"/>
      <c r="AL799" s="43"/>
      <c r="AM799" s="43"/>
      <c r="AN799" s="43"/>
      <c r="AO799" s="43"/>
      <c r="AP799" s="43"/>
      <c r="AQ799" s="43"/>
      <c r="AR799" s="43"/>
      <c r="AS799" s="43"/>
      <c r="AT799" s="43"/>
      <c r="AU799" s="43"/>
      <c r="AV799" s="43"/>
      <c r="AW799" s="43"/>
      <c r="AX799" s="43"/>
      <c r="AY799" s="43"/>
      <c r="AZ799" s="43"/>
      <c r="BA799" s="43"/>
      <c r="BB799" s="43"/>
      <c r="BC799" s="43"/>
      <c r="BD799" s="43"/>
      <c r="BE799" s="43"/>
      <c r="BF799" s="43"/>
      <c r="BG799" s="43"/>
      <c r="BH799" s="43"/>
      <c r="BI799" s="43"/>
      <c r="BJ799" s="43"/>
      <c r="BK799" s="43"/>
      <c r="BL799" s="43"/>
      <c r="BM799" s="43"/>
      <c r="BN799" s="43"/>
      <c r="BO799" s="43"/>
      <c r="BP799" s="43"/>
      <c r="BQ799" s="43"/>
      <c r="BR799" s="43"/>
      <c r="BS799" s="43"/>
      <c r="BT799" s="43"/>
      <c r="BU799" s="43"/>
      <c r="BV799" s="43"/>
      <c r="BW799" s="43"/>
      <c r="BX799" s="43"/>
      <c r="BY799" s="43"/>
      <c r="B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c r="AE800" s="43"/>
      <c r="AF800" s="43"/>
      <c r="AG800" s="43"/>
      <c r="AH800" s="43"/>
      <c r="AI800" s="43"/>
      <c r="AJ800" s="43"/>
      <c r="AK800" s="43"/>
      <c r="AL800" s="43"/>
      <c r="AM800" s="43"/>
      <c r="AN800" s="43"/>
      <c r="AO800" s="43"/>
      <c r="AP800" s="43"/>
      <c r="AQ800" s="43"/>
      <c r="AR800" s="43"/>
      <c r="AS800" s="43"/>
      <c r="AT800" s="43"/>
      <c r="AU800" s="43"/>
      <c r="AV800" s="43"/>
      <c r="AW800" s="43"/>
      <c r="AX800" s="43"/>
      <c r="AY800" s="43"/>
      <c r="AZ800" s="43"/>
      <c r="BA800" s="43"/>
      <c r="BB800" s="43"/>
      <c r="BC800" s="43"/>
      <c r="BD800" s="43"/>
      <c r="BE800" s="43"/>
      <c r="BF800" s="43"/>
      <c r="BG800" s="43"/>
      <c r="BH800" s="43"/>
      <c r="BI800" s="43"/>
      <c r="BJ800" s="43"/>
      <c r="BK800" s="43"/>
      <c r="BL800" s="43"/>
      <c r="BM800" s="43"/>
      <c r="BN800" s="43"/>
      <c r="BO800" s="43"/>
      <c r="BP800" s="43"/>
      <c r="BQ800" s="43"/>
      <c r="BR800" s="43"/>
      <c r="BS800" s="43"/>
      <c r="BT800" s="43"/>
      <c r="BU800" s="43"/>
      <c r="BV800" s="43"/>
      <c r="BW800" s="43"/>
      <c r="BX800" s="43"/>
      <c r="BY800" s="43"/>
      <c r="B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c r="AE801" s="43"/>
      <c r="AF801" s="43"/>
      <c r="AG801" s="43"/>
      <c r="AH801" s="43"/>
      <c r="AI801" s="43"/>
      <c r="AJ801" s="43"/>
      <c r="AK801" s="43"/>
      <c r="AL801" s="43"/>
      <c r="AM801" s="43"/>
      <c r="AN801" s="43"/>
      <c r="AO801" s="43"/>
      <c r="AP801" s="43"/>
      <c r="AQ801" s="43"/>
      <c r="AR801" s="43"/>
      <c r="AS801" s="43"/>
      <c r="AT801" s="43"/>
      <c r="AU801" s="43"/>
      <c r="AV801" s="43"/>
      <c r="AW801" s="43"/>
      <c r="AX801" s="43"/>
      <c r="AY801" s="43"/>
      <c r="AZ801" s="43"/>
      <c r="BA801" s="43"/>
      <c r="BB801" s="43"/>
      <c r="BC801" s="43"/>
      <c r="BD801" s="43"/>
      <c r="BE801" s="43"/>
      <c r="BF801" s="43"/>
      <c r="BG801" s="43"/>
      <c r="BH801" s="43"/>
      <c r="BI801" s="43"/>
      <c r="BJ801" s="43"/>
      <c r="BK801" s="43"/>
      <c r="BL801" s="43"/>
      <c r="BM801" s="43"/>
      <c r="BN801" s="43"/>
      <c r="BO801" s="43"/>
      <c r="BP801" s="43"/>
      <c r="BQ801" s="43"/>
      <c r="BR801" s="43"/>
      <c r="BS801" s="43"/>
      <c r="BT801" s="43"/>
      <c r="BU801" s="43"/>
      <c r="BV801" s="43"/>
      <c r="BW801" s="43"/>
      <c r="BX801" s="43"/>
      <c r="BY801" s="43"/>
      <c r="B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c r="AE802" s="43"/>
      <c r="AF802" s="43"/>
      <c r="AG802" s="43"/>
      <c r="AH802" s="43"/>
      <c r="AI802" s="43"/>
      <c r="AJ802" s="43"/>
      <c r="AK802" s="43"/>
      <c r="AL802" s="43"/>
      <c r="AM802" s="43"/>
      <c r="AN802" s="43"/>
      <c r="AO802" s="43"/>
      <c r="AP802" s="43"/>
      <c r="AQ802" s="43"/>
      <c r="AR802" s="43"/>
      <c r="AS802" s="43"/>
      <c r="AT802" s="43"/>
      <c r="AU802" s="43"/>
      <c r="AV802" s="43"/>
      <c r="AW802" s="43"/>
      <c r="AX802" s="43"/>
      <c r="AY802" s="43"/>
      <c r="AZ802" s="43"/>
      <c r="BA802" s="43"/>
      <c r="BB802" s="43"/>
      <c r="BC802" s="43"/>
      <c r="BD802" s="43"/>
      <c r="BE802" s="43"/>
      <c r="BF802" s="43"/>
      <c r="BG802" s="43"/>
      <c r="BH802" s="43"/>
      <c r="BI802" s="43"/>
      <c r="BJ802" s="43"/>
      <c r="BK802" s="43"/>
      <c r="BL802" s="43"/>
      <c r="BM802" s="43"/>
      <c r="BN802" s="43"/>
      <c r="BO802" s="43"/>
      <c r="BP802" s="43"/>
      <c r="BQ802" s="43"/>
      <c r="BR802" s="43"/>
      <c r="BS802" s="43"/>
      <c r="BT802" s="43"/>
      <c r="BU802" s="43"/>
      <c r="BV802" s="43"/>
      <c r="BW802" s="43"/>
      <c r="BX802" s="43"/>
      <c r="BY802" s="43"/>
      <c r="B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c r="AE803" s="43"/>
      <c r="AF803" s="43"/>
      <c r="AG803" s="43"/>
      <c r="AH803" s="43"/>
      <c r="AI803" s="43"/>
      <c r="AJ803" s="43"/>
      <c r="AK803" s="43"/>
      <c r="AL803" s="43"/>
      <c r="AM803" s="43"/>
      <c r="AN803" s="43"/>
      <c r="AO803" s="43"/>
      <c r="AP803" s="43"/>
      <c r="AQ803" s="43"/>
      <c r="AR803" s="43"/>
      <c r="AS803" s="43"/>
      <c r="AT803" s="43"/>
      <c r="AU803" s="43"/>
      <c r="AV803" s="43"/>
      <c r="AW803" s="43"/>
      <c r="AX803" s="43"/>
      <c r="AY803" s="43"/>
      <c r="AZ803" s="43"/>
      <c r="BA803" s="43"/>
      <c r="BB803" s="43"/>
      <c r="BC803" s="43"/>
      <c r="BD803" s="43"/>
      <c r="BE803" s="43"/>
      <c r="BF803" s="43"/>
      <c r="BG803" s="43"/>
      <c r="BH803" s="43"/>
      <c r="BI803" s="43"/>
      <c r="BJ803" s="43"/>
      <c r="BK803" s="43"/>
      <c r="BL803" s="43"/>
      <c r="BM803" s="43"/>
      <c r="BN803" s="43"/>
      <c r="BO803" s="43"/>
      <c r="BP803" s="43"/>
      <c r="BQ803" s="43"/>
      <c r="BR803" s="43"/>
      <c r="BS803" s="43"/>
      <c r="BT803" s="43"/>
      <c r="BU803" s="43"/>
      <c r="BV803" s="43"/>
      <c r="BW803" s="43"/>
      <c r="BX803" s="43"/>
      <c r="BY803" s="43"/>
      <c r="B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J804" s="43"/>
      <c r="AK804" s="43"/>
      <c r="AL804" s="43"/>
      <c r="AM804" s="43"/>
      <c r="AN804" s="43"/>
      <c r="AO804" s="43"/>
      <c r="AP804" s="43"/>
      <c r="AQ804" s="43"/>
      <c r="AR804" s="43"/>
      <c r="AS804" s="43"/>
      <c r="AT804" s="43"/>
      <c r="AU804" s="43"/>
      <c r="AV804" s="43"/>
      <c r="AW804" s="43"/>
      <c r="AX804" s="43"/>
      <c r="AY804" s="43"/>
      <c r="AZ804" s="43"/>
      <c r="BA804" s="43"/>
      <c r="BB804" s="43"/>
      <c r="BC804" s="43"/>
      <c r="BD804" s="43"/>
      <c r="BE804" s="43"/>
      <c r="BF804" s="43"/>
      <c r="BG804" s="43"/>
      <c r="BH804" s="43"/>
      <c r="BI804" s="43"/>
      <c r="BJ804" s="43"/>
      <c r="BK804" s="43"/>
      <c r="BL804" s="43"/>
      <c r="BM804" s="43"/>
      <c r="BN804" s="43"/>
      <c r="BO804" s="43"/>
      <c r="BP804" s="43"/>
      <c r="BQ804" s="43"/>
      <c r="BR804" s="43"/>
      <c r="BS804" s="43"/>
      <c r="BT804" s="43"/>
      <c r="BU804" s="43"/>
      <c r="BV804" s="43"/>
      <c r="BW804" s="43"/>
      <c r="BX804" s="43"/>
      <c r="BY804" s="43"/>
      <c r="B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c r="AN805" s="43"/>
      <c r="AO805" s="43"/>
      <c r="AP805" s="43"/>
      <c r="AQ805" s="43"/>
      <c r="AR805" s="43"/>
      <c r="AS805" s="43"/>
      <c r="AT805" s="43"/>
      <c r="AU805" s="43"/>
      <c r="AV805" s="43"/>
      <c r="AW805" s="43"/>
      <c r="AX805" s="43"/>
      <c r="AY805" s="43"/>
      <c r="AZ805" s="43"/>
      <c r="BA805" s="43"/>
      <c r="BB805" s="43"/>
      <c r="BC805" s="43"/>
      <c r="BD805" s="43"/>
      <c r="BE805" s="43"/>
      <c r="BF805" s="43"/>
      <c r="BG805" s="43"/>
      <c r="BH805" s="43"/>
      <c r="BI805" s="43"/>
      <c r="BJ805" s="43"/>
      <c r="BK805" s="43"/>
      <c r="BL805" s="43"/>
      <c r="BM805" s="43"/>
      <c r="BN805" s="43"/>
      <c r="BO805" s="43"/>
      <c r="BP805" s="43"/>
      <c r="BQ805" s="43"/>
      <c r="BR805" s="43"/>
      <c r="BS805" s="43"/>
      <c r="BT805" s="43"/>
      <c r="BU805" s="43"/>
      <c r="BV805" s="43"/>
      <c r="BW805" s="43"/>
      <c r="BX805" s="43"/>
      <c r="BY805" s="43"/>
      <c r="B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c r="AE806" s="43"/>
      <c r="AF806" s="43"/>
      <c r="AG806" s="43"/>
      <c r="AH806" s="43"/>
      <c r="AI806" s="43"/>
      <c r="AJ806" s="43"/>
      <c r="AK806" s="43"/>
      <c r="AL806" s="43"/>
      <c r="AM806" s="43"/>
      <c r="AN806" s="43"/>
      <c r="AO806" s="43"/>
      <c r="AP806" s="43"/>
      <c r="AQ806" s="43"/>
      <c r="AR806" s="43"/>
      <c r="AS806" s="43"/>
      <c r="AT806" s="43"/>
      <c r="AU806" s="43"/>
      <c r="AV806" s="43"/>
      <c r="AW806" s="43"/>
      <c r="AX806" s="43"/>
      <c r="AY806" s="43"/>
      <c r="AZ806" s="43"/>
      <c r="BA806" s="43"/>
      <c r="BB806" s="43"/>
      <c r="BC806" s="43"/>
      <c r="BD806" s="43"/>
      <c r="BE806" s="43"/>
      <c r="BF806" s="43"/>
      <c r="BG806" s="43"/>
      <c r="BH806" s="43"/>
      <c r="BI806" s="43"/>
      <c r="BJ806" s="43"/>
      <c r="BK806" s="43"/>
      <c r="BL806" s="43"/>
      <c r="BM806" s="43"/>
      <c r="BN806" s="43"/>
      <c r="BO806" s="43"/>
      <c r="BP806" s="43"/>
      <c r="BQ806" s="43"/>
      <c r="BR806" s="43"/>
      <c r="BS806" s="43"/>
      <c r="BT806" s="43"/>
      <c r="BU806" s="43"/>
      <c r="BV806" s="43"/>
      <c r="BW806" s="43"/>
      <c r="BX806" s="43"/>
      <c r="BY806" s="43"/>
      <c r="B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c r="AE807" s="43"/>
      <c r="AF807" s="43"/>
      <c r="AG807" s="43"/>
      <c r="AH807" s="43"/>
      <c r="AI807" s="43"/>
      <c r="AJ807" s="43"/>
      <c r="AK807" s="43"/>
      <c r="AL807" s="43"/>
      <c r="AM807" s="43"/>
      <c r="AN807" s="43"/>
      <c r="AO807" s="43"/>
      <c r="AP807" s="43"/>
      <c r="AQ807" s="43"/>
      <c r="AR807" s="43"/>
      <c r="AS807" s="43"/>
      <c r="AT807" s="43"/>
      <c r="AU807" s="43"/>
      <c r="AV807" s="43"/>
      <c r="AW807" s="43"/>
      <c r="AX807" s="43"/>
      <c r="AY807" s="43"/>
      <c r="AZ807" s="43"/>
      <c r="BA807" s="43"/>
      <c r="BB807" s="43"/>
      <c r="BC807" s="43"/>
      <c r="BD807" s="43"/>
      <c r="BE807" s="43"/>
      <c r="BF807" s="43"/>
      <c r="BG807" s="43"/>
      <c r="BH807" s="43"/>
      <c r="BI807" s="43"/>
      <c r="BJ807" s="43"/>
      <c r="BK807" s="43"/>
      <c r="BL807" s="43"/>
      <c r="BM807" s="43"/>
      <c r="BN807" s="43"/>
      <c r="BO807" s="43"/>
      <c r="BP807" s="43"/>
      <c r="BQ807" s="43"/>
      <c r="BR807" s="43"/>
      <c r="BS807" s="43"/>
      <c r="BT807" s="43"/>
      <c r="BU807" s="43"/>
      <c r="BV807" s="43"/>
      <c r="BW807" s="43"/>
      <c r="BX807" s="43"/>
      <c r="BY807" s="43"/>
      <c r="B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c r="AE808" s="43"/>
      <c r="AF808" s="43"/>
      <c r="AG808" s="43"/>
      <c r="AH808" s="43"/>
      <c r="AI808" s="43"/>
      <c r="AJ808" s="43"/>
      <c r="AK808" s="43"/>
      <c r="AL808" s="43"/>
      <c r="AM808" s="43"/>
      <c r="AN808" s="43"/>
      <c r="AO808" s="43"/>
      <c r="AP808" s="43"/>
      <c r="AQ808" s="43"/>
      <c r="AR808" s="43"/>
      <c r="AS808" s="43"/>
      <c r="AT808" s="43"/>
      <c r="AU808" s="43"/>
      <c r="AV808" s="43"/>
      <c r="AW808" s="43"/>
      <c r="AX808" s="43"/>
      <c r="AY808" s="43"/>
      <c r="AZ808" s="43"/>
      <c r="BA808" s="43"/>
      <c r="BB808" s="43"/>
      <c r="BC808" s="43"/>
      <c r="BD808" s="43"/>
      <c r="BE808" s="43"/>
      <c r="BF808" s="43"/>
      <c r="BG808" s="43"/>
      <c r="BH808" s="43"/>
      <c r="BI808" s="43"/>
      <c r="BJ808" s="43"/>
      <c r="BK808" s="43"/>
      <c r="BL808" s="43"/>
      <c r="BM808" s="43"/>
      <c r="BN808" s="43"/>
      <c r="BO808" s="43"/>
      <c r="BP808" s="43"/>
      <c r="BQ808" s="43"/>
      <c r="BR808" s="43"/>
      <c r="BS808" s="43"/>
      <c r="BT808" s="43"/>
      <c r="BU808" s="43"/>
      <c r="BV808" s="43"/>
      <c r="BW808" s="43"/>
      <c r="BX808" s="43"/>
      <c r="BY808" s="43"/>
      <c r="B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c r="AE809" s="43"/>
      <c r="AF809" s="43"/>
      <c r="AG809" s="43"/>
      <c r="AH809" s="43"/>
      <c r="AI809" s="43"/>
      <c r="AJ809" s="43"/>
      <c r="AK809" s="43"/>
      <c r="AL809" s="43"/>
      <c r="AM809" s="43"/>
      <c r="AN809" s="43"/>
      <c r="AO809" s="43"/>
      <c r="AP809" s="43"/>
      <c r="AQ809" s="43"/>
      <c r="AR809" s="43"/>
      <c r="AS809" s="43"/>
      <c r="AT809" s="43"/>
      <c r="AU809" s="43"/>
      <c r="AV809" s="43"/>
      <c r="AW809" s="43"/>
      <c r="AX809" s="43"/>
      <c r="AY809" s="43"/>
      <c r="AZ809" s="43"/>
      <c r="BA809" s="43"/>
      <c r="BB809" s="43"/>
      <c r="BC809" s="43"/>
      <c r="BD809" s="43"/>
      <c r="BE809" s="43"/>
      <c r="BF809" s="43"/>
      <c r="BG809" s="43"/>
      <c r="BH809" s="43"/>
      <c r="BI809" s="43"/>
      <c r="BJ809" s="43"/>
      <c r="BK809" s="43"/>
      <c r="BL809" s="43"/>
      <c r="BM809" s="43"/>
      <c r="BN809" s="43"/>
      <c r="BO809" s="43"/>
      <c r="BP809" s="43"/>
      <c r="BQ809" s="43"/>
      <c r="BR809" s="43"/>
      <c r="BS809" s="43"/>
      <c r="BT809" s="43"/>
      <c r="BU809" s="43"/>
      <c r="BV809" s="43"/>
      <c r="BW809" s="43"/>
      <c r="BX809" s="43"/>
      <c r="BY809" s="43"/>
      <c r="B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c r="AE810" s="43"/>
      <c r="AF810" s="43"/>
      <c r="AG810" s="43"/>
      <c r="AH810" s="43"/>
      <c r="AI810" s="43"/>
      <c r="AJ810" s="43"/>
      <c r="AK810" s="43"/>
      <c r="AL810" s="43"/>
      <c r="AM810" s="43"/>
      <c r="AN810" s="43"/>
      <c r="AO810" s="43"/>
      <c r="AP810" s="43"/>
      <c r="AQ810" s="43"/>
      <c r="AR810" s="43"/>
      <c r="AS810" s="43"/>
      <c r="AT810" s="43"/>
      <c r="AU810" s="43"/>
      <c r="AV810" s="43"/>
      <c r="AW810" s="43"/>
      <c r="AX810" s="43"/>
      <c r="AY810" s="43"/>
      <c r="AZ810" s="43"/>
      <c r="BA810" s="43"/>
      <c r="BB810" s="43"/>
      <c r="BC810" s="43"/>
      <c r="BD810" s="43"/>
      <c r="BE810" s="43"/>
      <c r="BF810" s="43"/>
      <c r="BG810" s="43"/>
      <c r="BH810" s="43"/>
      <c r="BI810" s="43"/>
      <c r="BJ810" s="43"/>
      <c r="BK810" s="43"/>
      <c r="BL810" s="43"/>
      <c r="BM810" s="43"/>
      <c r="BN810" s="43"/>
      <c r="BO810" s="43"/>
      <c r="BP810" s="43"/>
      <c r="BQ810" s="43"/>
      <c r="BR810" s="43"/>
      <c r="BS810" s="43"/>
      <c r="BT810" s="43"/>
      <c r="BU810" s="43"/>
      <c r="BV810" s="43"/>
      <c r="BW810" s="43"/>
      <c r="BX810" s="43"/>
      <c r="BY810" s="43"/>
      <c r="B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c r="AE811" s="43"/>
      <c r="AF811" s="43"/>
      <c r="AG811" s="43"/>
      <c r="AH811" s="43"/>
      <c r="AI811" s="43"/>
      <c r="AJ811" s="43"/>
      <c r="AK811" s="43"/>
      <c r="AL811" s="43"/>
      <c r="AM811" s="43"/>
      <c r="AN811" s="43"/>
      <c r="AO811" s="43"/>
      <c r="AP811" s="43"/>
      <c r="AQ811" s="43"/>
      <c r="AR811" s="43"/>
      <c r="AS811" s="43"/>
      <c r="AT811" s="43"/>
      <c r="AU811" s="43"/>
      <c r="AV811" s="43"/>
      <c r="AW811" s="43"/>
      <c r="AX811" s="43"/>
      <c r="AY811" s="43"/>
      <c r="AZ811" s="43"/>
      <c r="BA811" s="43"/>
      <c r="BB811" s="43"/>
      <c r="BC811" s="43"/>
      <c r="BD811" s="43"/>
      <c r="BE811" s="43"/>
      <c r="BF811" s="43"/>
      <c r="BG811" s="43"/>
      <c r="BH811" s="43"/>
      <c r="BI811" s="43"/>
      <c r="BJ811" s="43"/>
      <c r="BK811" s="43"/>
      <c r="BL811" s="43"/>
      <c r="BM811" s="43"/>
      <c r="BN811" s="43"/>
      <c r="BO811" s="43"/>
      <c r="BP811" s="43"/>
      <c r="BQ811" s="43"/>
      <c r="BR811" s="43"/>
      <c r="BS811" s="43"/>
      <c r="BT811" s="43"/>
      <c r="BU811" s="43"/>
      <c r="BV811" s="43"/>
      <c r="BW811" s="43"/>
      <c r="BX811" s="43"/>
      <c r="BY811" s="43"/>
      <c r="B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c r="AE812" s="43"/>
      <c r="AF812" s="43"/>
      <c r="AG812" s="43"/>
      <c r="AH812" s="43"/>
      <c r="AI812" s="43"/>
      <c r="AJ812" s="43"/>
      <c r="AK812" s="43"/>
      <c r="AL812" s="43"/>
      <c r="AM812" s="43"/>
      <c r="AN812" s="43"/>
      <c r="AO812" s="43"/>
      <c r="AP812" s="43"/>
      <c r="AQ812" s="43"/>
      <c r="AR812" s="43"/>
      <c r="AS812" s="43"/>
      <c r="AT812" s="43"/>
      <c r="AU812" s="43"/>
      <c r="AV812" s="43"/>
      <c r="AW812" s="43"/>
      <c r="AX812" s="43"/>
      <c r="AY812" s="43"/>
      <c r="AZ812" s="43"/>
      <c r="BA812" s="43"/>
      <c r="BB812" s="43"/>
      <c r="BC812" s="43"/>
      <c r="BD812" s="43"/>
      <c r="BE812" s="43"/>
      <c r="BF812" s="43"/>
      <c r="BG812" s="43"/>
      <c r="BH812" s="43"/>
      <c r="BI812" s="43"/>
      <c r="BJ812" s="43"/>
      <c r="BK812" s="43"/>
      <c r="BL812" s="43"/>
      <c r="BM812" s="43"/>
      <c r="BN812" s="43"/>
      <c r="BO812" s="43"/>
      <c r="BP812" s="43"/>
      <c r="BQ812" s="43"/>
      <c r="BR812" s="43"/>
      <c r="BS812" s="43"/>
      <c r="BT812" s="43"/>
      <c r="BU812" s="43"/>
      <c r="BV812" s="43"/>
      <c r="BW812" s="43"/>
      <c r="BX812" s="43"/>
      <c r="BY812" s="43"/>
      <c r="B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c r="AE813" s="43"/>
      <c r="AF813" s="43"/>
      <c r="AG813" s="43"/>
      <c r="AH813" s="43"/>
      <c r="AI813" s="43"/>
      <c r="AJ813" s="43"/>
      <c r="AK813" s="43"/>
      <c r="AL813" s="43"/>
      <c r="AM813" s="43"/>
      <c r="AN813" s="43"/>
      <c r="AO813" s="43"/>
      <c r="AP813" s="43"/>
      <c r="AQ813" s="43"/>
      <c r="AR813" s="43"/>
      <c r="AS813" s="43"/>
      <c r="AT813" s="43"/>
      <c r="AU813" s="43"/>
      <c r="AV813" s="43"/>
      <c r="AW813" s="43"/>
      <c r="AX813" s="43"/>
      <c r="AY813" s="43"/>
      <c r="AZ813" s="43"/>
      <c r="BA813" s="43"/>
      <c r="BB813" s="43"/>
      <c r="BC813" s="43"/>
      <c r="BD813" s="43"/>
      <c r="BE813" s="43"/>
      <c r="BF813" s="43"/>
      <c r="BG813" s="43"/>
      <c r="BH813" s="43"/>
      <c r="BI813" s="43"/>
      <c r="BJ813" s="43"/>
      <c r="BK813" s="43"/>
      <c r="BL813" s="43"/>
      <c r="BM813" s="43"/>
      <c r="BN813" s="43"/>
      <c r="BO813" s="43"/>
      <c r="BP813" s="43"/>
      <c r="BQ813" s="43"/>
      <c r="BR813" s="43"/>
      <c r="BS813" s="43"/>
      <c r="BT813" s="43"/>
      <c r="BU813" s="43"/>
      <c r="BV813" s="43"/>
      <c r="BW813" s="43"/>
      <c r="BX813" s="43"/>
      <c r="BY813" s="43"/>
      <c r="B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c r="AE814" s="43"/>
      <c r="AF814" s="43"/>
      <c r="AG814" s="43"/>
      <c r="AH814" s="43"/>
      <c r="AI814" s="43"/>
      <c r="AJ814" s="43"/>
      <c r="AK814" s="43"/>
      <c r="AL814" s="43"/>
      <c r="AM814" s="43"/>
      <c r="AN814" s="43"/>
      <c r="AO814" s="43"/>
      <c r="AP814" s="43"/>
      <c r="AQ814" s="43"/>
      <c r="AR814" s="43"/>
      <c r="AS814" s="43"/>
      <c r="AT814" s="43"/>
      <c r="AU814" s="43"/>
      <c r="AV814" s="43"/>
      <c r="AW814" s="43"/>
      <c r="AX814" s="43"/>
      <c r="AY814" s="43"/>
      <c r="AZ814" s="43"/>
      <c r="BA814" s="43"/>
      <c r="BB814" s="43"/>
      <c r="BC814" s="43"/>
      <c r="BD814" s="43"/>
      <c r="BE814" s="43"/>
      <c r="BF814" s="43"/>
      <c r="BG814" s="43"/>
      <c r="BH814" s="43"/>
      <c r="BI814" s="43"/>
      <c r="BJ814" s="43"/>
      <c r="BK814" s="43"/>
      <c r="BL814" s="43"/>
      <c r="BM814" s="43"/>
      <c r="BN814" s="43"/>
      <c r="BO814" s="43"/>
      <c r="BP814" s="43"/>
      <c r="BQ814" s="43"/>
      <c r="BR814" s="43"/>
      <c r="BS814" s="43"/>
      <c r="BT814" s="43"/>
      <c r="BU814" s="43"/>
      <c r="BV814" s="43"/>
      <c r="BW814" s="43"/>
      <c r="BX814" s="43"/>
      <c r="BY814" s="43"/>
      <c r="B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c r="AE815" s="43"/>
      <c r="AF815" s="43"/>
      <c r="AG815" s="43"/>
      <c r="AH815" s="43"/>
      <c r="AI815" s="43"/>
      <c r="AJ815" s="43"/>
      <c r="AK815" s="43"/>
      <c r="AL815" s="43"/>
      <c r="AM815" s="43"/>
      <c r="AN815" s="43"/>
      <c r="AO815" s="43"/>
      <c r="AP815" s="43"/>
      <c r="AQ815" s="43"/>
      <c r="AR815" s="43"/>
      <c r="AS815" s="43"/>
      <c r="AT815" s="43"/>
      <c r="AU815" s="43"/>
      <c r="AV815" s="43"/>
      <c r="AW815" s="43"/>
      <c r="AX815" s="43"/>
      <c r="AY815" s="43"/>
      <c r="AZ815" s="43"/>
      <c r="BA815" s="43"/>
      <c r="BB815" s="43"/>
      <c r="BC815" s="43"/>
      <c r="BD815" s="43"/>
      <c r="BE815" s="43"/>
      <c r="BF815" s="43"/>
      <c r="BG815" s="43"/>
      <c r="BH815" s="43"/>
      <c r="BI815" s="43"/>
      <c r="BJ815" s="43"/>
      <c r="BK815" s="43"/>
      <c r="BL815" s="43"/>
      <c r="BM815" s="43"/>
      <c r="BN815" s="43"/>
      <c r="BO815" s="43"/>
      <c r="BP815" s="43"/>
      <c r="BQ815" s="43"/>
      <c r="BR815" s="43"/>
      <c r="BS815" s="43"/>
      <c r="BT815" s="43"/>
      <c r="BU815" s="43"/>
      <c r="BV815" s="43"/>
      <c r="BW815" s="43"/>
      <c r="BX815" s="43"/>
      <c r="BY815" s="43"/>
      <c r="B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c r="AE816" s="43"/>
      <c r="AF816" s="43"/>
      <c r="AG816" s="43"/>
      <c r="AH816" s="43"/>
      <c r="AI816" s="43"/>
      <c r="AJ816" s="43"/>
      <c r="AK816" s="43"/>
      <c r="AL816" s="43"/>
      <c r="AM816" s="43"/>
      <c r="AN816" s="43"/>
      <c r="AO816" s="43"/>
      <c r="AP816" s="43"/>
      <c r="AQ816" s="43"/>
      <c r="AR816" s="43"/>
      <c r="AS816" s="43"/>
      <c r="AT816" s="43"/>
      <c r="AU816" s="43"/>
      <c r="AV816" s="43"/>
      <c r="AW816" s="43"/>
      <c r="AX816" s="43"/>
      <c r="AY816" s="43"/>
      <c r="AZ816" s="43"/>
      <c r="BA816" s="43"/>
      <c r="BB816" s="43"/>
      <c r="BC816" s="43"/>
      <c r="BD816" s="43"/>
      <c r="BE816" s="43"/>
      <c r="BF816" s="43"/>
      <c r="BG816" s="43"/>
      <c r="BH816" s="43"/>
      <c r="BI816" s="43"/>
      <c r="BJ816" s="43"/>
      <c r="BK816" s="43"/>
      <c r="BL816" s="43"/>
      <c r="BM816" s="43"/>
      <c r="BN816" s="43"/>
      <c r="BO816" s="43"/>
      <c r="BP816" s="43"/>
      <c r="BQ816" s="43"/>
      <c r="BR816" s="43"/>
      <c r="BS816" s="43"/>
      <c r="BT816" s="43"/>
      <c r="BU816" s="43"/>
      <c r="BV816" s="43"/>
      <c r="BW816" s="43"/>
      <c r="BX816" s="43"/>
      <c r="BY816" s="43"/>
      <c r="B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c r="AE817" s="43"/>
      <c r="AF817" s="43"/>
      <c r="AG817" s="43"/>
      <c r="AH817" s="43"/>
      <c r="AI817" s="43"/>
      <c r="AJ817" s="43"/>
      <c r="AK817" s="43"/>
      <c r="AL817" s="43"/>
      <c r="AM817" s="43"/>
      <c r="AN817" s="43"/>
      <c r="AO817" s="43"/>
      <c r="AP817" s="43"/>
      <c r="AQ817" s="43"/>
      <c r="AR817" s="43"/>
      <c r="AS817" s="43"/>
      <c r="AT817" s="43"/>
      <c r="AU817" s="43"/>
      <c r="AV817" s="43"/>
      <c r="AW817" s="43"/>
      <c r="AX817" s="43"/>
      <c r="AY817" s="43"/>
      <c r="AZ817" s="43"/>
      <c r="BA817" s="43"/>
      <c r="BB817" s="43"/>
      <c r="BC817" s="43"/>
      <c r="BD817" s="43"/>
      <c r="BE817" s="43"/>
      <c r="BF817" s="43"/>
      <c r="BG817" s="43"/>
      <c r="BH817" s="43"/>
      <c r="BI817" s="43"/>
      <c r="BJ817" s="43"/>
      <c r="BK817" s="43"/>
      <c r="BL817" s="43"/>
      <c r="BM817" s="43"/>
      <c r="BN817" s="43"/>
      <c r="BO817" s="43"/>
      <c r="BP817" s="43"/>
      <c r="BQ817" s="43"/>
      <c r="BR817" s="43"/>
      <c r="BS817" s="43"/>
      <c r="BT817" s="43"/>
      <c r="BU817" s="43"/>
      <c r="BV817" s="43"/>
      <c r="BW817" s="43"/>
      <c r="BX817" s="43"/>
      <c r="BY817" s="43"/>
      <c r="B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c r="AE818" s="43"/>
      <c r="AF818" s="43"/>
      <c r="AG818" s="43"/>
      <c r="AH818" s="43"/>
      <c r="AI818" s="43"/>
      <c r="AJ818" s="43"/>
      <c r="AK818" s="43"/>
      <c r="AL818" s="43"/>
      <c r="AM818" s="43"/>
      <c r="AN818" s="43"/>
      <c r="AO818" s="43"/>
      <c r="AP818" s="43"/>
      <c r="AQ818" s="43"/>
      <c r="AR818" s="43"/>
      <c r="AS818" s="43"/>
      <c r="AT818" s="43"/>
      <c r="AU818" s="43"/>
      <c r="AV818" s="43"/>
      <c r="AW818" s="43"/>
      <c r="AX818" s="43"/>
      <c r="AY818" s="43"/>
      <c r="AZ818" s="43"/>
      <c r="BA818" s="43"/>
      <c r="BB818" s="43"/>
      <c r="BC818" s="43"/>
      <c r="BD818" s="43"/>
      <c r="BE818" s="43"/>
      <c r="BF818" s="43"/>
      <c r="BG818" s="43"/>
      <c r="BH818" s="43"/>
      <c r="BI818" s="43"/>
      <c r="BJ818" s="43"/>
      <c r="BK818" s="43"/>
      <c r="BL818" s="43"/>
      <c r="BM818" s="43"/>
      <c r="BN818" s="43"/>
      <c r="BO818" s="43"/>
      <c r="BP818" s="43"/>
      <c r="BQ818" s="43"/>
      <c r="BR818" s="43"/>
      <c r="BS818" s="43"/>
      <c r="BT818" s="43"/>
      <c r="BU818" s="43"/>
      <c r="BV818" s="43"/>
      <c r="BW818" s="43"/>
      <c r="BX818" s="43"/>
      <c r="BY818" s="43"/>
      <c r="B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c r="AE819" s="43"/>
      <c r="AF819" s="43"/>
      <c r="AG819" s="43"/>
      <c r="AH819" s="43"/>
      <c r="AI819" s="43"/>
      <c r="AJ819" s="43"/>
      <c r="AK819" s="43"/>
      <c r="AL819" s="43"/>
      <c r="AM819" s="43"/>
      <c r="AN819" s="43"/>
      <c r="AO819" s="43"/>
      <c r="AP819" s="43"/>
      <c r="AQ819" s="43"/>
      <c r="AR819" s="43"/>
      <c r="AS819" s="43"/>
      <c r="AT819" s="43"/>
      <c r="AU819" s="43"/>
      <c r="AV819" s="43"/>
      <c r="AW819" s="43"/>
      <c r="AX819" s="43"/>
      <c r="AY819" s="43"/>
      <c r="AZ819" s="43"/>
      <c r="BA819" s="43"/>
      <c r="BB819" s="43"/>
      <c r="BC819" s="43"/>
      <c r="BD819" s="43"/>
      <c r="BE819" s="43"/>
      <c r="BF819" s="43"/>
      <c r="BG819" s="43"/>
      <c r="BH819" s="43"/>
      <c r="BI819" s="43"/>
      <c r="BJ819" s="43"/>
      <c r="BK819" s="43"/>
      <c r="BL819" s="43"/>
      <c r="BM819" s="43"/>
      <c r="BN819" s="43"/>
      <c r="BO819" s="43"/>
      <c r="BP819" s="43"/>
      <c r="BQ819" s="43"/>
      <c r="BR819" s="43"/>
      <c r="BS819" s="43"/>
      <c r="BT819" s="43"/>
      <c r="BU819" s="43"/>
      <c r="BV819" s="43"/>
      <c r="BW819" s="43"/>
      <c r="BX819" s="43"/>
      <c r="BY819" s="43"/>
      <c r="B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c r="AE820" s="43"/>
      <c r="AF820" s="43"/>
      <c r="AG820" s="43"/>
      <c r="AH820" s="43"/>
      <c r="AI820" s="43"/>
      <c r="AJ820" s="43"/>
      <c r="AK820" s="43"/>
      <c r="AL820" s="43"/>
      <c r="AM820" s="43"/>
      <c r="AN820" s="43"/>
      <c r="AO820" s="43"/>
      <c r="AP820" s="43"/>
      <c r="AQ820" s="43"/>
      <c r="AR820" s="43"/>
      <c r="AS820" s="43"/>
      <c r="AT820" s="43"/>
      <c r="AU820" s="43"/>
      <c r="AV820" s="43"/>
      <c r="AW820" s="43"/>
      <c r="AX820" s="43"/>
      <c r="AY820" s="43"/>
      <c r="AZ820" s="43"/>
      <c r="BA820" s="43"/>
      <c r="BB820" s="43"/>
      <c r="BC820" s="43"/>
      <c r="BD820" s="43"/>
      <c r="BE820" s="43"/>
      <c r="BF820" s="43"/>
      <c r="BG820" s="43"/>
      <c r="BH820" s="43"/>
      <c r="BI820" s="43"/>
      <c r="BJ820" s="43"/>
      <c r="BK820" s="43"/>
      <c r="BL820" s="43"/>
      <c r="BM820" s="43"/>
      <c r="BN820" s="43"/>
      <c r="BO820" s="43"/>
      <c r="BP820" s="43"/>
      <c r="BQ820" s="43"/>
      <c r="BR820" s="43"/>
      <c r="BS820" s="43"/>
      <c r="BT820" s="43"/>
      <c r="BU820" s="43"/>
      <c r="BV820" s="43"/>
      <c r="BW820" s="43"/>
      <c r="BX820" s="43"/>
      <c r="BY820" s="43"/>
      <c r="B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c r="AE821" s="43"/>
      <c r="AF821" s="43"/>
      <c r="AG821" s="43"/>
      <c r="AH821" s="43"/>
      <c r="AI821" s="43"/>
      <c r="AJ821" s="43"/>
      <c r="AK821" s="43"/>
      <c r="AL821" s="43"/>
      <c r="AM821" s="43"/>
      <c r="AN821" s="43"/>
      <c r="AO821" s="43"/>
      <c r="AP821" s="43"/>
      <c r="AQ821" s="43"/>
      <c r="AR821" s="43"/>
      <c r="AS821" s="43"/>
      <c r="AT821" s="43"/>
      <c r="AU821" s="43"/>
      <c r="AV821" s="43"/>
      <c r="AW821" s="43"/>
      <c r="AX821" s="43"/>
      <c r="AY821" s="43"/>
      <c r="AZ821" s="43"/>
      <c r="BA821" s="43"/>
      <c r="BB821" s="43"/>
      <c r="BC821" s="43"/>
      <c r="BD821" s="43"/>
      <c r="BE821" s="43"/>
      <c r="BF821" s="43"/>
      <c r="BG821" s="43"/>
      <c r="BH821" s="43"/>
      <c r="BI821" s="43"/>
      <c r="BJ821" s="43"/>
      <c r="BK821" s="43"/>
      <c r="BL821" s="43"/>
      <c r="BM821" s="43"/>
      <c r="BN821" s="43"/>
      <c r="BO821" s="43"/>
      <c r="BP821" s="43"/>
      <c r="BQ821" s="43"/>
      <c r="BR821" s="43"/>
      <c r="BS821" s="43"/>
      <c r="BT821" s="43"/>
      <c r="BU821" s="43"/>
      <c r="BV821" s="43"/>
      <c r="BW821" s="43"/>
      <c r="BX821" s="43"/>
      <c r="BY821" s="43"/>
      <c r="B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c r="AE822" s="43"/>
      <c r="AF822" s="43"/>
      <c r="AG822" s="43"/>
      <c r="AH822" s="43"/>
      <c r="AI822" s="43"/>
      <c r="AJ822" s="43"/>
      <c r="AK822" s="43"/>
      <c r="AL822" s="43"/>
      <c r="AM822" s="43"/>
      <c r="AN822" s="43"/>
      <c r="AO822" s="43"/>
      <c r="AP822" s="43"/>
      <c r="AQ822" s="43"/>
      <c r="AR822" s="43"/>
      <c r="AS822" s="43"/>
      <c r="AT822" s="43"/>
      <c r="AU822" s="43"/>
      <c r="AV822" s="43"/>
      <c r="AW822" s="43"/>
      <c r="AX822" s="43"/>
      <c r="AY822" s="43"/>
      <c r="AZ822" s="43"/>
      <c r="BA822" s="43"/>
      <c r="BB822" s="43"/>
      <c r="BC822" s="43"/>
      <c r="BD822" s="43"/>
      <c r="BE822" s="43"/>
      <c r="BF822" s="43"/>
      <c r="BG822" s="43"/>
      <c r="BH822" s="43"/>
      <c r="BI822" s="43"/>
      <c r="BJ822" s="43"/>
      <c r="BK822" s="43"/>
      <c r="BL822" s="43"/>
      <c r="BM822" s="43"/>
      <c r="BN822" s="43"/>
      <c r="BO822" s="43"/>
      <c r="BP822" s="43"/>
      <c r="BQ822" s="43"/>
      <c r="BR822" s="43"/>
      <c r="BS822" s="43"/>
      <c r="BT822" s="43"/>
      <c r="BU822" s="43"/>
      <c r="BV822" s="43"/>
      <c r="BW822" s="43"/>
      <c r="BX822" s="43"/>
      <c r="BY822" s="43"/>
      <c r="B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c r="AE823" s="43"/>
      <c r="AF823" s="43"/>
      <c r="AG823" s="43"/>
      <c r="AH823" s="43"/>
      <c r="AI823" s="43"/>
      <c r="AJ823" s="43"/>
      <c r="AK823" s="43"/>
      <c r="AL823" s="43"/>
      <c r="AM823" s="43"/>
      <c r="AN823" s="43"/>
      <c r="AO823" s="43"/>
      <c r="AP823" s="43"/>
      <c r="AQ823" s="43"/>
      <c r="AR823" s="43"/>
      <c r="AS823" s="43"/>
      <c r="AT823" s="43"/>
      <c r="AU823" s="43"/>
      <c r="AV823" s="43"/>
      <c r="AW823" s="43"/>
      <c r="AX823" s="43"/>
      <c r="AY823" s="43"/>
      <c r="AZ823" s="43"/>
      <c r="BA823" s="43"/>
      <c r="BB823" s="43"/>
      <c r="BC823" s="43"/>
      <c r="BD823" s="43"/>
      <c r="BE823" s="43"/>
      <c r="BF823" s="43"/>
      <c r="BG823" s="43"/>
      <c r="BH823" s="43"/>
      <c r="BI823" s="43"/>
      <c r="BJ823" s="43"/>
      <c r="BK823" s="43"/>
      <c r="BL823" s="43"/>
      <c r="BM823" s="43"/>
      <c r="BN823" s="43"/>
      <c r="BO823" s="43"/>
      <c r="BP823" s="43"/>
      <c r="BQ823" s="43"/>
      <c r="BR823" s="43"/>
      <c r="BS823" s="43"/>
      <c r="BT823" s="43"/>
      <c r="BU823" s="43"/>
      <c r="BV823" s="43"/>
      <c r="BW823" s="43"/>
      <c r="BX823" s="43"/>
      <c r="BY823" s="43"/>
      <c r="B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c r="AE824" s="43"/>
      <c r="AF824" s="43"/>
      <c r="AG824" s="43"/>
      <c r="AH824" s="43"/>
      <c r="AI824" s="43"/>
      <c r="AJ824" s="43"/>
      <c r="AK824" s="43"/>
      <c r="AL824" s="43"/>
      <c r="AM824" s="43"/>
      <c r="AN824" s="43"/>
      <c r="AO824" s="43"/>
      <c r="AP824" s="43"/>
      <c r="AQ824" s="43"/>
      <c r="AR824" s="43"/>
      <c r="AS824" s="43"/>
      <c r="AT824" s="43"/>
      <c r="AU824" s="43"/>
      <c r="AV824" s="43"/>
      <c r="AW824" s="43"/>
      <c r="AX824" s="43"/>
      <c r="AY824" s="43"/>
      <c r="AZ824" s="43"/>
      <c r="BA824" s="43"/>
      <c r="BB824" s="43"/>
      <c r="BC824" s="43"/>
      <c r="BD824" s="43"/>
      <c r="BE824" s="43"/>
      <c r="BF824" s="43"/>
      <c r="BG824" s="43"/>
      <c r="BH824" s="43"/>
      <c r="BI824" s="43"/>
      <c r="BJ824" s="43"/>
      <c r="BK824" s="43"/>
      <c r="BL824" s="43"/>
      <c r="BM824" s="43"/>
      <c r="BN824" s="43"/>
      <c r="BO824" s="43"/>
      <c r="BP824" s="43"/>
      <c r="BQ824" s="43"/>
      <c r="BR824" s="43"/>
      <c r="BS824" s="43"/>
      <c r="BT824" s="43"/>
      <c r="BU824" s="43"/>
      <c r="BV824" s="43"/>
      <c r="BW824" s="43"/>
      <c r="BX824" s="43"/>
      <c r="BY824" s="43"/>
      <c r="B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c r="AE825" s="43"/>
      <c r="AF825" s="43"/>
      <c r="AG825" s="43"/>
      <c r="AH825" s="43"/>
      <c r="AI825" s="43"/>
      <c r="AJ825" s="43"/>
      <c r="AK825" s="43"/>
      <c r="AL825" s="43"/>
      <c r="AM825" s="43"/>
      <c r="AN825" s="43"/>
      <c r="AO825" s="43"/>
      <c r="AP825" s="43"/>
      <c r="AQ825" s="43"/>
      <c r="AR825" s="43"/>
      <c r="AS825" s="43"/>
      <c r="AT825" s="43"/>
      <c r="AU825" s="43"/>
      <c r="AV825" s="43"/>
      <c r="AW825" s="43"/>
      <c r="AX825" s="43"/>
      <c r="AY825" s="43"/>
      <c r="AZ825" s="43"/>
      <c r="BA825" s="43"/>
      <c r="BB825" s="43"/>
      <c r="BC825" s="43"/>
      <c r="BD825" s="43"/>
      <c r="BE825" s="43"/>
      <c r="BF825" s="43"/>
      <c r="BG825" s="43"/>
      <c r="BH825" s="43"/>
      <c r="BI825" s="43"/>
      <c r="BJ825" s="43"/>
      <c r="BK825" s="43"/>
      <c r="BL825" s="43"/>
      <c r="BM825" s="43"/>
      <c r="BN825" s="43"/>
      <c r="BO825" s="43"/>
      <c r="BP825" s="43"/>
      <c r="BQ825" s="43"/>
      <c r="BR825" s="43"/>
      <c r="BS825" s="43"/>
      <c r="BT825" s="43"/>
      <c r="BU825" s="43"/>
      <c r="BV825" s="43"/>
      <c r="BW825" s="43"/>
      <c r="BX825" s="43"/>
      <c r="BY825" s="43"/>
      <c r="B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c r="AE826" s="43"/>
      <c r="AF826" s="43"/>
      <c r="AG826" s="43"/>
      <c r="AH826" s="43"/>
      <c r="AI826" s="43"/>
      <c r="AJ826" s="43"/>
      <c r="AK826" s="43"/>
      <c r="AL826" s="43"/>
      <c r="AM826" s="43"/>
      <c r="AN826" s="43"/>
      <c r="AO826" s="43"/>
      <c r="AP826" s="43"/>
      <c r="AQ826" s="43"/>
      <c r="AR826" s="43"/>
      <c r="AS826" s="43"/>
      <c r="AT826" s="43"/>
      <c r="AU826" s="43"/>
      <c r="AV826" s="43"/>
      <c r="AW826" s="43"/>
      <c r="AX826" s="43"/>
      <c r="AY826" s="43"/>
      <c r="AZ826" s="43"/>
      <c r="BA826" s="43"/>
      <c r="BB826" s="43"/>
      <c r="BC826" s="43"/>
      <c r="BD826" s="43"/>
      <c r="BE826" s="43"/>
      <c r="BF826" s="43"/>
      <c r="BG826" s="43"/>
      <c r="BH826" s="43"/>
      <c r="BI826" s="43"/>
      <c r="BJ826" s="43"/>
      <c r="BK826" s="43"/>
      <c r="BL826" s="43"/>
      <c r="BM826" s="43"/>
      <c r="BN826" s="43"/>
      <c r="BO826" s="43"/>
      <c r="BP826" s="43"/>
      <c r="BQ826" s="43"/>
      <c r="BR826" s="43"/>
      <c r="BS826" s="43"/>
      <c r="BT826" s="43"/>
      <c r="BU826" s="43"/>
      <c r="BV826" s="43"/>
      <c r="BW826" s="43"/>
      <c r="BX826" s="43"/>
      <c r="BY826" s="43"/>
      <c r="B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c r="AE827" s="43"/>
      <c r="AF827" s="43"/>
      <c r="AG827" s="43"/>
      <c r="AH827" s="43"/>
      <c r="AI827" s="43"/>
      <c r="AJ827" s="43"/>
      <c r="AK827" s="43"/>
      <c r="AL827" s="43"/>
      <c r="AM827" s="43"/>
      <c r="AN827" s="43"/>
      <c r="AO827" s="43"/>
      <c r="AP827" s="43"/>
      <c r="AQ827" s="43"/>
      <c r="AR827" s="43"/>
      <c r="AS827" s="43"/>
      <c r="AT827" s="43"/>
      <c r="AU827" s="43"/>
      <c r="AV827" s="43"/>
      <c r="AW827" s="43"/>
      <c r="AX827" s="43"/>
      <c r="AY827" s="43"/>
      <c r="AZ827" s="43"/>
      <c r="BA827" s="43"/>
      <c r="BB827" s="43"/>
      <c r="BC827" s="43"/>
      <c r="BD827" s="43"/>
      <c r="BE827" s="43"/>
      <c r="BF827" s="43"/>
      <c r="BG827" s="43"/>
      <c r="BH827" s="43"/>
      <c r="BI827" s="43"/>
      <c r="BJ827" s="43"/>
      <c r="BK827" s="43"/>
      <c r="BL827" s="43"/>
      <c r="BM827" s="43"/>
      <c r="BN827" s="43"/>
      <c r="BO827" s="43"/>
      <c r="BP827" s="43"/>
      <c r="BQ827" s="43"/>
      <c r="BR827" s="43"/>
      <c r="BS827" s="43"/>
      <c r="BT827" s="43"/>
      <c r="BU827" s="43"/>
      <c r="BV827" s="43"/>
      <c r="BW827" s="43"/>
      <c r="BX827" s="43"/>
      <c r="BY827" s="43"/>
      <c r="B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c r="AE828" s="43"/>
      <c r="AF828" s="43"/>
      <c r="AG828" s="43"/>
      <c r="AH828" s="43"/>
      <c r="AI828" s="43"/>
      <c r="AJ828" s="43"/>
      <c r="AK828" s="43"/>
      <c r="AL828" s="43"/>
      <c r="AM828" s="43"/>
      <c r="AN828" s="43"/>
      <c r="AO828" s="43"/>
      <c r="AP828" s="43"/>
      <c r="AQ828" s="43"/>
      <c r="AR828" s="43"/>
      <c r="AS828" s="43"/>
      <c r="AT828" s="43"/>
      <c r="AU828" s="43"/>
      <c r="AV828" s="43"/>
      <c r="AW828" s="43"/>
      <c r="AX828" s="43"/>
      <c r="AY828" s="43"/>
      <c r="AZ828" s="43"/>
      <c r="BA828" s="43"/>
      <c r="BB828" s="43"/>
      <c r="BC828" s="43"/>
      <c r="BD828" s="43"/>
      <c r="BE828" s="43"/>
      <c r="BF828" s="43"/>
      <c r="BG828" s="43"/>
      <c r="BH828" s="43"/>
      <c r="BI828" s="43"/>
      <c r="BJ828" s="43"/>
      <c r="BK828" s="43"/>
      <c r="BL828" s="43"/>
      <c r="BM828" s="43"/>
      <c r="BN828" s="43"/>
      <c r="BO828" s="43"/>
      <c r="BP828" s="43"/>
      <c r="BQ828" s="43"/>
      <c r="BR828" s="43"/>
      <c r="BS828" s="43"/>
      <c r="BT828" s="43"/>
      <c r="BU828" s="43"/>
      <c r="BV828" s="43"/>
      <c r="BW828" s="43"/>
      <c r="BX828" s="43"/>
      <c r="BY828" s="43"/>
      <c r="B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c r="AE829" s="43"/>
      <c r="AF829" s="43"/>
      <c r="AG829" s="43"/>
      <c r="AH829" s="43"/>
      <c r="AI829" s="43"/>
      <c r="AJ829" s="43"/>
      <c r="AK829" s="43"/>
      <c r="AL829" s="43"/>
      <c r="AM829" s="43"/>
      <c r="AN829" s="43"/>
      <c r="AO829" s="43"/>
      <c r="AP829" s="43"/>
      <c r="AQ829" s="43"/>
      <c r="AR829" s="43"/>
      <c r="AS829" s="43"/>
      <c r="AT829" s="43"/>
      <c r="AU829" s="43"/>
      <c r="AV829" s="43"/>
      <c r="AW829" s="43"/>
      <c r="AX829" s="43"/>
      <c r="AY829" s="43"/>
      <c r="AZ829" s="43"/>
      <c r="BA829" s="43"/>
      <c r="BB829" s="43"/>
      <c r="BC829" s="43"/>
      <c r="BD829" s="43"/>
      <c r="BE829" s="43"/>
      <c r="BF829" s="43"/>
      <c r="BG829" s="43"/>
      <c r="BH829" s="43"/>
      <c r="BI829" s="43"/>
      <c r="BJ829" s="43"/>
      <c r="BK829" s="43"/>
      <c r="BL829" s="43"/>
      <c r="BM829" s="43"/>
      <c r="BN829" s="43"/>
      <c r="BO829" s="43"/>
      <c r="BP829" s="43"/>
      <c r="BQ829" s="43"/>
      <c r="BR829" s="43"/>
      <c r="BS829" s="43"/>
      <c r="BT829" s="43"/>
      <c r="BU829" s="43"/>
      <c r="BV829" s="43"/>
      <c r="BW829" s="43"/>
      <c r="BX829" s="43"/>
      <c r="BY829" s="43"/>
      <c r="B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c r="AE830" s="43"/>
      <c r="AF830" s="43"/>
      <c r="AG830" s="43"/>
      <c r="AH830" s="43"/>
      <c r="AI830" s="43"/>
      <c r="AJ830" s="43"/>
      <c r="AK830" s="43"/>
      <c r="AL830" s="43"/>
      <c r="AM830" s="43"/>
      <c r="AN830" s="43"/>
      <c r="AO830" s="43"/>
      <c r="AP830" s="43"/>
      <c r="AQ830" s="43"/>
      <c r="AR830" s="43"/>
      <c r="AS830" s="43"/>
      <c r="AT830" s="43"/>
      <c r="AU830" s="43"/>
      <c r="AV830" s="43"/>
      <c r="AW830" s="43"/>
      <c r="AX830" s="43"/>
      <c r="AY830" s="43"/>
      <c r="AZ830" s="43"/>
      <c r="BA830" s="43"/>
      <c r="BB830" s="43"/>
      <c r="BC830" s="43"/>
      <c r="BD830" s="43"/>
      <c r="BE830" s="43"/>
      <c r="BF830" s="43"/>
      <c r="BG830" s="43"/>
      <c r="BH830" s="43"/>
      <c r="BI830" s="43"/>
      <c r="BJ830" s="43"/>
      <c r="BK830" s="43"/>
      <c r="BL830" s="43"/>
      <c r="BM830" s="43"/>
      <c r="BN830" s="43"/>
      <c r="BO830" s="43"/>
      <c r="BP830" s="43"/>
      <c r="BQ830" s="43"/>
      <c r="BR830" s="43"/>
      <c r="BS830" s="43"/>
      <c r="BT830" s="43"/>
      <c r="BU830" s="43"/>
      <c r="BV830" s="43"/>
      <c r="BW830" s="43"/>
      <c r="BX830" s="43"/>
      <c r="BY830" s="43"/>
      <c r="B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c r="AE831" s="43"/>
      <c r="AF831" s="43"/>
      <c r="AG831" s="43"/>
      <c r="AH831" s="43"/>
      <c r="AI831" s="43"/>
      <c r="AJ831" s="43"/>
      <c r="AK831" s="43"/>
      <c r="AL831" s="43"/>
      <c r="AM831" s="43"/>
      <c r="AN831" s="43"/>
      <c r="AO831" s="43"/>
      <c r="AP831" s="43"/>
      <c r="AQ831" s="43"/>
      <c r="AR831" s="43"/>
      <c r="AS831" s="43"/>
      <c r="AT831" s="43"/>
      <c r="AU831" s="43"/>
      <c r="AV831" s="43"/>
      <c r="AW831" s="43"/>
      <c r="AX831" s="43"/>
      <c r="AY831" s="43"/>
      <c r="AZ831" s="43"/>
      <c r="BA831" s="43"/>
      <c r="BB831" s="43"/>
      <c r="BC831" s="43"/>
      <c r="BD831" s="43"/>
      <c r="BE831" s="43"/>
      <c r="BF831" s="43"/>
      <c r="BG831" s="43"/>
      <c r="BH831" s="43"/>
      <c r="BI831" s="43"/>
      <c r="BJ831" s="43"/>
      <c r="BK831" s="43"/>
      <c r="BL831" s="43"/>
      <c r="BM831" s="43"/>
      <c r="BN831" s="43"/>
      <c r="BO831" s="43"/>
      <c r="BP831" s="43"/>
      <c r="BQ831" s="43"/>
      <c r="BR831" s="43"/>
      <c r="BS831" s="43"/>
      <c r="BT831" s="43"/>
      <c r="BU831" s="43"/>
      <c r="BV831" s="43"/>
      <c r="BW831" s="43"/>
      <c r="BX831" s="43"/>
      <c r="BY831" s="43"/>
      <c r="B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c r="AE832" s="43"/>
      <c r="AF832" s="43"/>
      <c r="AG832" s="43"/>
      <c r="AH832" s="43"/>
      <c r="AI832" s="43"/>
      <c r="AJ832" s="43"/>
      <c r="AK832" s="43"/>
      <c r="AL832" s="43"/>
      <c r="AM832" s="43"/>
      <c r="AN832" s="43"/>
      <c r="AO832" s="43"/>
      <c r="AP832" s="43"/>
      <c r="AQ832" s="43"/>
      <c r="AR832" s="43"/>
      <c r="AS832" s="43"/>
      <c r="AT832" s="43"/>
      <c r="AU832" s="43"/>
      <c r="AV832" s="43"/>
      <c r="AW832" s="43"/>
      <c r="AX832" s="43"/>
      <c r="AY832" s="43"/>
      <c r="AZ832" s="43"/>
      <c r="BA832" s="43"/>
      <c r="BB832" s="43"/>
      <c r="BC832" s="43"/>
      <c r="BD832" s="43"/>
      <c r="BE832" s="43"/>
      <c r="BF832" s="43"/>
      <c r="BG832" s="43"/>
      <c r="BH832" s="43"/>
      <c r="BI832" s="43"/>
      <c r="BJ832" s="43"/>
      <c r="BK832" s="43"/>
      <c r="BL832" s="43"/>
      <c r="BM832" s="43"/>
      <c r="BN832" s="43"/>
      <c r="BO832" s="43"/>
      <c r="BP832" s="43"/>
      <c r="BQ832" s="43"/>
      <c r="BR832" s="43"/>
      <c r="BS832" s="43"/>
      <c r="BT832" s="43"/>
      <c r="BU832" s="43"/>
      <c r="BV832" s="43"/>
      <c r="BW832" s="43"/>
      <c r="BX832" s="43"/>
      <c r="BY832" s="43"/>
      <c r="B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c r="AE833" s="43"/>
      <c r="AF833" s="43"/>
      <c r="AG833" s="43"/>
      <c r="AH833" s="43"/>
      <c r="AI833" s="43"/>
      <c r="AJ833" s="43"/>
      <c r="AK833" s="43"/>
      <c r="AL833" s="43"/>
      <c r="AM833" s="43"/>
      <c r="AN833" s="43"/>
      <c r="AO833" s="43"/>
      <c r="AP833" s="43"/>
      <c r="AQ833" s="43"/>
      <c r="AR833" s="43"/>
      <c r="AS833" s="43"/>
      <c r="AT833" s="43"/>
      <c r="AU833" s="43"/>
      <c r="AV833" s="43"/>
      <c r="AW833" s="43"/>
      <c r="AX833" s="43"/>
      <c r="AY833" s="43"/>
      <c r="AZ833" s="43"/>
      <c r="BA833" s="43"/>
      <c r="BB833" s="43"/>
      <c r="BC833" s="43"/>
      <c r="BD833" s="43"/>
      <c r="BE833" s="43"/>
      <c r="BF833" s="43"/>
      <c r="BG833" s="43"/>
      <c r="BH833" s="43"/>
      <c r="BI833" s="43"/>
      <c r="BJ833" s="43"/>
      <c r="BK833" s="43"/>
      <c r="BL833" s="43"/>
      <c r="BM833" s="43"/>
      <c r="BN833" s="43"/>
      <c r="BO833" s="43"/>
      <c r="BP833" s="43"/>
      <c r="BQ833" s="43"/>
      <c r="BR833" s="43"/>
      <c r="BS833" s="43"/>
      <c r="BT833" s="43"/>
      <c r="BU833" s="43"/>
      <c r="BV833" s="43"/>
      <c r="BW833" s="43"/>
      <c r="BX833" s="43"/>
      <c r="BY833" s="43"/>
      <c r="B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c r="AE834" s="43"/>
      <c r="AF834" s="43"/>
      <c r="AG834" s="43"/>
      <c r="AH834" s="43"/>
      <c r="AI834" s="43"/>
      <c r="AJ834" s="43"/>
      <c r="AK834" s="43"/>
      <c r="AL834" s="43"/>
      <c r="AM834" s="43"/>
      <c r="AN834" s="43"/>
      <c r="AO834" s="43"/>
      <c r="AP834" s="43"/>
      <c r="AQ834" s="43"/>
      <c r="AR834" s="43"/>
      <c r="AS834" s="43"/>
      <c r="AT834" s="43"/>
      <c r="AU834" s="43"/>
      <c r="AV834" s="43"/>
      <c r="AW834" s="43"/>
      <c r="AX834" s="43"/>
      <c r="AY834" s="43"/>
      <c r="AZ834" s="43"/>
      <c r="BA834" s="43"/>
      <c r="BB834" s="43"/>
      <c r="BC834" s="43"/>
      <c r="BD834" s="43"/>
      <c r="BE834" s="43"/>
      <c r="BF834" s="43"/>
      <c r="BG834" s="43"/>
      <c r="BH834" s="43"/>
      <c r="BI834" s="43"/>
      <c r="BJ834" s="43"/>
      <c r="BK834" s="43"/>
      <c r="BL834" s="43"/>
      <c r="BM834" s="43"/>
      <c r="BN834" s="43"/>
      <c r="BO834" s="43"/>
      <c r="BP834" s="43"/>
      <c r="BQ834" s="43"/>
      <c r="BR834" s="43"/>
      <c r="BS834" s="43"/>
      <c r="BT834" s="43"/>
      <c r="BU834" s="43"/>
      <c r="BV834" s="43"/>
      <c r="BW834" s="43"/>
      <c r="BX834" s="43"/>
      <c r="BY834" s="43"/>
      <c r="B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c r="AE835" s="43"/>
      <c r="AF835" s="43"/>
      <c r="AG835" s="43"/>
      <c r="AH835" s="43"/>
      <c r="AI835" s="43"/>
      <c r="AJ835" s="43"/>
      <c r="AK835" s="43"/>
      <c r="AL835" s="43"/>
      <c r="AM835" s="43"/>
      <c r="AN835" s="43"/>
      <c r="AO835" s="43"/>
      <c r="AP835" s="43"/>
      <c r="AQ835" s="43"/>
      <c r="AR835" s="43"/>
      <c r="AS835" s="43"/>
      <c r="AT835" s="43"/>
      <c r="AU835" s="43"/>
      <c r="AV835" s="43"/>
      <c r="AW835" s="43"/>
      <c r="AX835" s="43"/>
      <c r="AY835" s="43"/>
      <c r="AZ835" s="43"/>
      <c r="BA835" s="43"/>
      <c r="BB835" s="43"/>
      <c r="BC835" s="43"/>
      <c r="BD835" s="43"/>
      <c r="BE835" s="43"/>
      <c r="BF835" s="43"/>
      <c r="BG835" s="43"/>
      <c r="BH835" s="43"/>
      <c r="BI835" s="43"/>
      <c r="BJ835" s="43"/>
      <c r="BK835" s="43"/>
      <c r="BL835" s="43"/>
      <c r="BM835" s="43"/>
      <c r="BN835" s="43"/>
      <c r="BO835" s="43"/>
      <c r="BP835" s="43"/>
      <c r="BQ835" s="43"/>
      <c r="BR835" s="43"/>
      <c r="BS835" s="43"/>
      <c r="BT835" s="43"/>
      <c r="BU835" s="43"/>
      <c r="BV835" s="43"/>
      <c r="BW835" s="43"/>
      <c r="BX835" s="43"/>
      <c r="BY835" s="43"/>
      <c r="B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J836" s="43"/>
      <c r="AK836" s="43"/>
      <c r="AL836" s="43"/>
      <c r="AM836" s="43"/>
      <c r="AN836" s="43"/>
      <c r="AO836" s="43"/>
      <c r="AP836" s="43"/>
      <c r="AQ836" s="43"/>
      <c r="AR836" s="43"/>
      <c r="AS836" s="43"/>
      <c r="AT836" s="43"/>
      <c r="AU836" s="43"/>
      <c r="AV836" s="43"/>
      <c r="AW836" s="43"/>
      <c r="AX836" s="43"/>
      <c r="AY836" s="43"/>
      <c r="AZ836" s="43"/>
      <c r="BA836" s="43"/>
      <c r="BB836" s="43"/>
      <c r="BC836" s="43"/>
      <c r="BD836" s="43"/>
      <c r="BE836" s="43"/>
      <c r="BF836" s="43"/>
      <c r="BG836" s="43"/>
      <c r="BH836" s="43"/>
      <c r="BI836" s="43"/>
      <c r="BJ836" s="43"/>
      <c r="BK836" s="43"/>
      <c r="BL836" s="43"/>
      <c r="BM836" s="43"/>
      <c r="BN836" s="43"/>
      <c r="BO836" s="43"/>
      <c r="BP836" s="43"/>
      <c r="BQ836" s="43"/>
      <c r="BR836" s="43"/>
      <c r="BS836" s="43"/>
      <c r="BT836" s="43"/>
      <c r="BU836" s="43"/>
      <c r="BV836" s="43"/>
      <c r="BW836" s="43"/>
      <c r="BX836" s="43"/>
      <c r="BY836" s="43"/>
      <c r="B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c r="AZ837" s="43"/>
      <c r="BA837" s="43"/>
      <c r="BB837" s="43"/>
      <c r="BC837" s="43"/>
      <c r="BD837" s="43"/>
      <c r="BE837" s="43"/>
      <c r="BF837" s="43"/>
      <c r="BG837" s="43"/>
      <c r="BH837" s="43"/>
      <c r="BI837" s="43"/>
      <c r="BJ837" s="43"/>
      <c r="BK837" s="43"/>
      <c r="BL837" s="43"/>
      <c r="BM837" s="43"/>
      <c r="BN837" s="43"/>
      <c r="BO837" s="43"/>
      <c r="BP837" s="43"/>
      <c r="BQ837" s="43"/>
      <c r="BR837" s="43"/>
      <c r="BS837" s="43"/>
      <c r="BT837" s="43"/>
      <c r="BU837" s="43"/>
      <c r="BV837" s="43"/>
      <c r="BW837" s="43"/>
      <c r="BX837" s="43"/>
      <c r="BY837" s="43"/>
      <c r="B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c r="AE838" s="43"/>
      <c r="AF838" s="43"/>
      <c r="AG838" s="43"/>
      <c r="AH838" s="43"/>
      <c r="AI838" s="43"/>
      <c r="AJ838" s="43"/>
      <c r="AK838" s="43"/>
      <c r="AL838" s="43"/>
      <c r="AM838" s="43"/>
      <c r="AN838" s="43"/>
      <c r="AO838" s="43"/>
      <c r="AP838" s="43"/>
      <c r="AQ838" s="43"/>
      <c r="AR838" s="43"/>
      <c r="AS838" s="43"/>
      <c r="AT838" s="43"/>
      <c r="AU838" s="43"/>
      <c r="AV838" s="43"/>
      <c r="AW838" s="43"/>
      <c r="AX838" s="43"/>
      <c r="AY838" s="43"/>
      <c r="AZ838" s="43"/>
      <c r="BA838" s="43"/>
      <c r="BB838" s="43"/>
      <c r="BC838" s="43"/>
      <c r="BD838" s="43"/>
      <c r="BE838" s="43"/>
      <c r="BF838" s="43"/>
      <c r="BG838" s="43"/>
      <c r="BH838" s="43"/>
      <c r="BI838" s="43"/>
      <c r="BJ838" s="43"/>
      <c r="BK838" s="43"/>
      <c r="BL838" s="43"/>
      <c r="BM838" s="43"/>
      <c r="BN838" s="43"/>
      <c r="BO838" s="43"/>
      <c r="BP838" s="43"/>
      <c r="BQ838" s="43"/>
      <c r="BR838" s="43"/>
      <c r="BS838" s="43"/>
      <c r="BT838" s="43"/>
      <c r="BU838" s="43"/>
      <c r="BV838" s="43"/>
      <c r="BW838" s="43"/>
      <c r="BX838" s="43"/>
      <c r="BY838" s="43"/>
      <c r="B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c r="AE839" s="43"/>
      <c r="AF839" s="43"/>
      <c r="AG839" s="43"/>
      <c r="AH839" s="43"/>
      <c r="AI839" s="43"/>
      <c r="AJ839" s="43"/>
      <c r="AK839" s="43"/>
      <c r="AL839" s="43"/>
      <c r="AM839" s="43"/>
      <c r="AN839" s="43"/>
      <c r="AO839" s="43"/>
      <c r="AP839" s="43"/>
      <c r="AQ839" s="43"/>
      <c r="AR839" s="43"/>
      <c r="AS839" s="43"/>
      <c r="AT839" s="43"/>
      <c r="AU839" s="43"/>
      <c r="AV839" s="43"/>
      <c r="AW839" s="43"/>
      <c r="AX839" s="43"/>
      <c r="AY839" s="43"/>
      <c r="AZ839" s="43"/>
      <c r="BA839" s="43"/>
      <c r="BB839" s="43"/>
      <c r="BC839" s="43"/>
      <c r="BD839" s="43"/>
      <c r="BE839" s="43"/>
      <c r="BF839" s="43"/>
      <c r="BG839" s="43"/>
      <c r="BH839" s="43"/>
      <c r="BI839" s="43"/>
      <c r="BJ839" s="43"/>
      <c r="BK839" s="43"/>
      <c r="BL839" s="43"/>
      <c r="BM839" s="43"/>
      <c r="BN839" s="43"/>
      <c r="BO839" s="43"/>
      <c r="BP839" s="43"/>
      <c r="BQ839" s="43"/>
      <c r="BR839" s="43"/>
      <c r="BS839" s="43"/>
      <c r="BT839" s="43"/>
      <c r="BU839" s="43"/>
      <c r="BV839" s="43"/>
      <c r="BW839" s="43"/>
      <c r="BX839" s="43"/>
      <c r="BY839" s="43"/>
      <c r="B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c r="AE840" s="43"/>
      <c r="AF840" s="43"/>
      <c r="AG840" s="43"/>
      <c r="AH840" s="43"/>
      <c r="AI840" s="43"/>
      <c r="AJ840" s="43"/>
      <c r="AK840" s="43"/>
      <c r="AL840" s="43"/>
      <c r="AM840" s="43"/>
      <c r="AN840" s="43"/>
      <c r="AO840" s="43"/>
      <c r="AP840" s="43"/>
      <c r="AQ840" s="43"/>
      <c r="AR840" s="43"/>
      <c r="AS840" s="43"/>
      <c r="AT840" s="43"/>
      <c r="AU840" s="43"/>
      <c r="AV840" s="43"/>
      <c r="AW840" s="43"/>
      <c r="AX840" s="43"/>
      <c r="AY840" s="43"/>
      <c r="AZ840" s="43"/>
      <c r="BA840" s="43"/>
      <c r="BB840" s="43"/>
      <c r="BC840" s="43"/>
      <c r="BD840" s="43"/>
      <c r="BE840" s="43"/>
      <c r="BF840" s="43"/>
      <c r="BG840" s="43"/>
      <c r="BH840" s="43"/>
      <c r="BI840" s="43"/>
      <c r="BJ840" s="43"/>
      <c r="BK840" s="43"/>
      <c r="BL840" s="43"/>
      <c r="BM840" s="43"/>
      <c r="BN840" s="43"/>
      <c r="BO840" s="43"/>
      <c r="BP840" s="43"/>
      <c r="BQ840" s="43"/>
      <c r="BR840" s="43"/>
      <c r="BS840" s="43"/>
      <c r="BT840" s="43"/>
      <c r="BU840" s="43"/>
      <c r="BV840" s="43"/>
      <c r="BW840" s="43"/>
      <c r="BX840" s="43"/>
      <c r="BY840" s="43"/>
      <c r="B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c r="AE841" s="43"/>
      <c r="AF841" s="43"/>
      <c r="AG841" s="43"/>
      <c r="AH841" s="43"/>
      <c r="AI841" s="43"/>
      <c r="AJ841" s="43"/>
      <c r="AK841" s="43"/>
      <c r="AL841" s="43"/>
      <c r="AM841" s="43"/>
      <c r="AN841" s="43"/>
      <c r="AO841" s="43"/>
      <c r="AP841" s="43"/>
      <c r="AQ841" s="43"/>
      <c r="AR841" s="43"/>
      <c r="AS841" s="43"/>
      <c r="AT841" s="43"/>
      <c r="AU841" s="43"/>
      <c r="AV841" s="43"/>
      <c r="AW841" s="43"/>
      <c r="AX841" s="43"/>
      <c r="AY841" s="43"/>
      <c r="AZ841" s="43"/>
      <c r="BA841" s="43"/>
      <c r="BB841" s="43"/>
      <c r="BC841" s="43"/>
      <c r="BD841" s="43"/>
      <c r="BE841" s="43"/>
      <c r="BF841" s="43"/>
      <c r="BG841" s="43"/>
      <c r="BH841" s="43"/>
      <c r="BI841" s="43"/>
      <c r="BJ841" s="43"/>
      <c r="BK841" s="43"/>
      <c r="BL841" s="43"/>
      <c r="BM841" s="43"/>
      <c r="BN841" s="43"/>
      <c r="BO841" s="43"/>
      <c r="BP841" s="43"/>
      <c r="BQ841" s="43"/>
      <c r="BR841" s="43"/>
      <c r="BS841" s="43"/>
      <c r="BT841" s="43"/>
      <c r="BU841" s="43"/>
      <c r="BV841" s="43"/>
      <c r="BW841" s="43"/>
      <c r="BX841" s="43"/>
      <c r="BY841" s="43"/>
      <c r="B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c r="AE842" s="43"/>
      <c r="AF842" s="43"/>
      <c r="AG842" s="43"/>
      <c r="AH842" s="43"/>
      <c r="AI842" s="43"/>
      <c r="AJ842" s="43"/>
      <c r="AK842" s="43"/>
      <c r="AL842" s="43"/>
      <c r="AM842" s="43"/>
      <c r="AN842" s="43"/>
      <c r="AO842" s="43"/>
      <c r="AP842" s="43"/>
      <c r="AQ842" s="43"/>
      <c r="AR842" s="43"/>
      <c r="AS842" s="43"/>
      <c r="AT842" s="43"/>
      <c r="AU842" s="43"/>
      <c r="AV842" s="43"/>
      <c r="AW842" s="43"/>
      <c r="AX842" s="43"/>
      <c r="AY842" s="43"/>
      <c r="AZ842" s="43"/>
      <c r="BA842" s="43"/>
      <c r="BB842" s="43"/>
      <c r="BC842" s="43"/>
      <c r="BD842" s="43"/>
      <c r="BE842" s="43"/>
      <c r="BF842" s="43"/>
      <c r="BG842" s="43"/>
      <c r="BH842" s="43"/>
      <c r="BI842" s="43"/>
      <c r="BJ842" s="43"/>
      <c r="BK842" s="43"/>
      <c r="BL842" s="43"/>
      <c r="BM842" s="43"/>
      <c r="BN842" s="43"/>
      <c r="BO842" s="43"/>
      <c r="BP842" s="43"/>
      <c r="BQ842" s="43"/>
      <c r="BR842" s="43"/>
      <c r="BS842" s="43"/>
      <c r="BT842" s="43"/>
      <c r="BU842" s="43"/>
      <c r="BV842" s="43"/>
      <c r="BW842" s="43"/>
      <c r="BX842" s="43"/>
      <c r="BY842" s="43"/>
      <c r="B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c r="AE843" s="43"/>
      <c r="AF843" s="43"/>
      <c r="AG843" s="43"/>
      <c r="AH843" s="43"/>
      <c r="AI843" s="43"/>
      <c r="AJ843" s="43"/>
      <c r="AK843" s="43"/>
      <c r="AL843" s="43"/>
      <c r="AM843" s="43"/>
      <c r="AN843" s="43"/>
      <c r="AO843" s="43"/>
      <c r="AP843" s="43"/>
      <c r="AQ843" s="43"/>
      <c r="AR843" s="43"/>
      <c r="AS843" s="43"/>
      <c r="AT843" s="43"/>
      <c r="AU843" s="43"/>
      <c r="AV843" s="43"/>
      <c r="AW843" s="43"/>
      <c r="AX843" s="43"/>
      <c r="AY843" s="43"/>
      <c r="AZ843" s="43"/>
      <c r="BA843" s="43"/>
      <c r="BB843" s="43"/>
      <c r="BC843" s="43"/>
      <c r="BD843" s="43"/>
      <c r="BE843" s="43"/>
      <c r="BF843" s="43"/>
      <c r="BG843" s="43"/>
      <c r="BH843" s="43"/>
      <c r="BI843" s="43"/>
      <c r="BJ843" s="43"/>
      <c r="BK843" s="43"/>
      <c r="BL843" s="43"/>
      <c r="BM843" s="43"/>
      <c r="BN843" s="43"/>
      <c r="BO843" s="43"/>
      <c r="BP843" s="43"/>
      <c r="BQ843" s="43"/>
      <c r="BR843" s="43"/>
      <c r="BS843" s="43"/>
      <c r="BT843" s="43"/>
      <c r="BU843" s="43"/>
      <c r="BV843" s="43"/>
      <c r="BW843" s="43"/>
      <c r="BX843" s="43"/>
      <c r="BY843" s="43"/>
      <c r="B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c r="AE844" s="43"/>
      <c r="AF844" s="43"/>
      <c r="AG844" s="43"/>
      <c r="AH844" s="43"/>
      <c r="AI844" s="43"/>
      <c r="AJ844" s="43"/>
      <c r="AK844" s="43"/>
      <c r="AL844" s="43"/>
      <c r="AM844" s="43"/>
      <c r="AN844" s="43"/>
      <c r="AO844" s="43"/>
      <c r="AP844" s="43"/>
      <c r="AQ844" s="43"/>
      <c r="AR844" s="43"/>
      <c r="AS844" s="43"/>
      <c r="AT844" s="43"/>
      <c r="AU844" s="43"/>
      <c r="AV844" s="43"/>
      <c r="AW844" s="43"/>
      <c r="AX844" s="43"/>
      <c r="AY844" s="43"/>
      <c r="AZ844" s="43"/>
      <c r="BA844" s="43"/>
      <c r="BB844" s="43"/>
      <c r="BC844" s="43"/>
      <c r="BD844" s="43"/>
      <c r="BE844" s="43"/>
      <c r="BF844" s="43"/>
      <c r="BG844" s="43"/>
      <c r="BH844" s="43"/>
      <c r="BI844" s="43"/>
      <c r="BJ844" s="43"/>
      <c r="BK844" s="43"/>
      <c r="BL844" s="43"/>
      <c r="BM844" s="43"/>
      <c r="BN844" s="43"/>
      <c r="BO844" s="43"/>
      <c r="BP844" s="43"/>
      <c r="BQ844" s="43"/>
      <c r="BR844" s="43"/>
      <c r="BS844" s="43"/>
      <c r="BT844" s="43"/>
      <c r="BU844" s="43"/>
      <c r="BV844" s="43"/>
      <c r="BW844" s="43"/>
      <c r="BX844" s="43"/>
      <c r="BY844" s="43"/>
      <c r="B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c r="AE845" s="43"/>
      <c r="AF845" s="43"/>
      <c r="AG845" s="43"/>
      <c r="AH845" s="43"/>
      <c r="AI845" s="43"/>
      <c r="AJ845" s="43"/>
      <c r="AK845" s="43"/>
      <c r="AL845" s="43"/>
      <c r="AM845" s="43"/>
      <c r="AN845" s="43"/>
      <c r="AO845" s="43"/>
      <c r="AP845" s="43"/>
      <c r="AQ845" s="43"/>
      <c r="AR845" s="43"/>
      <c r="AS845" s="43"/>
      <c r="AT845" s="43"/>
      <c r="AU845" s="43"/>
      <c r="AV845" s="43"/>
      <c r="AW845" s="43"/>
      <c r="AX845" s="43"/>
      <c r="AY845" s="43"/>
      <c r="AZ845" s="43"/>
      <c r="BA845" s="43"/>
      <c r="BB845" s="43"/>
      <c r="BC845" s="43"/>
      <c r="BD845" s="43"/>
      <c r="BE845" s="43"/>
      <c r="BF845" s="43"/>
      <c r="BG845" s="43"/>
      <c r="BH845" s="43"/>
      <c r="BI845" s="43"/>
      <c r="BJ845" s="43"/>
      <c r="BK845" s="43"/>
      <c r="BL845" s="43"/>
      <c r="BM845" s="43"/>
      <c r="BN845" s="43"/>
      <c r="BO845" s="43"/>
      <c r="BP845" s="43"/>
      <c r="BQ845" s="43"/>
      <c r="BR845" s="43"/>
      <c r="BS845" s="43"/>
      <c r="BT845" s="43"/>
      <c r="BU845" s="43"/>
      <c r="BV845" s="43"/>
      <c r="BW845" s="43"/>
      <c r="BX845" s="43"/>
      <c r="BY845" s="43"/>
      <c r="B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c r="AE846" s="43"/>
      <c r="AF846" s="43"/>
      <c r="AG846" s="43"/>
      <c r="AH846" s="43"/>
      <c r="AI846" s="43"/>
      <c r="AJ846" s="43"/>
      <c r="AK846" s="43"/>
      <c r="AL846" s="43"/>
      <c r="AM846" s="43"/>
      <c r="AN846" s="43"/>
      <c r="AO846" s="43"/>
      <c r="AP846" s="43"/>
      <c r="AQ846" s="43"/>
      <c r="AR846" s="43"/>
      <c r="AS846" s="43"/>
      <c r="AT846" s="43"/>
      <c r="AU846" s="43"/>
      <c r="AV846" s="43"/>
      <c r="AW846" s="43"/>
      <c r="AX846" s="43"/>
      <c r="AY846" s="43"/>
      <c r="AZ846" s="43"/>
      <c r="BA846" s="43"/>
      <c r="BB846" s="43"/>
      <c r="BC846" s="43"/>
      <c r="BD846" s="43"/>
      <c r="BE846" s="43"/>
      <c r="BF846" s="43"/>
      <c r="BG846" s="43"/>
      <c r="BH846" s="43"/>
      <c r="BI846" s="43"/>
      <c r="BJ846" s="43"/>
      <c r="BK846" s="43"/>
      <c r="BL846" s="43"/>
      <c r="BM846" s="43"/>
      <c r="BN846" s="43"/>
      <c r="BO846" s="43"/>
      <c r="BP846" s="43"/>
      <c r="BQ846" s="43"/>
      <c r="BR846" s="43"/>
      <c r="BS846" s="43"/>
      <c r="BT846" s="43"/>
      <c r="BU846" s="43"/>
      <c r="BV846" s="43"/>
      <c r="BW846" s="43"/>
      <c r="BX846" s="43"/>
      <c r="BY846" s="43"/>
      <c r="B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c r="AE847" s="43"/>
      <c r="AF847" s="43"/>
      <c r="AG847" s="43"/>
      <c r="AH847" s="43"/>
      <c r="AI847" s="43"/>
      <c r="AJ847" s="43"/>
      <c r="AK847" s="43"/>
      <c r="AL847" s="43"/>
      <c r="AM847" s="43"/>
      <c r="AN847" s="43"/>
      <c r="AO847" s="43"/>
      <c r="AP847" s="43"/>
      <c r="AQ847" s="43"/>
      <c r="AR847" s="43"/>
      <c r="AS847" s="43"/>
      <c r="AT847" s="43"/>
      <c r="AU847" s="43"/>
      <c r="AV847" s="43"/>
      <c r="AW847" s="43"/>
      <c r="AX847" s="43"/>
      <c r="AY847" s="43"/>
      <c r="AZ847" s="43"/>
      <c r="BA847" s="43"/>
      <c r="BB847" s="43"/>
      <c r="BC847" s="43"/>
      <c r="BD847" s="43"/>
      <c r="BE847" s="43"/>
      <c r="BF847" s="43"/>
      <c r="BG847" s="43"/>
      <c r="BH847" s="43"/>
      <c r="BI847" s="43"/>
      <c r="BJ847" s="43"/>
      <c r="BK847" s="43"/>
      <c r="BL847" s="43"/>
      <c r="BM847" s="43"/>
      <c r="BN847" s="43"/>
      <c r="BO847" s="43"/>
      <c r="BP847" s="43"/>
      <c r="BQ847" s="43"/>
      <c r="BR847" s="43"/>
      <c r="BS847" s="43"/>
      <c r="BT847" s="43"/>
      <c r="BU847" s="43"/>
      <c r="BV847" s="43"/>
      <c r="BW847" s="43"/>
      <c r="BX847" s="43"/>
      <c r="BY847" s="43"/>
      <c r="B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c r="AE848" s="43"/>
      <c r="AF848" s="43"/>
      <c r="AG848" s="43"/>
      <c r="AH848" s="43"/>
      <c r="AI848" s="43"/>
      <c r="AJ848" s="43"/>
      <c r="AK848" s="43"/>
      <c r="AL848" s="43"/>
      <c r="AM848" s="43"/>
      <c r="AN848" s="43"/>
      <c r="AO848" s="43"/>
      <c r="AP848" s="43"/>
      <c r="AQ848" s="43"/>
      <c r="AR848" s="43"/>
      <c r="AS848" s="43"/>
      <c r="AT848" s="43"/>
      <c r="AU848" s="43"/>
      <c r="AV848" s="43"/>
      <c r="AW848" s="43"/>
      <c r="AX848" s="43"/>
      <c r="AY848" s="43"/>
      <c r="AZ848" s="43"/>
      <c r="BA848" s="43"/>
      <c r="BB848" s="43"/>
      <c r="BC848" s="43"/>
      <c r="BD848" s="43"/>
      <c r="BE848" s="43"/>
      <c r="BF848" s="43"/>
      <c r="BG848" s="43"/>
      <c r="BH848" s="43"/>
      <c r="BI848" s="43"/>
      <c r="BJ848" s="43"/>
      <c r="BK848" s="43"/>
      <c r="BL848" s="43"/>
      <c r="BM848" s="43"/>
      <c r="BN848" s="43"/>
      <c r="BO848" s="43"/>
      <c r="BP848" s="43"/>
      <c r="BQ848" s="43"/>
      <c r="BR848" s="43"/>
      <c r="BS848" s="43"/>
      <c r="BT848" s="43"/>
      <c r="BU848" s="43"/>
      <c r="BV848" s="43"/>
      <c r="BW848" s="43"/>
      <c r="BX848" s="43"/>
      <c r="BY848" s="43"/>
      <c r="B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c r="AE849" s="43"/>
      <c r="AF849" s="43"/>
      <c r="AG849" s="43"/>
      <c r="AH849" s="43"/>
      <c r="AI849" s="43"/>
      <c r="AJ849" s="43"/>
      <c r="AK849" s="43"/>
      <c r="AL849" s="43"/>
      <c r="AM849" s="43"/>
      <c r="AN849" s="43"/>
      <c r="AO849" s="43"/>
      <c r="AP849" s="43"/>
      <c r="AQ849" s="43"/>
      <c r="AR849" s="43"/>
      <c r="AS849" s="43"/>
      <c r="AT849" s="43"/>
      <c r="AU849" s="43"/>
      <c r="AV849" s="43"/>
      <c r="AW849" s="43"/>
      <c r="AX849" s="43"/>
      <c r="AY849" s="43"/>
      <c r="AZ849" s="43"/>
      <c r="BA849" s="43"/>
      <c r="BB849" s="43"/>
      <c r="BC849" s="43"/>
      <c r="BD849" s="43"/>
      <c r="BE849" s="43"/>
      <c r="BF849" s="43"/>
      <c r="BG849" s="43"/>
      <c r="BH849" s="43"/>
      <c r="BI849" s="43"/>
      <c r="BJ849" s="43"/>
      <c r="BK849" s="43"/>
      <c r="BL849" s="43"/>
      <c r="BM849" s="43"/>
      <c r="BN849" s="43"/>
      <c r="BO849" s="43"/>
      <c r="BP849" s="43"/>
      <c r="BQ849" s="43"/>
      <c r="BR849" s="43"/>
      <c r="BS849" s="43"/>
      <c r="BT849" s="43"/>
      <c r="BU849" s="43"/>
      <c r="BV849" s="43"/>
      <c r="BW849" s="43"/>
      <c r="BX849" s="43"/>
      <c r="BY849" s="43"/>
      <c r="B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c r="AE850" s="43"/>
      <c r="AF850" s="43"/>
      <c r="AG850" s="43"/>
      <c r="AH850" s="43"/>
      <c r="AI850" s="43"/>
      <c r="AJ850" s="43"/>
      <c r="AK850" s="43"/>
      <c r="AL850" s="43"/>
      <c r="AM850" s="43"/>
      <c r="AN850" s="43"/>
      <c r="AO850" s="43"/>
      <c r="AP850" s="43"/>
      <c r="AQ850" s="43"/>
      <c r="AR850" s="43"/>
      <c r="AS850" s="43"/>
      <c r="AT850" s="43"/>
      <c r="AU850" s="43"/>
      <c r="AV850" s="43"/>
      <c r="AW850" s="43"/>
      <c r="AX850" s="43"/>
      <c r="AY850" s="43"/>
      <c r="AZ850" s="43"/>
      <c r="BA850" s="43"/>
      <c r="BB850" s="43"/>
      <c r="BC850" s="43"/>
      <c r="BD850" s="43"/>
      <c r="BE850" s="43"/>
      <c r="BF850" s="43"/>
      <c r="BG850" s="43"/>
      <c r="BH850" s="43"/>
      <c r="BI850" s="43"/>
      <c r="BJ850" s="43"/>
      <c r="BK850" s="43"/>
      <c r="BL850" s="43"/>
      <c r="BM850" s="43"/>
      <c r="BN850" s="43"/>
      <c r="BO850" s="43"/>
      <c r="BP850" s="43"/>
      <c r="BQ850" s="43"/>
      <c r="BR850" s="43"/>
      <c r="BS850" s="43"/>
      <c r="BT850" s="43"/>
      <c r="BU850" s="43"/>
      <c r="BV850" s="43"/>
      <c r="BW850" s="43"/>
      <c r="BX850" s="43"/>
      <c r="BY850" s="43"/>
      <c r="B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c r="AE851" s="43"/>
      <c r="AF851" s="43"/>
      <c r="AG851" s="43"/>
      <c r="AH851" s="43"/>
      <c r="AI851" s="43"/>
      <c r="AJ851" s="43"/>
      <c r="AK851" s="43"/>
      <c r="AL851" s="43"/>
      <c r="AM851" s="43"/>
      <c r="AN851" s="43"/>
      <c r="AO851" s="43"/>
      <c r="AP851" s="43"/>
      <c r="AQ851" s="43"/>
      <c r="AR851" s="43"/>
      <c r="AS851" s="43"/>
      <c r="AT851" s="43"/>
      <c r="AU851" s="43"/>
      <c r="AV851" s="43"/>
      <c r="AW851" s="43"/>
      <c r="AX851" s="43"/>
      <c r="AY851" s="43"/>
      <c r="AZ851" s="43"/>
      <c r="BA851" s="43"/>
      <c r="BB851" s="43"/>
      <c r="BC851" s="43"/>
      <c r="BD851" s="43"/>
      <c r="BE851" s="43"/>
      <c r="BF851" s="43"/>
      <c r="BG851" s="43"/>
      <c r="BH851" s="43"/>
      <c r="BI851" s="43"/>
      <c r="BJ851" s="43"/>
      <c r="BK851" s="43"/>
      <c r="BL851" s="43"/>
      <c r="BM851" s="43"/>
      <c r="BN851" s="43"/>
      <c r="BO851" s="43"/>
      <c r="BP851" s="43"/>
      <c r="BQ851" s="43"/>
      <c r="BR851" s="43"/>
      <c r="BS851" s="43"/>
      <c r="BT851" s="43"/>
      <c r="BU851" s="43"/>
      <c r="BV851" s="43"/>
      <c r="BW851" s="43"/>
      <c r="BX851" s="43"/>
      <c r="BY851" s="43"/>
      <c r="B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c r="AE852" s="43"/>
      <c r="AF852" s="43"/>
      <c r="AG852" s="43"/>
      <c r="AH852" s="43"/>
      <c r="AI852" s="43"/>
      <c r="AJ852" s="43"/>
      <c r="AK852" s="43"/>
      <c r="AL852" s="43"/>
      <c r="AM852" s="43"/>
      <c r="AN852" s="43"/>
      <c r="AO852" s="43"/>
      <c r="AP852" s="43"/>
      <c r="AQ852" s="43"/>
      <c r="AR852" s="43"/>
      <c r="AS852" s="43"/>
      <c r="AT852" s="43"/>
      <c r="AU852" s="43"/>
      <c r="AV852" s="43"/>
      <c r="AW852" s="43"/>
      <c r="AX852" s="43"/>
      <c r="AY852" s="43"/>
      <c r="AZ852" s="43"/>
      <c r="BA852" s="43"/>
      <c r="BB852" s="43"/>
      <c r="BC852" s="43"/>
      <c r="BD852" s="43"/>
      <c r="BE852" s="43"/>
      <c r="BF852" s="43"/>
      <c r="BG852" s="43"/>
      <c r="BH852" s="43"/>
      <c r="BI852" s="43"/>
      <c r="BJ852" s="43"/>
      <c r="BK852" s="43"/>
      <c r="BL852" s="43"/>
      <c r="BM852" s="43"/>
      <c r="BN852" s="43"/>
      <c r="BO852" s="43"/>
      <c r="BP852" s="43"/>
      <c r="BQ852" s="43"/>
      <c r="BR852" s="43"/>
      <c r="BS852" s="43"/>
      <c r="BT852" s="43"/>
      <c r="BU852" s="43"/>
      <c r="BV852" s="43"/>
      <c r="BW852" s="43"/>
      <c r="BX852" s="43"/>
      <c r="BY852" s="43"/>
      <c r="B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c r="AE853" s="43"/>
      <c r="AF853" s="43"/>
      <c r="AG853" s="43"/>
      <c r="AH853" s="43"/>
      <c r="AI853" s="43"/>
      <c r="AJ853" s="43"/>
      <c r="AK853" s="43"/>
      <c r="AL853" s="43"/>
      <c r="AM853" s="43"/>
      <c r="AN853" s="43"/>
      <c r="AO853" s="43"/>
      <c r="AP853" s="43"/>
      <c r="AQ853" s="43"/>
      <c r="AR853" s="43"/>
      <c r="AS853" s="43"/>
      <c r="AT853" s="43"/>
      <c r="AU853" s="43"/>
      <c r="AV853" s="43"/>
      <c r="AW853" s="43"/>
      <c r="AX853" s="43"/>
      <c r="AY853" s="43"/>
      <c r="AZ853" s="43"/>
      <c r="BA853" s="43"/>
      <c r="BB853" s="43"/>
      <c r="BC853" s="43"/>
      <c r="BD853" s="43"/>
      <c r="BE853" s="43"/>
      <c r="BF853" s="43"/>
      <c r="BG853" s="43"/>
      <c r="BH853" s="43"/>
      <c r="BI853" s="43"/>
      <c r="BJ853" s="43"/>
      <c r="BK853" s="43"/>
      <c r="BL853" s="43"/>
      <c r="BM853" s="43"/>
      <c r="BN853" s="43"/>
      <c r="BO853" s="43"/>
      <c r="BP853" s="43"/>
      <c r="BQ853" s="43"/>
      <c r="BR853" s="43"/>
      <c r="BS853" s="43"/>
      <c r="BT853" s="43"/>
      <c r="BU853" s="43"/>
      <c r="BV853" s="43"/>
      <c r="BW853" s="43"/>
      <c r="BX853" s="43"/>
      <c r="BY853" s="43"/>
      <c r="B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c r="AE854" s="43"/>
      <c r="AF854" s="43"/>
      <c r="AG854" s="43"/>
      <c r="AH854" s="43"/>
      <c r="AI854" s="43"/>
      <c r="AJ854" s="43"/>
      <c r="AK854" s="43"/>
      <c r="AL854" s="43"/>
      <c r="AM854" s="43"/>
      <c r="AN854" s="43"/>
      <c r="AO854" s="43"/>
      <c r="AP854" s="43"/>
      <c r="AQ854" s="43"/>
      <c r="AR854" s="43"/>
      <c r="AS854" s="43"/>
      <c r="AT854" s="43"/>
      <c r="AU854" s="43"/>
      <c r="AV854" s="43"/>
      <c r="AW854" s="43"/>
      <c r="AX854" s="43"/>
      <c r="AY854" s="43"/>
      <c r="AZ854" s="43"/>
      <c r="BA854" s="43"/>
      <c r="BB854" s="43"/>
      <c r="BC854" s="43"/>
      <c r="BD854" s="43"/>
      <c r="BE854" s="43"/>
      <c r="BF854" s="43"/>
      <c r="BG854" s="43"/>
      <c r="BH854" s="43"/>
      <c r="BI854" s="43"/>
      <c r="BJ854" s="43"/>
      <c r="BK854" s="43"/>
      <c r="BL854" s="43"/>
      <c r="BM854" s="43"/>
      <c r="BN854" s="43"/>
      <c r="BO854" s="43"/>
      <c r="BP854" s="43"/>
      <c r="BQ854" s="43"/>
      <c r="BR854" s="43"/>
      <c r="BS854" s="43"/>
      <c r="BT854" s="43"/>
      <c r="BU854" s="43"/>
      <c r="BV854" s="43"/>
      <c r="BW854" s="43"/>
      <c r="BX854" s="43"/>
      <c r="BY854" s="43"/>
      <c r="B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c r="AE855" s="43"/>
      <c r="AF855" s="43"/>
      <c r="AG855" s="43"/>
      <c r="AH855" s="43"/>
      <c r="AI855" s="43"/>
      <c r="AJ855" s="43"/>
      <c r="AK855" s="43"/>
      <c r="AL855" s="43"/>
      <c r="AM855" s="43"/>
      <c r="AN855" s="43"/>
      <c r="AO855" s="43"/>
      <c r="AP855" s="43"/>
      <c r="AQ855" s="43"/>
      <c r="AR855" s="43"/>
      <c r="AS855" s="43"/>
      <c r="AT855" s="43"/>
      <c r="AU855" s="43"/>
      <c r="AV855" s="43"/>
      <c r="AW855" s="43"/>
      <c r="AX855" s="43"/>
      <c r="AY855" s="43"/>
      <c r="AZ855" s="43"/>
      <c r="BA855" s="43"/>
      <c r="BB855" s="43"/>
      <c r="BC855" s="43"/>
      <c r="BD855" s="43"/>
      <c r="BE855" s="43"/>
      <c r="BF855" s="43"/>
      <c r="BG855" s="43"/>
      <c r="BH855" s="43"/>
      <c r="BI855" s="43"/>
      <c r="BJ855" s="43"/>
      <c r="BK855" s="43"/>
      <c r="BL855" s="43"/>
      <c r="BM855" s="43"/>
      <c r="BN855" s="43"/>
      <c r="BO855" s="43"/>
      <c r="BP855" s="43"/>
      <c r="BQ855" s="43"/>
      <c r="BR855" s="43"/>
      <c r="BS855" s="43"/>
      <c r="BT855" s="43"/>
      <c r="BU855" s="43"/>
      <c r="BV855" s="43"/>
      <c r="BW855" s="43"/>
      <c r="BX855" s="43"/>
      <c r="BY855" s="43"/>
      <c r="B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c r="AE856" s="43"/>
      <c r="AF856" s="43"/>
      <c r="AG856" s="43"/>
      <c r="AH856" s="43"/>
      <c r="AI856" s="43"/>
      <c r="AJ856" s="43"/>
      <c r="AK856" s="43"/>
      <c r="AL856" s="43"/>
      <c r="AM856" s="43"/>
      <c r="AN856" s="43"/>
      <c r="AO856" s="43"/>
      <c r="AP856" s="43"/>
      <c r="AQ856" s="43"/>
      <c r="AR856" s="43"/>
      <c r="AS856" s="43"/>
      <c r="AT856" s="43"/>
      <c r="AU856" s="43"/>
      <c r="AV856" s="43"/>
      <c r="AW856" s="43"/>
      <c r="AX856" s="43"/>
      <c r="AY856" s="43"/>
      <c r="AZ856" s="43"/>
      <c r="BA856" s="43"/>
      <c r="BB856" s="43"/>
      <c r="BC856" s="43"/>
      <c r="BD856" s="43"/>
      <c r="BE856" s="43"/>
      <c r="BF856" s="43"/>
      <c r="BG856" s="43"/>
      <c r="BH856" s="43"/>
      <c r="BI856" s="43"/>
      <c r="BJ856" s="43"/>
      <c r="BK856" s="43"/>
      <c r="BL856" s="43"/>
      <c r="BM856" s="43"/>
      <c r="BN856" s="43"/>
      <c r="BO856" s="43"/>
      <c r="BP856" s="43"/>
      <c r="BQ856" s="43"/>
      <c r="BR856" s="43"/>
      <c r="BS856" s="43"/>
      <c r="BT856" s="43"/>
      <c r="BU856" s="43"/>
      <c r="BV856" s="43"/>
      <c r="BW856" s="43"/>
      <c r="BX856" s="43"/>
      <c r="BY856" s="43"/>
      <c r="B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c r="AE857" s="43"/>
      <c r="AF857" s="43"/>
      <c r="AG857" s="43"/>
      <c r="AH857" s="43"/>
      <c r="AI857" s="43"/>
      <c r="AJ857" s="43"/>
      <c r="AK857" s="43"/>
      <c r="AL857" s="43"/>
      <c r="AM857" s="43"/>
      <c r="AN857" s="43"/>
      <c r="AO857" s="43"/>
      <c r="AP857" s="43"/>
      <c r="AQ857" s="43"/>
      <c r="AR857" s="43"/>
      <c r="AS857" s="43"/>
      <c r="AT857" s="43"/>
      <c r="AU857" s="43"/>
      <c r="AV857" s="43"/>
      <c r="AW857" s="43"/>
      <c r="AX857" s="43"/>
      <c r="AY857" s="43"/>
      <c r="AZ857" s="43"/>
      <c r="BA857" s="43"/>
      <c r="BB857" s="43"/>
      <c r="BC857" s="43"/>
      <c r="BD857" s="43"/>
      <c r="BE857" s="43"/>
      <c r="BF857" s="43"/>
      <c r="BG857" s="43"/>
      <c r="BH857" s="43"/>
      <c r="BI857" s="43"/>
      <c r="BJ857" s="43"/>
      <c r="BK857" s="43"/>
      <c r="BL857" s="43"/>
      <c r="BM857" s="43"/>
      <c r="BN857" s="43"/>
      <c r="BO857" s="43"/>
      <c r="BP857" s="43"/>
      <c r="BQ857" s="43"/>
      <c r="BR857" s="43"/>
      <c r="BS857" s="43"/>
      <c r="BT857" s="43"/>
      <c r="BU857" s="43"/>
      <c r="BV857" s="43"/>
      <c r="BW857" s="43"/>
      <c r="BX857" s="43"/>
      <c r="BY857" s="43"/>
      <c r="B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c r="AE858" s="43"/>
      <c r="AF858" s="43"/>
      <c r="AG858" s="43"/>
      <c r="AH858" s="43"/>
      <c r="AI858" s="43"/>
      <c r="AJ858" s="43"/>
      <c r="AK858" s="43"/>
      <c r="AL858" s="43"/>
      <c r="AM858" s="43"/>
      <c r="AN858" s="43"/>
      <c r="AO858" s="43"/>
      <c r="AP858" s="43"/>
      <c r="AQ858" s="43"/>
      <c r="AR858" s="43"/>
      <c r="AS858" s="43"/>
      <c r="AT858" s="43"/>
      <c r="AU858" s="43"/>
      <c r="AV858" s="43"/>
      <c r="AW858" s="43"/>
      <c r="AX858" s="43"/>
      <c r="AY858" s="43"/>
      <c r="AZ858" s="43"/>
      <c r="BA858" s="43"/>
      <c r="BB858" s="43"/>
      <c r="BC858" s="43"/>
      <c r="BD858" s="43"/>
      <c r="BE858" s="43"/>
      <c r="BF858" s="43"/>
      <c r="BG858" s="43"/>
      <c r="BH858" s="43"/>
      <c r="BI858" s="43"/>
      <c r="BJ858" s="43"/>
      <c r="BK858" s="43"/>
      <c r="BL858" s="43"/>
      <c r="BM858" s="43"/>
      <c r="BN858" s="43"/>
      <c r="BO858" s="43"/>
      <c r="BP858" s="43"/>
      <c r="BQ858" s="43"/>
      <c r="BR858" s="43"/>
      <c r="BS858" s="43"/>
      <c r="BT858" s="43"/>
      <c r="BU858" s="43"/>
      <c r="BV858" s="43"/>
      <c r="BW858" s="43"/>
      <c r="BX858" s="43"/>
      <c r="BY858" s="43"/>
      <c r="B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c r="AE859" s="43"/>
      <c r="AF859" s="43"/>
      <c r="AG859" s="43"/>
      <c r="AH859" s="43"/>
      <c r="AI859" s="43"/>
      <c r="AJ859" s="43"/>
      <c r="AK859" s="43"/>
      <c r="AL859" s="43"/>
      <c r="AM859" s="43"/>
      <c r="AN859" s="43"/>
      <c r="AO859" s="43"/>
      <c r="AP859" s="43"/>
      <c r="AQ859" s="43"/>
      <c r="AR859" s="43"/>
      <c r="AS859" s="43"/>
      <c r="AT859" s="43"/>
      <c r="AU859" s="43"/>
      <c r="AV859" s="43"/>
      <c r="AW859" s="43"/>
      <c r="AX859" s="43"/>
      <c r="AY859" s="43"/>
      <c r="AZ859" s="43"/>
      <c r="BA859" s="43"/>
      <c r="BB859" s="43"/>
      <c r="BC859" s="43"/>
      <c r="BD859" s="43"/>
      <c r="BE859" s="43"/>
      <c r="BF859" s="43"/>
      <c r="BG859" s="43"/>
      <c r="BH859" s="43"/>
      <c r="BI859" s="43"/>
      <c r="BJ859" s="43"/>
      <c r="BK859" s="43"/>
      <c r="BL859" s="43"/>
      <c r="BM859" s="43"/>
      <c r="BN859" s="43"/>
      <c r="BO859" s="43"/>
      <c r="BP859" s="43"/>
      <c r="BQ859" s="43"/>
      <c r="BR859" s="43"/>
      <c r="BS859" s="43"/>
      <c r="BT859" s="43"/>
      <c r="BU859" s="43"/>
      <c r="BV859" s="43"/>
      <c r="BW859" s="43"/>
      <c r="BX859" s="43"/>
      <c r="BY859" s="43"/>
      <c r="B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c r="AE860" s="43"/>
      <c r="AF860" s="43"/>
      <c r="AG860" s="43"/>
      <c r="AH860" s="43"/>
      <c r="AI860" s="43"/>
      <c r="AJ860" s="43"/>
      <c r="AK860" s="43"/>
      <c r="AL860" s="43"/>
      <c r="AM860" s="43"/>
      <c r="AN860" s="43"/>
      <c r="AO860" s="43"/>
      <c r="AP860" s="43"/>
      <c r="AQ860" s="43"/>
      <c r="AR860" s="43"/>
      <c r="AS860" s="43"/>
      <c r="AT860" s="43"/>
      <c r="AU860" s="43"/>
      <c r="AV860" s="43"/>
      <c r="AW860" s="43"/>
      <c r="AX860" s="43"/>
      <c r="AY860" s="43"/>
      <c r="AZ860" s="43"/>
      <c r="BA860" s="43"/>
      <c r="BB860" s="43"/>
      <c r="BC860" s="43"/>
      <c r="BD860" s="43"/>
      <c r="BE860" s="43"/>
      <c r="BF860" s="43"/>
      <c r="BG860" s="43"/>
      <c r="BH860" s="43"/>
      <c r="BI860" s="43"/>
      <c r="BJ860" s="43"/>
      <c r="BK860" s="43"/>
      <c r="BL860" s="43"/>
      <c r="BM860" s="43"/>
      <c r="BN860" s="43"/>
      <c r="BO860" s="43"/>
      <c r="BP860" s="43"/>
      <c r="BQ860" s="43"/>
      <c r="BR860" s="43"/>
      <c r="BS860" s="43"/>
      <c r="BT860" s="43"/>
      <c r="BU860" s="43"/>
      <c r="BV860" s="43"/>
      <c r="BW860" s="43"/>
      <c r="BX860" s="43"/>
      <c r="BY860" s="43"/>
      <c r="B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c r="AE861" s="43"/>
      <c r="AF861" s="43"/>
      <c r="AG861" s="43"/>
      <c r="AH861" s="43"/>
      <c r="AI861" s="43"/>
      <c r="AJ861" s="43"/>
      <c r="AK861" s="43"/>
      <c r="AL861" s="43"/>
      <c r="AM861" s="43"/>
      <c r="AN861" s="43"/>
      <c r="AO861" s="43"/>
      <c r="AP861" s="43"/>
      <c r="AQ861" s="43"/>
      <c r="AR861" s="43"/>
      <c r="AS861" s="43"/>
      <c r="AT861" s="43"/>
      <c r="AU861" s="43"/>
      <c r="AV861" s="43"/>
      <c r="AW861" s="43"/>
      <c r="AX861" s="43"/>
      <c r="AY861" s="43"/>
      <c r="AZ861" s="43"/>
      <c r="BA861" s="43"/>
      <c r="BB861" s="43"/>
      <c r="BC861" s="43"/>
      <c r="BD861" s="43"/>
      <c r="BE861" s="43"/>
      <c r="BF861" s="43"/>
      <c r="BG861" s="43"/>
      <c r="BH861" s="43"/>
      <c r="BI861" s="43"/>
      <c r="BJ861" s="43"/>
      <c r="BK861" s="43"/>
      <c r="BL861" s="43"/>
      <c r="BM861" s="43"/>
      <c r="BN861" s="43"/>
      <c r="BO861" s="43"/>
      <c r="BP861" s="43"/>
      <c r="BQ861" s="43"/>
      <c r="BR861" s="43"/>
      <c r="BS861" s="43"/>
      <c r="BT861" s="43"/>
      <c r="BU861" s="43"/>
      <c r="BV861" s="43"/>
      <c r="BW861" s="43"/>
      <c r="BX861" s="43"/>
      <c r="BY861" s="43"/>
      <c r="B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c r="AE862" s="43"/>
      <c r="AF862" s="43"/>
      <c r="AG862" s="43"/>
      <c r="AH862" s="43"/>
      <c r="AI862" s="43"/>
      <c r="AJ862" s="43"/>
      <c r="AK862" s="43"/>
      <c r="AL862" s="43"/>
      <c r="AM862" s="43"/>
      <c r="AN862" s="43"/>
      <c r="AO862" s="43"/>
      <c r="AP862" s="43"/>
      <c r="AQ862" s="43"/>
      <c r="AR862" s="43"/>
      <c r="AS862" s="43"/>
      <c r="AT862" s="43"/>
      <c r="AU862" s="43"/>
      <c r="AV862" s="43"/>
      <c r="AW862" s="43"/>
      <c r="AX862" s="43"/>
      <c r="AY862" s="43"/>
      <c r="AZ862" s="43"/>
      <c r="BA862" s="43"/>
      <c r="BB862" s="43"/>
      <c r="BC862" s="43"/>
      <c r="BD862" s="43"/>
      <c r="BE862" s="43"/>
      <c r="BF862" s="43"/>
      <c r="BG862" s="43"/>
      <c r="BH862" s="43"/>
      <c r="BI862" s="43"/>
      <c r="BJ862" s="43"/>
      <c r="BK862" s="43"/>
      <c r="BL862" s="43"/>
      <c r="BM862" s="43"/>
      <c r="BN862" s="43"/>
      <c r="BO862" s="43"/>
      <c r="BP862" s="43"/>
      <c r="BQ862" s="43"/>
      <c r="BR862" s="43"/>
      <c r="BS862" s="43"/>
      <c r="BT862" s="43"/>
      <c r="BU862" s="43"/>
      <c r="BV862" s="43"/>
      <c r="BW862" s="43"/>
      <c r="BX862" s="43"/>
      <c r="BY862" s="43"/>
      <c r="B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c r="AE863" s="43"/>
      <c r="AF863" s="43"/>
      <c r="AG863" s="43"/>
      <c r="AH863" s="43"/>
      <c r="AI863" s="43"/>
      <c r="AJ863" s="43"/>
      <c r="AK863" s="43"/>
      <c r="AL863" s="43"/>
      <c r="AM863" s="43"/>
      <c r="AN863" s="43"/>
      <c r="AO863" s="43"/>
      <c r="AP863" s="43"/>
      <c r="AQ863" s="43"/>
      <c r="AR863" s="43"/>
      <c r="AS863" s="43"/>
      <c r="AT863" s="43"/>
      <c r="AU863" s="43"/>
      <c r="AV863" s="43"/>
      <c r="AW863" s="43"/>
      <c r="AX863" s="43"/>
      <c r="AY863" s="43"/>
      <c r="AZ863" s="43"/>
      <c r="BA863" s="43"/>
      <c r="BB863" s="43"/>
      <c r="BC863" s="43"/>
      <c r="BD863" s="43"/>
      <c r="BE863" s="43"/>
      <c r="BF863" s="43"/>
      <c r="BG863" s="43"/>
      <c r="BH863" s="43"/>
      <c r="BI863" s="43"/>
      <c r="BJ863" s="43"/>
      <c r="BK863" s="43"/>
      <c r="BL863" s="43"/>
      <c r="BM863" s="43"/>
      <c r="BN863" s="43"/>
      <c r="BO863" s="43"/>
      <c r="BP863" s="43"/>
      <c r="BQ863" s="43"/>
      <c r="BR863" s="43"/>
      <c r="BS863" s="43"/>
      <c r="BT863" s="43"/>
      <c r="BU863" s="43"/>
      <c r="BV863" s="43"/>
      <c r="BW863" s="43"/>
      <c r="BX863" s="43"/>
      <c r="BY863" s="43"/>
      <c r="B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c r="AE864" s="43"/>
      <c r="AF864" s="43"/>
      <c r="AG864" s="43"/>
      <c r="AH864" s="43"/>
      <c r="AI864" s="43"/>
      <c r="AJ864" s="43"/>
      <c r="AK864" s="43"/>
      <c r="AL864" s="43"/>
      <c r="AM864" s="43"/>
      <c r="AN864" s="43"/>
      <c r="AO864" s="43"/>
      <c r="AP864" s="43"/>
      <c r="AQ864" s="43"/>
      <c r="AR864" s="43"/>
      <c r="AS864" s="43"/>
      <c r="AT864" s="43"/>
      <c r="AU864" s="43"/>
      <c r="AV864" s="43"/>
      <c r="AW864" s="43"/>
      <c r="AX864" s="43"/>
      <c r="AY864" s="43"/>
      <c r="AZ864" s="43"/>
      <c r="BA864" s="43"/>
      <c r="BB864" s="43"/>
      <c r="BC864" s="43"/>
      <c r="BD864" s="43"/>
      <c r="BE864" s="43"/>
      <c r="BF864" s="43"/>
      <c r="BG864" s="43"/>
      <c r="BH864" s="43"/>
      <c r="BI864" s="43"/>
      <c r="BJ864" s="43"/>
      <c r="BK864" s="43"/>
      <c r="BL864" s="43"/>
      <c r="BM864" s="43"/>
      <c r="BN864" s="43"/>
      <c r="BO864" s="43"/>
      <c r="BP864" s="43"/>
      <c r="BQ864" s="43"/>
      <c r="BR864" s="43"/>
      <c r="BS864" s="43"/>
      <c r="BT864" s="43"/>
      <c r="BU864" s="43"/>
      <c r="BV864" s="43"/>
      <c r="BW864" s="43"/>
      <c r="BX864" s="43"/>
      <c r="BY864" s="43"/>
      <c r="B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c r="AE865" s="43"/>
      <c r="AF865" s="43"/>
      <c r="AG865" s="43"/>
      <c r="AH865" s="43"/>
      <c r="AI865" s="43"/>
      <c r="AJ865" s="43"/>
      <c r="AK865" s="43"/>
      <c r="AL865" s="43"/>
      <c r="AM865" s="43"/>
      <c r="AN865" s="43"/>
      <c r="AO865" s="43"/>
      <c r="AP865" s="43"/>
      <c r="AQ865" s="43"/>
      <c r="AR865" s="43"/>
      <c r="AS865" s="43"/>
      <c r="AT865" s="43"/>
      <c r="AU865" s="43"/>
      <c r="AV865" s="43"/>
      <c r="AW865" s="43"/>
      <c r="AX865" s="43"/>
      <c r="AY865" s="43"/>
      <c r="AZ865" s="43"/>
      <c r="BA865" s="43"/>
      <c r="BB865" s="43"/>
      <c r="BC865" s="43"/>
      <c r="BD865" s="43"/>
      <c r="BE865" s="43"/>
      <c r="BF865" s="43"/>
      <c r="BG865" s="43"/>
      <c r="BH865" s="43"/>
      <c r="BI865" s="43"/>
      <c r="BJ865" s="43"/>
      <c r="BK865" s="43"/>
      <c r="BL865" s="43"/>
      <c r="BM865" s="43"/>
      <c r="BN865" s="43"/>
      <c r="BO865" s="43"/>
      <c r="BP865" s="43"/>
      <c r="BQ865" s="43"/>
      <c r="BR865" s="43"/>
      <c r="BS865" s="43"/>
      <c r="BT865" s="43"/>
      <c r="BU865" s="43"/>
      <c r="BV865" s="43"/>
      <c r="BW865" s="43"/>
      <c r="BX865" s="43"/>
      <c r="BY865" s="43"/>
      <c r="B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c r="AE866" s="43"/>
      <c r="AF866" s="43"/>
      <c r="AG866" s="43"/>
      <c r="AH866" s="43"/>
      <c r="AI866" s="43"/>
      <c r="AJ866" s="43"/>
      <c r="AK866" s="43"/>
      <c r="AL866" s="43"/>
      <c r="AM866" s="43"/>
      <c r="AN866" s="43"/>
      <c r="AO866" s="43"/>
      <c r="AP866" s="43"/>
      <c r="AQ866" s="43"/>
      <c r="AR866" s="43"/>
      <c r="AS866" s="43"/>
      <c r="AT866" s="43"/>
      <c r="AU866" s="43"/>
      <c r="AV866" s="43"/>
      <c r="AW866" s="43"/>
      <c r="AX866" s="43"/>
      <c r="AY866" s="43"/>
      <c r="AZ866" s="43"/>
      <c r="BA866" s="43"/>
      <c r="BB866" s="43"/>
      <c r="BC866" s="43"/>
      <c r="BD866" s="43"/>
      <c r="BE866" s="43"/>
      <c r="BF866" s="43"/>
      <c r="BG866" s="43"/>
      <c r="BH866" s="43"/>
      <c r="BI866" s="43"/>
      <c r="BJ866" s="43"/>
      <c r="BK866" s="43"/>
      <c r="BL866" s="43"/>
      <c r="BM866" s="43"/>
      <c r="BN866" s="43"/>
      <c r="BO866" s="43"/>
      <c r="BP866" s="43"/>
      <c r="BQ866" s="43"/>
      <c r="BR866" s="43"/>
      <c r="BS866" s="43"/>
      <c r="BT866" s="43"/>
      <c r="BU866" s="43"/>
      <c r="BV866" s="43"/>
      <c r="BW866" s="43"/>
      <c r="BX866" s="43"/>
      <c r="BY866" s="43"/>
      <c r="B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c r="AE867" s="43"/>
      <c r="AF867" s="43"/>
      <c r="AG867" s="43"/>
      <c r="AH867" s="43"/>
      <c r="AI867" s="43"/>
      <c r="AJ867" s="43"/>
      <c r="AK867" s="43"/>
      <c r="AL867" s="43"/>
      <c r="AM867" s="43"/>
      <c r="AN867" s="43"/>
      <c r="AO867" s="43"/>
      <c r="AP867" s="43"/>
      <c r="AQ867" s="43"/>
      <c r="AR867" s="43"/>
      <c r="AS867" s="43"/>
      <c r="AT867" s="43"/>
      <c r="AU867" s="43"/>
      <c r="AV867" s="43"/>
      <c r="AW867" s="43"/>
      <c r="AX867" s="43"/>
      <c r="AY867" s="43"/>
      <c r="AZ867" s="43"/>
      <c r="BA867" s="43"/>
      <c r="BB867" s="43"/>
      <c r="BC867" s="43"/>
      <c r="BD867" s="43"/>
      <c r="BE867" s="43"/>
      <c r="BF867" s="43"/>
      <c r="BG867" s="43"/>
      <c r="BH867" s="43"/>
      <c r="BI867" s="43"/>
      <c r="BJ867" s="43"/>
      <c r="BK867" s="43"/>
      <c r="BL867" s="43"/>
      <c r="BM867" s="43"/>
      <c r="BN867" s="43"/>
      <c r="BO867" s="43"/>
      <c r="BP867" s="43"/>
      <c r="BQ867" s="43"/>
      <c r="BR867" s="43"/>
      <c r="BS867" s="43"/>
      <c r="BT867" s="43"/>
      <c r="BU867" s="43"/>
      <c r="BV867" s="43"/>
      <c r="BW867" s="43"/>
      <c r="BX867" s="43"/>
      <c r="BY867" s="43"/>
      <c r="B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c r="AE868" s="43"/>
      <c r="AF868" s="43"/>
      <c r="AG868" s="43"/>
      <c r="AH868" s="43"/>
      <c r="AI868" s="43"/>
      <c r="AJ868" s="43"/>
      <c r="AK868" s="43"/>
      <c r="AL868" s="43"/>
      <c r="AM868" s="43"/>
      <c r="AN868" s="43"/>
      <c r="AO868" s="43"/>
      <c r="AP868" s="43"/>
      <c r="AQ868" s="43"/>
      <c r="AR868" s="43"/>
      <c r="AS868" s="43"/>
      <c r="AT868" s="43"/>
      <c r="AU868" s="43"/>
      <c r="AV868" s="43"/>
      <c r="AW868" s="43"/>
      <c r="AX868" s="43"/>
      <c r="AY868" s="43"/>
      <c r="AZ868" s="43"/>
      <c r="BA868" s="43"/>
      <c r="BB868" s="43"/>
      <c r="BC868" s="43"/>
      <c r="BD868" s="43"/>
      <c r="BE868" s="43"/>
      <c r="BF868" s="43"/>
      <c r="BG868" s="43"/>
      <c r="BH868" s="43"/>
      <c r="BI868" s="43"/>
      <c r="BJ868" s="43"/>
      <c r="BK868" s="43"/>
      <c r="BL868" s="43"/>
      <c r="BM868" s="43"/>
      <c r="BN868" s="43"/>
      <c r="BO868" s="43"/>
      <c r="BP868" s="43"/>
      <c r="BQ868" s="43"/>
      <c r="BR868" s="43"/>
      <c r="BS868" s="43"/>
      <c r="BT868" s="43"/>
      <c r="BU868" s="43"/>
      <c r="BV868" s="43"/>
      <c r="BW868" s="43"/>
      <c r="BX868" s="43"/>
      <c r="BY868" s="43"/>
      <c r="B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c r="AE869" s="43"/>
      <c r="AF869" s="43"/>
      <c r="AG869" s="43"/>
      <c r="AH869" s="43"/>
      <c r="AI869" s="43"/>
      <c r="AJ869" s="43"/>
      <c r="AK869" s="43"/>
      <c r="AL869" s="43"/>
      <c r="AM869" s="43"/>
      <c r="AN869" s="43"/>
      <c r="AO869" s="43"/>
      <c r="AP869" s="43"/>
      <c r="AQ869" s="43"/>
      <c r="AR869" s="43"/>
      <c r="AS869" s="43"/>
      <c r="AT869" s="43"/>
      <c r="AU869" s="43"/>
      <c r="AV869" s="43"/>
      <c r="AW869" s="43"/>
      <c r="AX869" s="43"/>
      <c r="AY869" s="43"/>
      <c r="AZ869" s="43"/>
      <c r="BA869" s="43"/>
      <c r="BB869" s="43"/>
      <c r="BC869" s="43"/>
      <c r="BD869" s="43"/>
      <c r="BE869" s="43"/>
      <c r="BF869" s="43"/>
      <c r="BG869" s="43"/>
      <c r="BH869" s="43"/>
      <c r="BI869" s="43"/>
      <c r="BJ869" s="43"/>
      <c r="BK869" s="43"/>
      <c r="BL869" s="43"/>
      <c r="BM869" s="43"/>
      <c r="BN869" s="43"/>
      <c r="BO869" s="43"/>
      <c r="BP869" s="43"/>
      <c r="BQ869" s="43"/>
      <c r="BR869" s="43"/>
      <c r="BS869" s="43"/>
      <c r="BT869" s="43"/>
      <c r="BU869" s="43"/>
      <c r="BV869" s="43"/>
      <c r="BW869" s="43"/>
      <c r="BX869" s="43"/>
      <c r="BY869" s="43"/>
      <c r="B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c r="AE870" s="43"/>
      <c r="AF870" s="43"/>
      <c r="AG870" s="43"/>
      <c r="AH870" s="43"/>
      <c r="AI870" s="43"/>
      <c r="AJ870" s="43"/>
      <c r="AK870" s="43"/>
      <c r="AL870" s="43"/>
      <c r="AM870" s="43"/>
      <c r="AN870" s="43"/>
      <c r="AO870" s="43"/>
      <c r="AP870" s="43"/>
      <c r="AQ870" s="43"/>
      <c r="AR870" s="43"/>
      <c r="AS870" s="43"/>
      <c r="AT870" s="43"/>
      <c r="AU870" s="43"/>
      <c r="AV870" s="43"/>
      <c r="AW870" s="43"/>
      <c r="AX870" s="43"/>
      <c r="AY870" s="43"/>
      <c r="AZ870" s="43"/>
      <c r="BA870" s="43"/>
      <c r="BB870" s="43"/>
      <c r="BC870" s="43"/>
      <c r="BD870" s="43"/>
      <c r="BE870" s="43"/>
      <c r="BF870" s="43"/>
      <c r="BG870" s="43"/>
      <c r="BH870" s="43"/>
      <c r="BI870" s="43"/>
      <c r="BJ870" s="43"/>
      <c r="BK870" s="43"/>
      <c r="BL870" s="43"/>
      <c r="BM870" s="43"/>
      <c r="BN870" s="43"/>
      <c r="BO870" s="43"/>
      <c r="BP870" s="43"/>
      <c r="BQ870" s="43"/>
      <c r="BR870" s="43"/>
      <c r="BS870" s="43"/>
      <c r="BT870" s="43"/>
      <c r="BU870" s="43"/>
      <c r="BV870" s="43"/>
      <c r="BW870" s="43"/>
      <c r="BX870" s="43"/>
      <c r="BY870" s="43"/>
      <c r="B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c r="AE871" s="43"/>
      <c r="AF871" s="43"/>
      <c r="AG871" s="43"/>
      <c r="AH871" s="43"/>
      <c r="AI871" s="43"/>
      <c r="AJ871" s="43"/>
      <c r="AK871" s="43"/>
      <c r="AL871" s="43"/>
      <c r="AM871" s="43"/>
      <c r="AN871" s="43"/>
      <c r="AO871" s="43"/>
      <c r="AP871" s="43"/>
      <c r="AQ871" s="43"/>
      <c r="AR871" s="43"/>
      <c r="AS871" s="43"/>
      <c r="AT871" s="43"/>
      <c r="AU871" s="43"/>
      <c r="AV871" s="43"/>
      <c r="AW871" s="43"/>
      <c r="AX871" s="43"/>
      <c r="AY871" s="43"/>
      <c r="AZ871" s="43"/>
      <c r="BA871" s="43"/>
      <c r="BB871" s="43"/>
      <c r="BC871" s="43"/>
      <c r="BD871" s="43"/>
      <c r="BE871" s="43"/>
      <c r="BF871" s="43"/>
      <c r="BG871" s="43"/>
      <c r="BH871" s="43"/>
      <c r="BI871" s="43"/>
      <c r="BJ871" s="43"/>
      <c r="BK871" s="43"/>
      <c r="BL871" s="43"/>
      <c r="BM871" s="43"/>
      <c r="BN871" s="43"/>
      <c r="BO871" s="43"/>
      <c r="BP871" s="43"/>
      <c r="BQ871" s="43"/>
      <c r="BR871" s="43"/>
      <c r="BS871" s="43"/>
      <c r="BT871" s="43"/>
      <c r="BU871" s="43"/>
      <c r="BV871" s="43"/>
      <c r="BW871" s="43"/>
      <c r="BX871" s="43"/>
      <c r="BY871" s="43"/>
      <c r="B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c r="AE872" s="43"/>
      <c r="AF872" s="43"/>
      <c r="AG872" s="43"/>
      <c r="AH872" s="43"/>
      <c r="AI872" s="43"/>
      <c r="AJ872" s="43"/>
      <c r="AK872" s="43"/>
      <c r="AL872" s="43"/>
      <c r="AM872" s="43"/>
      <c r="AN872" s="43"/>
      <c r="AO872" s="43"/>
      <c r="AP872" s="43"/>
      <c r="AQ872" s="43"/>
      <c r="AR872" s="43"/>
      <c r="AS872" s="43"/>
      <c r="AT872" s="43"/>
      <c r="AU872" s="43"/>
      <c r="AV872" s="43"/>
      <c r="AW872" s="43"/>
      <c r="AX872" s="43"/>
      <c r="AY872" s="43"/>
      <c r="AZ872" s="43"/>
      <c r="BA872" s="43"/>
      <c r="BB872" s="43"/>
      <c r="BC872" s="43"/>
      <c r="BD872" s="43"/>
      <c r="BE872" s="43"/>
      <c r="BF872" s="43"/>
      <c r="BG872" s="43"/>
      <c r="BH872" s="43"/>
      <c r="BI872" s="43"/>
      <c r="BJ872" s="43"/>
      <c r="BK872" s="43"/>
      <c r="BL872" s="43"/>
      <c r="BM872" s="43"/>
      <c r="BN872" s="43"/>
      <c r="BO872" s="43"/>
      <c r="BP872" s="43"/>
      <c r="BQ872" s="43"/>
      <c r="BR872" s="43"/>
      <c r="BS872" s="43"/>
      <c r="BT872" s="43"/>
      <c r="BU872" s="43"/>
      <c r="BV872" s="43"/>
      <c r="BW872" s="43"/>
      <c r="BX872" s="43"/>
      <c r="BY872" s="43"/>
      <c r="B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c r="AE873" s="43"/>
      <c r="AF873" s="43"/>
      <c r="AG873" s="43"/>
      <c r="AH873" s="43"/>
      <c r="AI873" s="43"/>
      <c r="AJ873" s="43"/>
      <c r="AK873" s="43"/>
      <c r="AL873" s="43"/>
      <c r="AM873" s="43"/>
      <c r="AN873" s="43"/>
      <c r="AO873" s="43"/>
      <c r="AP873" s="43"/>
      <c r="AQ873" s="43"/>
      <c r="AR873" s="43"/>
      <c r="AS873" s="43"/>
      <c r="AT873" s="43"/>
      <c r="AU873" s="43"/>
      <c r="AV873" s="43"/>
      <c r="AW873" s="43"/>
      <c r="AX873" s="43"/>
      <c r="AY873" s="43"/>
      <c r="AZ873" s="43"/>
      <c r="BA873" s="43"/>
      <c r="BB873" s="43"/>
      <c r="BC873" s="43"/>
      <c r="BD873" s="43"/>
      <c r="BE873" s="43"/>
      <c r="BF873" s="43"/>
      <c r="BG873" s="43"/>
      <c r="BH873" s="43"/>
      <c r="BI873" s="43"/>
      <c r="BJ873" s="43"/>
      <c r="BK873" s="43"/>
      <c r="BL873" s="43"/>
      <c r="BM873" s="43"/>
      <c r="BN873" s="43"/>
      <c r="BO873" s="43"/>
      <c r="BP873" s="43"/>
      <c r="BQ873" s="43"/>
      <c r="BR873" s="43"/>
      <c r="BS873" s="43"/>
      <c r="BT873" s="43"/>
      <c r="BU873" s="43"/>
      <c r="BV873" s="43"/>
      <c r="BW873" s="43"/>
      <c r="BX873" s="43"/>
      <c r="BY873" s="43"/>
      <c r="B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c r="AE874" s="43"/>
      <c r="AF874" s="43"/>
      <c r="AG874" s="43"/>
      <c r="AH874" s="43"/>
      <c r="AI874" s="43"/>
      <c r="AJ874" s="43"/>
      <c r="AK874" s="43"/>
      <c r="AL874" s="43"/>
      <c r="AM874" s="43"/>
      <c r="AN874" s="43"/>
      <c r="AO874" s="43"/>
      <c r="AP874" s="43"/>
      <c r="AQ874" s="43"/>
      <c r="AR874" s="43"/>
      <c r="AS874" s="43"/>
      <c r="AT874" s="43"/>
      <c r="AU874" s="43"/>
      <c r="AV874" s="43"/>
      <c r="AW874" s="43"/>
      <c r="AX874" s="43"/>
      <c r="AY874" s="43"/>
      <c r="AZ874" s="43"/>
      <c r="BA874" s="43"/>
      <c r="BB874" s="43"/>
      <c r="BC874" s="43"/>
      <c r="BD874" s="43"/>
      <c r="BE874" s="43"/>
      <c r="BF874" s="43"/>
      <c r="BG874" s="43"/>
      <c r="BH874" s="43"/>
      <c r="BI874" s="43"/>
      <c r="BJ874" s="43"/>
      <c r="BK874" s="43"/>
      <c r="BL874" s="43"/>
      <c r="BM874" s="43"/>
      <c r="BN874" s="43"/>
      <c r="BO874" s="43"/>
      <c r="BP874" s="43"/>
      <c r="BQ874" s="43"/>
      <c r="BR874" s="43"/>
      <c r="BS874" s="43"/>
      <c r="BT874" s="43"/>
      <c r="BU874" s="43"/>
      <c r="BV874" s="43"/>
      <c r="BW874" s="43"/>
      <c r="BX874" s="43"/>
      <c r="BY874" s="43"/>
      <c r="B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c r="AE875" s="43"/>
      <c r="AF875" s="43"/>
      <c r="AG875" s="43"/>
      <c r="AH875" s="43"/>
      <c r="AI875" s="43"/>
      <c r="AJ875" s="43"/>
      <c r="AK875" s="43"/>
      <c r="AL875" s="43"/>
      <c r="AM875" s="43"/>
      <c r="AN875" s="43"/>
      <c r="AO875" s="43"/>
      <c r="AP875" s="43"/>
      <c r="AQ875" s="43"/>
      <c r="AR875" s="43"/>
      <c r="AS875" s="43"/>
      <c r="AT875" s="43"/>
      <c r="AU875" s="43"/>
      <c r="AV875" s="43"/>
      <c r="AW875" s="43"/>
      <c r="AX875" s="43"/>
      <c r="AY875" s="43"/>
      <c r="AZ875" s="43"/>
      <c r="BA875" s="43"/>
      <c r="BB875" s="43"/>
      <c r="BC875" s="43"/>
      <c r="BD875" s="43"/>
      <c r="BE875" s="43"/>
      <c r="BF875" s="43"/>
      <c r="BG875" s="43"/>
      <c r="BH875" s="43"/>
      <c r="BI875" s="43"/>
      <c r="BJ875" s="43"/>
      <c r="BK875" s="43"/>
      <c r="BL875" s="43"/>
      <c r="BM875" s="43"/>
      <c r="BN875" s="43"/>
      <c r="BO875" s="43"/>
      <c r="BP875" s="43"/>
      <c r="BQ875" s="43"/>
      <c r="BR875" s="43"/>
      <c r="BS875" s="43"/>
      <c r="BT875" s="43"/>
      <c r="BU875" s="43"/>
      <c r="BV875" s="43"/>
      <c r="BW875" s="43"/>
      <c r="BX875" s="43"/>
      <c r="BY875" s="43"/>
      <c r="B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c r="AE876" s="43"/>
      <c r="AF876" s="43"/>
      <c r="AG876" s="43"/>
      <c r="AH876" s="43"/>
      <c r="AI876" s="43"/>
      <c r="AJ876" s="43"/>
      <c r="AK876" s="43"/>
      <c r="AL876" s="43"/>
      <c r="AM876" s="43"/>
      <c r="AN876" s="43"/>
      <c r="AO876" s="43"/>
      <c r="AP876" s="43"/>
      <c r="AQ876" s="43"/>
      <c r="AR876" s="43"/>
      <c r="AS876" s="43"/>
      <c r="AT876" s="43"/>
      <c r="AU876" s="43"/>
      <c r="AV876" s="43"/>
      <c r="AW876" s="43"/>
      <c r="AX876" s="43"/>
      <c r="AY876" s="43"/>
      <c r="AZ876" s="43"/>
      <c r="BA876" s="43"/>
      <c r="BB876" s="43"/>
      <c r="BC876" s="43"/>
      <c r="BD876" s="43"/>
      <c r="BE876" s="43"/>
      <c r="BF876" s="43"/>
      <c r="BG876" s="43"/>
      <c r="BH876" s="43"/>
      <c r="BI876" s="43"/>
      <c r="BJ876" s="43"/>
      <c r="BK876" s="43"/>
      <c r="BL876" s="43"/>
      <c r="BM876" s="43"/>
      <c r="BN876" s="43"/>
      <c r="BO876" s="43"/>
      <c r="BP876" s="43"/>
      <c r="BQ876" s="43"/>
      <c r="BR876" s="43"/>
      <c r="BS876" s="43"/>
      <c r="BT876" s="43"/>
      <c r="BU876" s="43"/>
      <c r="BV876" s="43"/>
      <c r="BW876" s="43"/>
      <c r="BX876" s="43"/>
      <c r="BY876" s="43"/>
      <c r="B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c r="AE877" s="43"/>
      <c r="AF877" s="43"/>
      <c r="AG877" s="43"/>
      <c r="AH877" s="43"/>
      <c r="AI877" s="43"/>
      <c r="AJ877" s="43"/>
      <c r="AK877" s="43"/>
      <c r="AL877" s="43"/>
      <c r="AM877" s="43"/>
      <c r="AN877" s="43"/>
      <c r="AO877" s="43"/>
      <c r="AP877" s="43"/>
      <c r="AQ877" s="43"/>
      <c r="AR877" s="43"/>
      <c r="AS877" s="43"/>
      <c r="AT877" s="43"/>
      <c r="AU877" s="43"/>
      <c r="AV877" s="43"/>
      <c r="AW877" s="43"/>
      <c r="AX877" s="43"/>
      <c r="AY877" s="43"/>
      <c r="AZ877" s="43"/>
      <c r="BA877" s="43"/>
      <c r="BB877" s="43"/>
      <c r="BC877" s="43"/>
      <c r="BD877" s="43"/>
      <c r="BE877" s="43"/>
      <c r="BF877" s="43"/>
      <c r="BG877" s="43"/>
      <c r="BH877" s="43"/>
      <c r="BI877" s="43"/>
      <c r="BJ877" s="43"/>
      <c r="BK877" s="43"/>
      <c r="BL877" s="43"/>
      <c r="BM877" s="43"/>
      <c r="BN877" s="43"/>
      <c r="BO877" s="43"/>
      <c r="BP877" s="43"/>
      <c r="BQ877" s="43"/>
      <c r="BR877" s="43"/>
      <c r="BS877" s="43"/>
      <c r="BT877" s="43"/>
      <c r="BU877" s="43"/>
      <c r="BV877" s="43"/>
      <c r="BW877" s="43"/>
      <c r="BX877" s="43"/>
      <c r="BY877" s="43"/>
      <c r="B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c r="AE878" s="43"/>
      <c r="AF878" s="43"/>
      <c r="AG878" s="43"/>
      <c r="AH878" s="43"/>
      <c r="AI878" s="43"/>
      <c r="AJ878" s="43"/>
      <c r="AK878" s="43"/>
      <c r="AL878" s="43"/>
      <c r="AM878" s="43"/>
      <c r="AN878" s="43"/>
      <c r="AO878" s="43"/>
      <c r="AP878" s="43"/>
      <c r="AQ878" s="43"/>
      <c r="AR878" s="43"/>
      <c r="AS878" s="43"/>
      <c r="AT878" s="43"/>
      <c r="AU878" s="43"/>
      <c r="AV878" s="43"/>
      <c r="AW878" s="43"/>
      <c r="AX878" s="43"/>
      <c r="AY878" s="43"/>
      <c r="AZ878" s="43"/>
      <c r="BA878" s="43"/>
      <c r="BB878" s="43"/>
      <c r="BC878" s="43"/>
      <c r="BD878" s="43"/>
      <c r="BE878" s="43"/>
      <c r="BF878" s="43"/>
      <c r="BG878" s="43"/>
      <c r="BH878" s="43"/>
      <c r="BI878" s="43"/>
      <c r="BJ878" s="43"/>
      <c r="BK878" s="43"/>
      <c r="BL878" s="43"/>
      <c r="BM878" s="43"/>
      <c r="BN878" s="43"/>
      <c r="BO878" s="43"/>
      <c r="BP878" s="43"/>
      <c r="BQ878" s="43"/>
      <c r="BR878" s="43"/>
      <c r="BS878" s="43"/>
      <c r="BT878" s="43"/>
      <c r="BU878" s="43"/>
      <c r="BV878" s="43"/>
      <c r="BW878" s="43"/>
      <c r="BX878" s="43"/>
      <c r="BY878" s="43"/>
      <c r="B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c r="AE879" s="43"/>
      <c r="AF879" s="43"/>
      <c r="AG879" s="43"/>
      <c r="AH879" s="43"/>
      <c r="AI879" s="43"/>
      <c r="AJ879" s="43"/>
      <c r="AK879" s="43"/>
      <c r="AL879" s="43"/>
      <c r="AM879" s="43"/>
      <c r="AN879" s="43"/>
      <c r="AO879" s="43"/>
      <c r="AP879" s="43"/>
      <c r="AQ879" s="43"/>
      <c r="AR879" s="43"/>
      <c r="AS879" s="43"/>
      <c r="AT879" s="43"/>
      <c r="AU879" s="43"/>
      <c r="AV879" s="43"/>
      <c r="AW879" s="43"/>
      <c r="AX879" s="43"/>
      <c r="AY879" s="43"/>
      <c r="AZ879" s="43"/>
      <c r="BA879" s="43"/>
      <c r="BB879" s="43"/>
      <c r="BC879" s="43"/>
      <c r="BD879" s="43"/>
      <c r="BE879" s="43"/>
      <c r="BF879" s="43"/>
      <c r="BG879" s="43"/>
      <c r="BH879" s="43"/>
      <c r="BI879" s="43"/>
      <c r="BJ879" s="43"/>
      <c r="BK879" s="43"/>
      <c r="BL879" s="43"/>
      <c r="BM879" s="43"/>
      <c r="BN879" s="43"/>
      <c r="BO879" s="43"/>
      <c r="BP879" s="43"/>
      <c r="BQ879" s="43"/>
      <c r="BR879" s="43"/>
      <c r="BS879" s="43"/>
      <c r="BT879" s="43"/>
      <c r="BU879" s="43"/>
      <c r="BV879" s="43"/>
      <c r="BW879" s="43"/>
      <c r="BX879" s="43"/>
      <c r="BY879" s="43"/>
      <c r="B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c r="AE880" s="43"/>
      <c r="AF880" s="43"/>
      <c r="AG880" s="43"/>
      <c r="AH880" s="43"/>
      <c r="AI880" s="43"/>
      <c r="AJ880" s="43"/>
      <c r="AK880" s="43"/>
      <c r="AL880" s="43"/>
      <c r="AM880" s="43"/>
      <c r="AN880" s="43"/>
      <c r="AO880" s="43"/>
      <c r="AP880" s="43"/>
      <c r="AQ880" s="43"/>
      <c r="AR880" s="43"/>
      <c r="AS880" s="43"/>
      <c r="AT880" s="43"/>
      <c r="AU880" s="43"/>
      <c r="AV880" s="43"/>
      <c r="AW880" s="43"/>
      <c r="AX880" s="43"/>
      <c r="AY880" s="43"/>
      <c r="AZ880" s="43"/>
      <c r="BA880" s="43"/>
      <c r="BB880" s="43"/>
      <c r="BC880" s="43"/>
      <c r="BD880" s="43"/>
      <c r="BE880" s="43"/>
      <c r="BF880" s="43"/>
      <c r="BG880" s="43"/>
      <c r="BH880" s="43"/>
      <c r="BI880" s="43"/>
      <c r="BJ880" s="43"/>
      <c r="BK880" s="43"/>
      <c r="BL880" s="43"/>
      <c r="BM880" s="43"/>
      <c r="BN880" s="43"/>
      <c r="BO880" s="43"/>
      <c r="BP880" s="43"/>
      <c r="BQ880" s="43"/>
      <c r="BR880" s="43"/>
      <c r="BS880" s="43"/>
      <c r="BT880" s="43"/>
      <c r="BU880" s="43"/>
      <c r="BV880" s="43"/>
      <c r="BW880" s="43"/>
      <c r="BX880" s="43"/>
      <c r="BY880" s="43"/>
      <c r="B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c r="AE881" s="43"/>
      <c r="AF881" s="43"/>
      <c r="AG881" s="43"/>
      <c r="AH881" s="43"/>
      <c r="AI881" s="43"/>
      <c r="AJ881" s="43"/>
      <c r="AK881" s="43"/>
      <c r="AL881" s="43"/>
      <c r="AM881" s="43"/>
      <c r="AN881" s="43"/>
      <c r="AO881" s="43"/>
      <c r="AP881" s="43"/>
      <c r="AQ881" s="43"/>
      <c r="AR881" s="43"/>
      <c r="AS881" s="43"/>
      <c r="AT881" s="43"/>
      <c r="AU881" s="43"/>
      <c r="AV881" s="43"/>
      <c r="AW881" s="43"/>
      <c r="AX881" s="43"/>
      <c r="AY881" s="43"/>
      <c r="AZ881" s="43"/>
      <c r="BA881" s="43"/>
      <c r="BB881" s="43"/>
      <c r="BC881" s="43"/>
      <c r="BD881" s="43"/>
      <c r="BE881" s="43"/>
      <c r="BF881" s="43"/>
      <c r="BG881" s="43"/>
      <c r="BH881" s="43"/>
      <c r="BI881" s="43"/>
      <c r="BJ881" s="43"/>
      <c r="BK881" s="43"/>
      <c r="BL881" s="43"/>
      <c r="BM881" s="43"/>
      <c r="BN881" s="43"/>
      <c r="BO881" s="43"/>
      <c r="BP881" s="43"/>
      <c r="BQ881" s="43"/>
      <c r="BR881" s="43"/>
      <c r="BS881" s="43"/>
      <c r="BT881" s="43"/>
      <c r="BU881" s="43"/>
      <c r="BV881" s="43"/>
      <c r="BW881" s="43"/>
      <c r="BX881" s="43"/>
      <c r="BY881" s="43"/>
      <c r="B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c r="AE882" s="43"/>
      <c r="AF882" s="43"/>
      <c r="AG882" s="43"/>
      <c r="AH882" s="43"/>
      <c r="AI882" s="43"/>
      <c r="AJ882" s="43"/>
      <c r="AK882" s="43"/>
      <c r="AL882" s="43"/>
      <c r="AM882" s="43"/>
      <c r="AN882" s="43"/>
      <c r="AO882" s="43"/>
      <c r="AP882" s="43"/>
      <c r="AQ882" s="43"/>
      <c r="AR882" s="43"/>
      <c r="AS882" s="43"/>
      <c r="AT882" s="43"/>
      <c r="AU882" s="43"/>
      <c r="AV882" s="43"/>
      <c r="AW882" s="43"/>
      <c r="AX882" s="43"/>
      <c r="AY882" s="43"/>
      <c r="AZ882" s="43"/>
      <c r="BA882" s="43"/>
      <c r="BB882" s="43"/>
      <c r="BC882" s="43"/>
      <c r="BD882" s="43"/>
      <c r="BE882" s="43"/>
      <c r="BF882" s="43"/>
      <c r="BG882" s="43"/>
      <c r="BH882" s="43"/>
      <c r="BI882" s="43"/>
      <c r="BJ882" s="43"/>
      <c r="BK882" s="43"/>
      <c r="BL882" s="43"/>
      <c r="BM882" s="43"/>
      <c r="BN882" s="43"/>
      <c r="BO882" s="43"/>
      <c r="BP882" s="43"/>
      <c r="BQ882" s="43"/>
      <c r="BR882" s="43"/>
      <c r="BS882" s="43"/>
      <c r="BT882" s="43"/>
      <c r="BU882" s="43"/>
      <c r="BV882" s="43"/>
      <c r="BW882" s="43"/>
      <c r="BX882" s="43"/>
      <c r="BY882" s="43"/>
      <c r="B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c r="AE883" s="43"/>
      <c r="AF883" s="43"/>
      <c r="AG883" s="43"/>
      <c r="AH883" s="43"/>
      <c r="AI883" s="43"/>
      <c r="AJ883" s="43"/>
      <c r="AK883" s="43"/>
      <c r="AL883" s="43"/>
      <c r="AM883" s="43"/>
      <c r="AN883" s="43"/>
      <c r="AO883" s="43"/>
      <c r="AP883" s="43"/>
      <c r="AQ883" s="43"/>
      <c r="AR883" s="43"/>
      <c r="AS883" s="43"/>
      <c r="AT883" s="43"/>
      <c r="AU883" s="43"/>
      <c r="AV883" s="43"/>
      <c r="AW883" s="43"/>
      <c r="AX883" s="43"/>
      <c r="AY883" s="43"/>
      <c r="AZ883" s="43"/>
      <c r="BA883" s="43"/>
      <c r="BB883" s="43"/>
      <c r="BC883" s="43"/>
      <c r="BD883" s="43"/>
      <c r="BE883" s="43"/>
      <c r="BF883" s="43"/>
      <c r="BG883" s="43"/>
      <c r="BH883" s="43"/>
      <c r="BI883" s="43"/>
      <c r="BJ883" s="43"/>
      <c r="BK883" s="43"/>
      <c r="BL883" s="43"/>
      <c r="BM883" s="43"/>
      <c r="BN883" s="43"/>
      <c r="BO883" s="43"/>
      <c r="BP883" s="43"/>
      <c r="BQ883" s="43"/>
      <c r="BR883" s="43"/>
      <c r="BS883" s="43"/>
      <c r="BT883" s="43"/>
      <c r="BU883" s="43"/>
      <c r="BV883" s="43"/>
      <c r="BW883" s="43"/>
      <c r="BX883" s="43"/>
      <c r="BY883" s="43"/>
      <c r="B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c r="AE884" s="43"/>
      <c r="AF884" s="43"/>
      <c r="AG884" s="43"/>
      <c r="AH884" s="43"/>
      <c r="AI884" s="43"/>
      <c r="AJ884" s="43"/>
      <c r="AK884" s="43"/>
      <c r="AL884" s="43"/>
      <c r="AM884" s="43"/>
      <c r="AN884" s="43"/>
      <c r="AO884" s="43"/>
      <c r="AP884" s="43"/>
      <c r="AQ884" s="43"/>
      <c r="AR884" s="43"/>
      <c r="AS884" s="43"/>
      <c r="AT884" s="43"/>
      <c r="AU884" s="43"/>
      <c r="AV884" s="43"/>
      <c r="AW884" s="43"/>
      <c r="AX884" s="43"/>
      <c r="AY884" s="43"/>
      <c r="AZ884" s="43"/>
      <c r="BA884" s="43"/>
      <c r="BB884" s="43"/>
      <c r="BC884" s="43"/>
      <c r="BD884" s="43"/>
      <c r="BE884" s="43"/>
      <c r="BF884" s="43"/>
      <c r="BG884" s="43"/>
      <c r="BH884" s="43"/>
      <c r="BI884" s="43"/>
      <c r="BJ884" s="43"/>
      <c r="BK884" s="43"/>
      <c r="BL884" s="43"/>
      <c r="BM884" s="43"/>
      <c r="BN884" s="43"/>
      <c r="BO884" s="43"/>
      <c r="BP884" s="43"/>
      <c r="BQ884" s="43"/>
      <c r="BR884" s="43"/>
      <c r="BS884" s="43"/>
      <c r="BT884" s="43"/>
      <c r="BU884" s="43"/>
      <c r="BV884" s="43"/>
      <c r="BW884" s="43"/>
      <c r="BX884" s="43"/>
      <c r="BY884" s="43"/>
      <c r="B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c r="AE885" s="43"/>
      <c r="AF885" s="43"/>
      <c r="AG885" s="43"/>
      <c r="AH885" s="43"/>
      <c r="AI885" s="43"/>
      <c r="AJ885" s="43"/>
      <c r="AK885" s="43"/>
      <c r="AL885" s="43"/>
      <c r="AM885" s="43"/>
      <c r="AN885" s="43"/>
      <c r="AO885" s="43"/>
      <c r="AP885" s="43"/>
      <c r="AQ885" s="43"/>
      <c r="AR885" s="43"/>
      <c r="AS885" s="43"/>
      <c r="AT885" s="43"/>
      <c r="AU885" s="43"/>
      <c r="AV885" s="43"/>
      <c r="AW885" s="43"/>
      <c r="AX885" s="43"/>
      <c r="AY885" s="43"/>
      <c r="AZ885" s="43"/>
      <c r="BA885" s="43"/>
      <c r="BB885" s="43"/>
      <c r="BC885" s="43"/>
      <c r="BD885" s="43"/>
      <c r="BE885" s="43"/>
      <c r="BF885" s="43"/>
      <c r="BG885" s="43"/>
      <c r="BH885" s="43"/>
      <c r="BI885" s="43"/>
      <c r="BJ885" s="43"/>
      <c r="BK885" s="43"/>
      <c r="BL885" s="43"/>
      <c r="BM885" s="43"/>
      <c r="BN885" s="43"/>
      <c r="BO885" s="43"/>
      <c r="BP885" s="43"/>
      <c r="BQ885" s="43"/>
      <c r="BR885" s="43"/>
      <c r="BS885" s="43"/>
      <c r="BT885" s="43"/>
      <c r="BU885" s="43"/>
      <c r="BV885" s="43"/>
      <c r="BW885" s="43"/>
      <c r="BX885" s="43"/>
      <c r="BY885" s="43"/>
      <c r="B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c r="AE886" s="43"/>
      <c r="AF886" s="43"/>
      <c r="AG886" s="43"/>
      <c r="AH886" s="43"/>
      <c r="AI886" s="43"/>
      <c r="AJ886" s="43"/>
      <c r="AK886" s="43"/>
      <c r="AL886" s="43"/>
      <c r="AM886" s="43"/>
      <c r="AN886" s="43"/>
      <c r="AO886" s="43"/>
      <c r="AP886" s="43"/>
      <c r="AQ886" s="43"/>
      <c r="AR886" s="43"/>
      <c r="AS886" s="43"/>
      <c r="AT886" s="43"/>
      <c r="AU886" s="43"/>
      <c r="AV886" s="43"/>
      <c r="AW886" s="43"/>
      <c r="AX886" s="43"/>
      <c r="AY886" s="43"/>
      <c r="AZ886" s="43"/>
      <c r="BA886" s="43"/>
      <c r="BB886" s="43"/>
      <c r="BC886" s="43"/>
      <c r="BD886" s="43"/>
      <c r="BE886" s="43"/>
      <c r="BF886" s="43"/>
      <c r="BG886" s="43"/>
      <c r="BH886" s="43"/>
      <c r="BI886" s="43"/>
      <c r="BJ886" s="43"/>
      <c r="BK886" s="43"/>
      <c r="BL886" s="43"/>
      <c r="BM886" s="43"/>
      <c r="BN886" s="43"/>
      <c r="BO886" s="43"/>
      <c r="BP886" s="43"/>
      <c r="BQ886" s="43"/>
      <c r="BR886" s="43"/>
      <c r="BS886" s="43"/>
      <c r="BT886" s="43"/>
      <c r="BU886" s="43"/>
      <c r="BV886" s="43"/>
      <c r="BW886" s="43"/>
      <c r="BX886" s="43"/>
      <c r="BY886" s="43"/>
      <c r="B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c r="AE887" s="43"/>
      <c r="AF887" s="43"/>
      <c r="AG887" s="43"/>
      <c r="AH887" s="43"/>
      <c r="AI887" s="43"/>
      <c r="AJ887" s="43"/>
      <c r="AK887" s="43"/>
      <c r="AL887" s="43"/>
      <c r="AM887" s="43"/>
      <c r="AN887" s="43"/>
      <c r="AO887" s="43"/>
      <c r="AP887" s="43"/>
      <c r="AQ887" s="43"/>
      <c r="AR887" s="43"/>
      <c r="AS887" s="43"/>
      <c r="AT887" s="43"/>
      <c r="AU887" s="43"/>
      <c r="AV887" s="43"/>
      <c r="AW887" s="43"/>
      <c r="AX887" s="43"/>
      <c r="AY887" s="43"/>
      <c r="AZ887" s="43"/>
      <c r="BA887" s="43"/>
      <c r="BB887" s="43"/>
      <c r="BC887" s="43"/>
      <c r="BD887" s="43"/>
      <c r="BE887" s="43"/>
      <c r="BF887" s="43"/>
      <c r="BG887" s="43"/>
      <c r="BH887" s="43"/>
      <c r="BI887" s="43"/>
      <c r="BJ887" s="43"/>
      <c r="BK887" s="43"/>
      <c r="BL887" s="43"/>
      <c r="BM887" s="43"/>
      <c r="BN887" s="43"/>
      <c r="BO887" s="43"/>
      <c r="BP887" s="43"/>
      <c r="BQ887" s="43"/>
      <c r="BR887" s="43"/>
      <c r="BS887" s="43"/>
      <c r="BT887" s="43"/>
      <c r="BU887" s="43"/>
      <c r="BV887" s="43"/>
      <c r="BW887" s="43"/>
      <c r="BX887" s="43"/>
      <c r="BY887" s="43"/>
      <c r="B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c r="AE888" s="43"/>
      <c r="AF888" s="43"/>
      <c r="AG888" s="43"/>
      <c r="AH888" s="43"/>
      <c r="AI888" s="43"/>
      <c r="AJ888" s="43"/>
      <c r="AK888" s="43"/>
      <c r="AL888" s="43"/>
      <c r="AM888" s="43"/>
      <c r="AN888" s="43"/>
      <c r="AO888" s="43"/>
      <c r="AP888" s="43"/>
      <c r="AQ888" s="43"/>
      <c r="AR888" s="43"/>
      <c r="AS888" s="43"/>
      <c r="AT888" s="43"/>
      <c r="AU888" s="43"/>
      <c r="AV888" s="43"/>
      <c r="AW888" s="43"/>
      <c r="AX888" s="43"/>
      <c r="AY888" s="43"/>
      <c r="AZ888" s="43"/>
      <c r="BA888" s="43"/>
      <c r="BB888" s="43"/>
      <c r="BC888" s="43"/>
      <c r="BD888" s="43"/>
      <c r="BE888" s="43"/>
      <c r="BF888" s="43"/>
      <c r="BG888" s="43"/>
      <c r="BH888" s="43"/>
      <c r="BI888" s="43"/>
      <c r="BJ888" s="43"/>
      <c r="BK888" s="43"/>
      <c r="BL888" s="43"/>
      <c r="BM888" s="43"/>
      <c r="BN888" s="43"/>
      <c r="BO888" s="43"/>
      <c r="BP888" s="43"/>
      <c r="BQ888" s="43"/>
      <c r="BR888" s="43"/>
      <c r="BS888" s="43"/>
      <c r="BT888" s="43"/>
      <c r="BU888" s="43"/>
      <c r="BV888" s="43"/>
      <c r="BW888" s="43"/>
      <c r="BX888" s="43"/>
      <c r="BY888" s="43"/>
      <c r="B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c r="AE889" s="43"/>
      <c r="AF889" s="43"/>
      <c r="AG889" s="43"/>
      <c r="AH889" s="43"/>
      <c r="AI889" s="43"/>
      <c r="AJ889" s="43"/>
      <c r="AK889" s="43"/>
      <c r="AL889" s="43"/>
      <c r="AM889" s="43"/>
      <c r="AN889" s="43"/>
      <c r="AO889" s="43"/>
      <c r="AP889" s="43"/>
      <c r="AQ889" s="43"/>
      <c r="AR889" s="43"/>
      <c r="AS889" s="43"/>
      <c r="AT889" s="43"/>
      <c r="AU889" s="43"/>
      <c r="AV889" s="43"/>
      <c r="AW889" s="43"/>
      <c r="AX889" s="43"/>
      <c r="AY889" s="43"/>
      <c r="AZ889" s="43"/>
      <c r="BA889" s="43"/>
      <c r="BB889" s="43"/>
      <c r="BC889" s="43"/>
      <c r="BD889" s="43"/>
      <c r="BE889" s="43"/>
      <c r="BF889" s="43"/>
      <c r="BG889" s="43"/>
      <c r="BH889" s="43"/>
      <c r="BI889" s="43"/>
      <c r="BJ889" s="43"/>
      <c r="BK889" s="43"/>
      <c r="BL889" s="43"/>
      <c r="BM889" s="43"/>
      <c r="BN889" s="43"/>
      <c r="BO889" s="43"/>
      <c r="BP889" s="43"/>
      <c r="BQ889" s="43"/>
      <c r="BR889" s="43"/>
      <c r="BS889" s="43"/>
      <c r="BT889" s="43"/>
      <c r="BU889" s="43"/>
      <c r="BV889" s="43"/>
      <c r="BW889" s="43"/>
      <c r="BX889" s="43"/>
      <c r="BY889" s="43"/>
      <c r="B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c r="AE890" s="43"/>
      <c r="AF890" s="43"/>
      <c r="AG890" s="43"/>
      <c r="AH890" s="43"/>
      <c r="AI890" s="43"/>
      <c r="AJ890" s="43"/>
      <c r="AK890" s="43"/>
      <c r="AL890" s="43"/>
      <c r="AM890" s="43"/>
      <c r="AN890" s="43"/>
      <c r="AO890" s="43"/>
      <c r="AP890" s="43"/>
      <c r="AQ890" s="43"/>
      <c r="AR890" s="43"/>
      <c r="AS890" s="43"/>
      <c r="AT890" s="43"/>
      <c r="AU890" s="43"/>
      <c r="AV890" s="43"/>
      <c r="AW890" s="43"/>
      <c r="AX890" s="43"/>
      <c r="AY890" s="43"/>
      <c r="AZ890" s="43"/>
      <c r="BA890" s="43"/>
      <c r="BB890" s="43"/>
      <c r="BC890" s="43"/>
      <c r="BD890" s="43"/>
      <c r="BE890" s="43"/>
      <c r="BF890" s="43"/>
      <c r="BG890" s="43"/>
      <c r="BH890" s="43"/>
      <c r="BI890" s="43"/>
      <c r="BJ890" s="43"/>
      <c r="BK890" s="43"/>
      <c r="BL890" s="43"/>
      <c r="BM890" s="43"/>
      <c r="BN890" s="43"/>
      <c r="BO890" s="43"/>
      <c r="BP890" s="43"/>
      <c r="BQ890" s="43"/>
      <c r="BR890" s="43"/>
      <c r="BS890" s="43"/>
      <c r="BT890" s="43"/>
      <c r="BU890" s="43"/>
      <c r="BV890" s="43"/>
      <c r="BW890" s="43"/>
      <c r="BX890" s="43"/>
      <c r="BY890" s="43"/>
      <c r="B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c r="AE891" s="43"/>
      <c r="AF891" s="43"/>
      <c r="AG891" s="43"/>
      <c r="AH891" s="43"/>
      <c r="AI891" s="43"/>
      <c r="AJ891" s="43"/>
      <c r="AK891" s="43"/>
      <c r="AL891" s="43"/>
      <c r="AM891" s="43"/>
      <c r="AN891" s="43"/>
      <c r="AO891" s="43"/>
      <c r="AP891" s="43"/>
      <c r="AQ891" s="43"/>
      <c r="AR891" s="43"/>
      <c r="AS891" s="43"/>
      <c r="AT891" s="43"/>
      <c r="AU891" s="43"/>
      <c r="AV891" s="43"/>
      <c r="AW891" s="43"/>
      <c r="AX891" s="43"/>
      <c r="AY891" s="43"/>
      <c r="AZ891" s="43"/>
      <c r="BA891" s="43"/>
      <c r="BB891" s="43"/>
      <c r="BC891" s="43"/>
      <c r="BD891" s="43"/>
      <c r="BE891" s="43"/>
      <c r="BF891" s="43"/>
      <c r="BG891" s="43"/>
      <c r="BH891" s="43"/>
      <c r="BI891" s="43"/>
      <c r="BJ891" s="43"/>
      <c r="BK891" s="43"/>
      <c r="BL891" s="43"/>
      <c r="BM891" s="43"/>
      <c r="BN891" s="43"/>
      <c r="BO891" s="43"/>
      <c r="BP891" s="43"/>
      <c r="BQ891" s="43"/>
      <c r="BR891" s="43"/>
      <c r="BS891" s="43"/>
      <c r="BT891" s="43"/>
      <c r="BU891" s="43"/>
      <c r="BV891" s="43"/>
      <c r="BW891" s="43"/>
      <c r="BX891" s="43"/>
      <c r="BY891" s="43"/>
      <c r="B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c r="AE892" s="43"/>
      <c r="AF892" s="43"/>
      <c r="AG892" s="43"/>
      <c r="AH892" s="43"/>
      <c r="AI892" s="43"/>
      <c r="AJ892" s="43"/>
      <c r="AK892" s="43"/>
      <c r="AL892" s="43"/>
      <c r="AM892" s="43"/>
      <c r="AN892" s="43"/>
      <c r="AO892" s="43"/>
      <c r="AP892" s="43"/>
      <c r="AQ892" s="43"/>
      <c r="AR892" s="43"/>
      <c r="AS892" s="43"/>
      <c r="AT892" s="43"/>
      <c r="AU892" s="43"/>
      <c r="AV892" s="43"/>
      <c r="AW892" s="43"/>
      <c r="AX892" s="43"/>
      <c r="AY892" s="43"/>
      <c r="AZ892" s="43"/>
      <c r="BA892" s="43"/>
      <c r="BB892" s="43"/>
      <c r="BC892" s="43"/>
      <c r="BD892" s="43"/>
      <c r="BE892" s="43"/>
      <c r="BF892" s="43"/>
      <c r="BG892" s="43"/>
      <c r="BH892" s="43"/>
      <c r="BI892" s="43"/>
      <c r="BJ892" s="43"/>
      <c r="BK892" s="43"/>
      <c r="BL892" s="43"/>
      <c r="BM892" s="43"/>
      <c r="BN892" s="43"/>
      <c r="BO892" s="43"/>
      <c r="BP892" s="43"/>
      <c r="BQ892" s="43"/>
      <c r="BR892" s="43"/>
      <c r="BS892" s="43"/>
      <c r="BT892" s="43"/>
      <c r="BU892" s="43"/>
      <c r="BV892" s="43"/>
      <c r="BW892" s="43"/>
      <c r="BX892" s="43"/>
      <c r="BY892" s="43"/>
      <c r="B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c r="AE893" s="43"/>
      <c r="AF893" s="43"/>
      <c r="AG893" s="43"/>
      <c r="AH893" s="43"/>
      <c r="AI893" s="43"/>
      <c r="AJ893" s="43"/>
      <c r="AK893" s="43"/>
      <c r="AL893" s="43"/>
      <c r="AM893" s="43"/>
      <c r="AN893" s="43"/>
      <c r="AO893" s="43"/>
      <c r="AP893" s="43"/>
      <c r="AQ893" s="43"/>
      <c r="AR893" s="43"/>
      <c r="AS893" s="43"/>
      <c r="AT893" s="43"/>
      <c r="AU893" s="43"/>
      <c r="AV893" s="43"/>
      <c r="AW893" s="43"/>
      <c r="AX893" s="43"/>
      <c r="AY893" s="43"/>
      <c r="AZ893" s="43"/>
      <c r="BA893" s="43"/>
      <c r="BB893" s="43"/>
      <c r="BC893" s="43"/>
      <c r="BD893" s="43"/>
      <c r="BE893" s="43"/>
      <c r="BF893" s="43"/>
      <c r="BG893" s="43"/>
      <c r="BH893" s="43"/>
      <c r="BI893" s="43"/>
      <c r="BJ893" s="43"/>
      <c r="BK893" s="43"/>
      <c r="BL893" s="43"/>
      <c r="BM893" s="43"/>
      <c r="BN893" s="43"/>
      <c r="BO893" s="43"/>
      <c r="BP893" s="43"/>
      <c r="BQ893" s="43"/>
      <c r="BR893" s="43"/>
      <c r="BS893" s="43"/>
      <c r="BT893" s="43"/>
      <c r="BU893" s="43"/>
      <c r="BV893" s="43"/>
      <c r="BW893" s="43"/>
      <c r="BX893" s="43"/>
      <c r="BY893" s="43"/>
      <c r="B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c r="AE894" s="43"/>
      <c r="AF894" s="43"/>
      <c r="AG894" s="43"/>
      <c r="AH894" s="43"/>
      <c r="AI894" s="43"/>
      <c r="AJ894" s="43"/>
      <c r="AK894" s="43"/>
      <c r="AL894" s="43"/>
      <c r="AM894" s="43"/>
      <c r="AN894" s="43"/>
      <c r="AO894" s="43"/>
      <c r="AP894" s="43"/>
      <c r="AQ894" s="43"/>
      <c r="AR894" s="43"/>
      <c r="AS894" s="43"/>
      <c r="AT894" s="43"/>
      <c r="AU894" s="43"/>
      <c r="AV894" s="43"/>
      <c r="AW894" s="43"/>
      <c r="AX894" s="43"/>
      <c r="AY894" s="43"/>
      <c r="AZ894" s="43"/>
      <c r="BA894" s="43"/>
      <c r="BB894" s="43"/>
      <c r="BC894" s="43"/>
      <c r="BD894" s="43"/>
      <c r="BE894" s="43"/>
      <c r="BF894" s="43"/>
      <c r="BG894" s="43"/>
      <c r="BH894" s="43"/>
      <c r="BI894" s="43"/>
      <c r="BJ894" s="43"/>
      <c r="BK894" s="43"/>
      <c r="BL894" s="43"/>
      <c r="BM894" s="43"/>
      <c r="BN894" s="43"/>
      <c r="BO894" s="43"/>
      <c r="BP894" s="43"/>
      <c r="BQ894" s="43"/>
      <c r="BR894" s="43"/>
      <c r="BS894" s="43"/>
      <c r="BT894" s="43"/>
      <c r="BU894" s="43"/>
      <c r="BV894" s="43"/>
      <c r="BW894" s="43"/>
      <c r="BX894" s="43"/>
      <c r="BY894" s="43"/>
      <c r="B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c r="AE895" s="43"/>
      <c r="AF895" s="43"/>
      <c r="AG895" s="43"/>
      <c r="AH895" s="43"/>
      <c r="AI895" s="43"/>
      <c r="AJ895" s="43"/>
      <c r="AK895" s="43"/>
      <c r="AL895" s="43"/>
      <c r="AM895" s="43"/>
      <c r="AN895" s="43"/>
      <c r="AO895" s="43"/>
      <c r="AP895" s="43"/>
      <c r="AQ895" s="43"/>
      <c r="AR895" s="43"/>
      <c r="AS895" s="43"/>
      <c r="AT895" s="43"/>
      <c r="AU895" s="43"/>
      <c r="AV895" s="43"/>
      <c r="AW895" s="43"/>
      <c r="AX895" s="43"/>
      <c r="AY895" s="43"/>
      <c r="AZ895" s="43"/>
      <c r="BA895" s="43"/>
      <c r="BB895" s="43"/>
      <c r="BC895" s="43"/>
      <c r="BD895" s="43"/>
      <c r="BE895" s="43"/>
      <c r="BF895" s="43"/>
      <c r="BG895" s="43"/>
      <c r="BH895" s="43"/>
      <c r="BI895" s="43"/>
      <c r="BJ895" s="43"/>
      <c r="BK895" s="43"/>
      <c r="BL895" s="43"/>
      <c r="BM895" s="43"/>
      <c r="BN895" s="43"/>
      <c r="BO895" s="43"/>
      <c r="BP895" s="43"/>
      <c r="BQ895" s="43"/>
      <c r="BR895" s="43"/>
      <c r="BS895" s="43"/>
      <c r="BT895" s="43"/>
      <c r="BU895" s="43"/>
      <c r="BV895" s="43"/>
      <c r="BW895" s="43"/>
      <c r="BX895" s="43"/>
      <c r="BY895" s="43"/>
      <c r="B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c r="AE896" s="43"/>
      <c r="AF896" s="43"/>
      <c r="AG896" s="43"/>
      <c r="AH896" s="43"/>
      <c r="AI896" s="43"/>
      <c r="AJ896" s="43"/>
      <c r="AK896" s="43"/>
      <c r="AL896" s="43"/>
      <c r="AM896" s="43"/>
      <c r="AN896" s="43"/>
      <c r="AO896" s="43"/>
      <c r="AP896" s="43"/>
      <c r="AQ896" s="43"/>
      <c r="AR896" s="43"/>
      <c r="AS896" s="43"/>
      <c r="AT896" s="43"/>
      <c r="AU896" s="43"/>
      <c r="AV896" s="43"/>
      <c r="AW896" s="43"/>
      <c r="AX896" s="43"/>
      <c r="AY896" s="43"/>
      <c r="AZ896" s="43"/>
      <c r="BA896" s="43"/>
      <c r="BB896" s="43"/>
      <c r="BC896" s="43"/>
      <c r="BD896" s="43"/>
      <c r="BE896" s="43"/>
      <c r="BF896" s="43"/>
      <c r="BG896" s="43"/>
      <c r="BH896" s="43"/>
      <c r="BI896" s="43"/>
      <c r="BJ896" s="43"/>
      <c r="BK896" s="43"/>
      <c r="BL896" s="43"/>
      <c r="BM896" s="43"/>
      <c r="BN896" s="43"/>
      <c r="BO896" s="43"/>
      <c r="BP896" s="43"/>
      <c r="BQ896" s="43"/>
      <c r="BR896" s="43"/>
      <c r="BS896" s="43"/>
      <c r="BT896" s="43"/>
      <c r="BU896" s="43"/>
      <c r="BV896" s="43"/>
      <c r="BW896" s="43"/>
      <c r="BX896" s="43"/>
      <c r="BY896" s="43"/>
      <c r="B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c r="AE897" s="43"/>
      <c r="AF897" s="43"/>
      <c r="AG897" s="43"/>
      <c r="AH897" s="43"/>
      <c r="AI897" s="43"/>
      <c r="AJ897" s="43"/>
      <c r="AK897" s="43"/>
      <c r="AL897" s="43"/>
      <c r="AM897" s="43"/>
      <c r="AN897" s="43"/>
      <c r="AO897" s="43"/>
      <c r="AP897" s="43"/>
      <c r="AQ897" s="43"/>
      <c r="AR897" s="43"/>
      <c r="AS897" s="43"/>
      <c r="AT897" s="43"/>
      <c r="AU897" s="43"/>
      <c r="AV897" s="43"/>
      <c r="AW897" s="43"/>
      <c r="AX897" s="43"/>
      <c r="AY897" s="43"/>
      <c r="AZ897" s="43"/>
      <c r="BA897" s="43"/>
      <c r="BB897" s="43"/>
      <c r="BC897" s="43"/>
      <c r="BD897" s="43"/>
      <c r="BE897" s="43"/>
      <c r="BF897" s="43"/>
      <c r="BG897" s="43"/>
      <c r="BH897" s="43"/>
      <c r="BI897" s="43"/>
      <c r="BJ897" s="43"/>
      <c r="BK897" s="43"/>
      <c r="BL897" s="43"/>
      <c r="BM897" s="43"/>
      <c r="BN897" s="43"/>
      <c r="BO897" s="43"/>
      <c r="BP897" s="43"/>
      <c r="BQ897" s="43"/>
      <c r="BR897" s="43"/>
      <c r="BS897" s="43"/>
      <c r="BT897" s="43"/>
      <c r="BU897" s="43"/>
      <c r="BV897" s="43"/>
      <c r="BW897" s="43"/>
      <c r="BX897" s="43"/>
      <c r="BY897" s="43"/>
      <c r="B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c r="AE898" s="43"/>
      <c r="AF898" s="43"/>
      <c r="AG898" s="43"/>
      <c r="AH898" s="43"/>
      <c r="AI898" s="43"/>
      <c r="AJ898" s="43"/>
      <c r="AK898" s="43"/>
      <c r="AL898" s="43"/>
      <c r="AM898" s="43"/>
      <c r="AN898" s="43"/>
      <c r="AO898" s="43"/>
      <c r="AP898" s="43"/>
      <c r="AQ898" s="43"/>
      <c r="AR898" s="43"/>
      <c r="AS898" s="43"/>
      <c r="AT898" s="43"/>
      <c r="AU898" s="43"/>
      <c r="AV898" s="43"/>
      <c r="AW898" s="43"/>
      <c r="AX898" s="43"/>
      <c r="AY898" s="43"/>
      <c r="AZ898" s="43"/>
      <c r="BA898" s="43"/>
      <c r="BB898" s="43"/>
      <c r="BC898" s="43"/>
      <c r="BD898" s="43"/>
      <c r="BE898" s="43"/>
      <c r="BF898" s="43"/>
      <c r="BG898" s="43"/>
      <c r="BH898" s="43"/>
      <c r="BI898" s="43"/>
      <c r="BJ898" s="43"/>
      <c r="BK898" s="43"/>
      <c r="BL898" s="43"/>
      <c r="BM898" s="43"/>
      <c r="BN898" s="43"/>
      <c r="BO898" s="43"/>
      <c r="BP898" s="43"/>
      <c r="BQ898" s="43"/>
      <c r="BR898" s="43"/>
      <c r="BS898" s="43"/>
      <c r="BT898" s="43"/>
      <c r="BU898" s="43"/>
      <c r="BV898" s="43"/>
      <c r="BW898" s="43"/>
      <c r="BX898" s="43"/>
      <c r="BY898" s="43"/>
      <c r="B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c r="AE899" s="43"/>
      <c r="AF899" s="43"/>
      <c r="AG899" s="43"/>
      <c r="AH899" s="43"/>
      <c r="AI899" s="43"/>
      <c r="AJ899" s="43"/>
      <c r="AK899" s="43"/>
      <c r="AL899" s="43"/>
      <c r="AM899" s="43"/>
      <c r="AN899" s="43"/>
      <c r="AO899" s="43"/>
      <c r="AP899" s="43"/>
      <c r="AQ899" s="43"/>
      <c r="AR899" s="43"/>
      <c r="AS899" s="43"/>
      <c r="AT899" s="43"/>
      <c r="AU899" s="43"/>
      <c r="AV899" s="43"/>
      <c r="AW899" s="43"/>
      <c r="AX899" s="43"/>
      <c r="AY899" s="43"/>
      <c r="AZ899" s="43"/>
      <c r="BA899" s="43"/>
      <c r="BB899" s="43"/>
      <c r="BC899" s="43"/>
      <c r="BD899" s="43"/>
      <c r="BE899" s="43"/>
      <c r="BF899" s="43"/>
      <c r="BG899" s="43"/>
      <c r="BH899" s="43"/>
      <c r="BI899" s="43"/>
      <c r="BJ899" s="43"/>
      <c r="BK899" s="43"/>
      <c r="BL899" s="43"/>
      <c r="BM899" s="43"/>
      <c r="BN899" s="43"/>
      <c r="BO899" s="43"/>
      <c r="BP899" s="43"/>
      <c r="BQ899" s="43"/>
      <c r="BR899" s="43"/>
      <c r="BS899" s="43"/>
      <c r="BT899" s="43"/>
      <c r="BU899" s="43"/>
      <c r="BV899" s="43"/>
      <c r="BW899" s="43"/>
      <c r="BX899" s="43"/>
      <c r="BY899" s="43"/>
      <c r="B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c r="AE900" s="43"/>
      <c r="AF900" s="43"/>
      <c r="AG900" s="43"/>
      <c r="AH900" s="43"/>
      <c r="AI900" s="43"/>
      <c r="AJ900" s="43"/>
      <c r="AK900" s="43"/>
      <c r="AL900" s="43"/>
      <c r="AM900" s="43"/>
      <c r="AN900" s="43"/>
      <c r="AO900" s="43"/>
      <c r="AP900" s="43"/>
      <c r="AQ900" s="43"/>
      <c r="AR900" s="43"/>
      <c r="AS900" s="43"/>
      <c r="AT900" s="43"/>
      <c r="AU900" s="43"/>
      <c r="AV900" s="43"/>
      <c r="AW900" s="43"/>
      <c r="AX900" s="43"/>
      <c r="AY900" s="43"/>
      <c r="AZ900" s="43"/>
      <c r="BA900" s="43"/>
      <c r="BB900" s="43"/>
      <c r="BC900" s="43"/>
      <c r="BD900" s="43"/>
      <c r="BE900" s="43"/>
      <c r="BF900" s="43"/>
      <c r="BG900" s="43"/>
      <c r="BH900" s="43"/>
      <c r="BI900" s="43"/>
      <c r="BJ900" s="43"/>
      <c r="BK900" s="43"/>
      <c r="BL900" s="43"/>
      <c r="BM900" s="43"/>
      <c r="BN900" s="43"/>
      <c r="BO900" s="43"/>
      <c r="BP900" s="43"/>
      <c r="BQ900" s="43"/>
      <c r="BR900" s="43"/>
      <c r="BS900" s="43"/>
      <c r="BT900" s="43"/>
      <c r="BU900" s="43"/>
      <c r="BV900" s="43"/>
      <c r="BW900" s="43"/>
      <c r="BX900" s="43"/>
      <c r="BY900" s="43"/>
      <c r="B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c r="AE901" s="43"/>
      <c r="AF901" s="43"/>
      <c r="AG901" s="43"/>
      <c r="AH901" s="43"/>
      <c r="AI901" s="43"/>
      <c r="AJ901" s="43"/>
      <c r="AK901" s="43"/>
      <c r="AL901" s="43"/>
      <c r="AM901" s="43"/>
      <c r="AN901" s="43"/>
      <c r="AO901" s="43"/>
      <c r="AP901" s="43"/>
      <c r="AQ901" s="43"/>
      <c r="AR901" s="43"/>
      <c r="AS901" s="43"/>
      <c r="AT901" s="43"/>
      <c r="AU901" s="43"/>
      <c r="AV901" s="43"/>
      <c r="AW901" s="43"/>
      <c r="AX901" s="43"/>
      <c r="AY901" s="43"/>
      <c r="AZ901" s="43"/>
      <c r="BA901" s="43"/>
      <c r="BB901" s="43"/>
      <c r="BC901" s="43"/>
      <c r="BD901" s="43"/>
      <c r="BE901" s="43"/>
      <c r="BF901" s="43"/>
      <c r="BG901" s="43"/>
      <c r="BH901" s="43"/>
      <c r="BI901" s="43"/>
      <c r="BJ901" s="43"/>
      <c r="BK901" s="43"/>
      <c r="BL901" s="43"/>
      <c r="BM901" s="43"/>
      <c r="BN901" s="43"/>
      <c r="BO901" s="43"/>
      <c r="BP901" s="43"/>
      <c r="BQ901" s="43"/>
      <c r="BR901" s="43"/>
      <c r="BS901" s="43"/>
      <c r="BT901" s="43"/>
      <c r="BU901" s="43"/>
      <c r="BV901" s="43"/>
      <c r="BW901" s="43"/>
      <c r="BX901" s="43"/>
      <c r="BY901" s="43"/>
      <c r="B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c r="AE902" s="43"/>
      <c r="AF902" s="43"/>
      <c r="AG902" s="43"/>
      <c r="AH902" s="43"/>
      <c r="AI902" s="43"/>
      <c r="AJ902" s="43"/>
      <c r="AK902" s="43"/>
      <c r="AL902" s="43"/>
      <c r="AM902" s="43"/>
      <c r="AN902" s="43"/>
      <c r="AO902" s="43"/>
      <c r="AP902" s="43"/>
      <c r="AQ902" s="43"/>
      <c r="AR902" s="43"/>
      <c r="AS902" s="43"/>
      <c r="AT902" s="43"/>
      <c r="AU902" s="43"/>
      <c r="AV902" s="43"/>
      <c r="AW902" s="43"/>
      <c r="AX902" s="43"/>
      <c r="AY902" s="43"/>
      <c r="AZ902" s="43"/>
      <c r="BA902" s="43"/>
      <c r="BB902" s="43"/>
      <c r="BC902" s="43"/>
      <c r="BD902" s="43"/>
      <c r="BE902" s="43"/>
      <c r="BF902" s="43"/>
      <c r="BG902" s="43"/>
      <c r="BH902" s="43"/>
      <c r="BI902" s="43"/>
      <c r="BJ902" s="43"/>
      <c r="BK902" s="43"/>
      <c r="BL902" s="43"/>
      <c r="BM902" s="43"/>
      <c r="BN902" s="43"/>
      <c r="BO902" s="43"/>
      <c r="BP902" s="43"/>
      <c r="BQ902" s="43"/>
      <c r="BR902" s="43"/>
      <c r="BS902" s="43"/>
      <c r="BT902" s="43"/>
      <c r="BU902" s="43"/>
      <c r="BV902" s="43"/>
      <c r="BW902" s="43"/>
      <c r="BX902" s="43"/>
      <c r="BY902" s="43"/>
      <c r="B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c r="AE903" s="43"/>
      <c r="AF903" s="43"/>
      <c r="AG903" s="43"/>
      <c r="AH903" s="43"/>
      <c r="AI903" s="43"/>
      <c r="AJ903" s="43"/>
      <c r="AK903" s="43"/>
      <c r="AL903" s="43"/>
      <c r="AM903" s="43"/>
      <c r="AN903" s="43"/>
      <c r="AO903" s="43"/>
      <c r="AP903" s="43"/>
      <c r="AQ903" s="43"/>
      <c r="AR903" s="43"/>
      <c r="AS903" s="43"/>
      <c r="AT903" s="43"/>
      <c r="AU903" s="43"/>
      <c r="AV903" s="43"/>
      <c r="AW903" s="43"/>
      <c r="AX903" s="43"/>
      <c r="AY903" s="43"/>
      <c r="AZ903" s="43"/>
      <c r="BA903" s="43"/>
      <c r="BB903" s="43"/>
      <c r="BC903" s="43"/>
      <c r="BD903" s="43"/>
      <c r="BE903" s="43"/>
      <c r="BF903" s="43"/>
      <c r="BG903" s="43"/>
      <c r="BH903" s="43"/>
      <c r="BI903" s="43"/>
      <c r="BJ903" s="43"/>
      <c r="BK903" s="43"/>
      <c r="BL903" s="43"/>
      <c r="BM903" s="43"/>
      <c r="BN903" s="43"/>
      <c r="BO903" s="43"/>
      <c r="BP903" s="43"/>
      <c r="BQ903" s="43"/>
      <c r="BR903" s="43"/>
      <c r="BS903" s="43"/>
      <c r="BT903" s="43"/>
      <c r="BU903" s="43"/>
      <c r="BV903" s="43"/>
      <c r="BW903" s="43"/>
      <c r="BX903" s="43"/>
      <c r="BY903" s="43"/>
      <c r="B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c r="AE904" s="43"/>
      <c r="AF904" s="43"/>
      <c r="AG904" s="43"/>
      <c r="AH904" s="43"/>
      <c r="AI904" s="43"/>
      <c r="AJ904" s="43"/>
      <c r="AK904" s="43"/>
      <c r="AL904" s="43"/>
      <c r="AM904" s="43"/>
      <c r="AN904" s="43"/>
      <c r="AO904" s="43"/>
      <c r="AP904" s="43"/>
      <c r="AQ904" s="43"/>
      <c r="AR904" s="43"/>
      <c r="AS904" s="43"/>
      <c r="AT904" s="43"/>
      <c r="AU904" s="43"/>
      <c r="AV904" s="43"/>
      <c r="AW904" s="43"/>
      <c r="AX904" s="43"/>
      <c r="AY904" s="43"/>
      <c r="AZ904" s="43"/>
      <c r="BA904" s="43"/>
      <c r="BB904" s="43"/>
      <c r="BC904" s="43"/>
      <c r="BD904" s="43"/>
      <c r="BE904" s="43"/>
      <c r="BF904" s="43"/>
      <c r="BG904" s="43"/>
      <c r="BH904" s="43"/>
      <c r="BI904" s="43"/>
      <c r="BJ904" s="43"/>
      <c r="BK904" s="43"/>
      <c r="BL904" s="43"/>
      <c r="BM904" s="43"/>
      <c r="BN904" s="43"/>
      <c r="BO904" s="43"/>
      <c r="BP904" s="43"/>
      <c r="BQ904" s="43"/>
      <c r="BR904" s="43"/>
      <c r="BS904" s="43"/>
      <c r="BT904" s="43"/>
      <c r="BU904" s="43"/>
      <c r="BV904" s="43"/>
      <c r="BW904" s="43"/>
      <c r="BX904" s="43"/>
      <c r="BY904" s="43"/>
      <c r="B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c r="AE905" s="43"/>
      <c r="AF905" s="43"/>
      <c r="AG905" s="43"/>
      <c r="AH905" s="43"/>
      <c r="AI905" s="43"/>
      <c r="AJ905" s="43"/>
      <c r="AK905" s="43"/>
      <c r="AL905" s="43"/>
      <c r="AM905" s="43"/>
      <c r="AN905" s="43"/>
      <c r="AO905" s="43"/>
      <c r="AP905" s="43"/>
      <c r="AQ905" s="43"/>
      <c r="AR905" s="43"/>
      <c r="AS905" s="43"/>
      <c r="AT905" s="43"/>
      <c r="AU905" s="43"/>
      <c r="AV905" s="43"/>
      <c r="AW905" s="43"/>
      <c r="AX905" s="43"/>
      <c r="AY905" s="43"/>
      <c r="AZ905" s="43"/>
      <c r="BA905" s="43"/>
      <c r="BB905" s="43"/>
      <c r="BC905" s="43"/>
      <c r="BD905" s="43"/>
      <c r="BE905" s="43"/>
      <c r="BF905" s="43"/>
      <c r="BG905" s="43"/>
      <c r="BH905" s="43"/>
      <c r="BI905" s="43"/>
      <c r="BJ905" s="43"/>
      <c r="BK905" s="43"/>
      <c r="BL905" s="43"/>
      <c r="BM905" s="43"/>
      <c r="BN905" s="43"/>
      <c r="BO905" s="43"/>
      <c r="BP905" s="43"/>
      <c r="BQ905" s="43"/>
      <c r="BR905" s="43"/>
      <c r="BS905" s="43"/>
      <c r="BT905" s="43"/>
      <c r="BU905" s="43"/>
      <c r="BV905" s="43"/>
      <c r="BW905" s="43"/>
      <c r="BX905" s="43"/>
      <c r="BY905" s="43"/>
      <c r="B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c r="AE906" s="43"/>
      <c r="AF906" s="43"/>
      <c r="AG906" s="43"/>
      <c r="AH906" s="43"/>
      <c r="AI906" s="43"/>
      <c r="AJ906" s="43"/>
      <c r="AK906" s="43"/>
      <c r="AL906" s="43"/>
      <c r="AM906" s="43"/>
      <c r="AN906" s="43"/>
      <c r="AO906" s="43"/>
      <c r="AP906" s="43"/>
      <c r="AQ906" s="43"/>
      <c r="AR906" s="43"/>
      <c r="AS906" s="43"/>
      <c r="AT906" s="43"/>
      <c r="AU906" s="43"/>
      <c r="AV906" s="43"/>
      <c r="AW906" s="43"/>
      <c r="AX906" s="43"/>
      <c r="AY906" s="43"/>
      <c r="AZ906" s="43"/>
      <c r="BA906" s="43"/>
      <c r="BB906" s="43"/>
      <c r="BC906" s="43"/>
      <c r="BD906" s="43"/>
      <c r="BE906" s="43"/>
      <c r="BF906" s="43"/>
      <c r="BG906" s="43"/>
      <c r="BH906" s="43"/>
      <c r="BI906" s="43"/>
      <c r="BJ906" s="43"/>
      <c r="BK906" s="43"/>
      <c r="BL906" s="43"/>
      <c r="BM906" s="43"/>
      <c r="BN906" s="43"/>
      <c r="BO906" s="43"/>
      <c r="BP906" s="43"/>
      <c r="BQ906" s="43"/>
      <c r="BR906" s="43"/>
      <c r="BS906" s="43"/>
      <c r="BT906" s="43"/>
      <c r="BU906" s="43"/>
      <c r="BV906" s="43"/>
      <c r="BW906" s="43"/>
      <c r="BX906" s="43"/>
      <c r="BY906" s="43"/>
      <c r="B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c r="AE907" s="43"/>
      <c r="AF907" s="43"/>
      <c r="AG907" s="43"/>
      <c r="AH907" s="43"/>
      <c r="AI907" s="43"/>
      <c r="AJ907" s="43"/>
      <c r="AK907" s="43"/>
      <c r="AL907" s="43"/>
      <c r="AM907" s="43"/>
      <c r="AN907" s="43"/>
      <c r="AO907" s="43"/>
      <c r="AP907" s="43"/>
      <c r="AQ907" s="43"/>
      <c r="AR907" s="43"/>
      <c r="AS907" s="43"/>
      <c r="AT907" s="43"/>
      <c r="AU907" s="43"/>
      <c r="AV907" s="43"/>
      <c r="AW907" s="43"/>
      <c r="AX907" s="43"/>
      <c r="AY907" s="43"/>
      <c r="AZ907" s="43"/>
      <c r="BA907" s="43"/>
      <c r="BB907" s="43"/>
      <c r="BC907" s="43"/>
      <c r="BD907" s="43"/>
      <c r="BE907" s="43"/>
      <c r="BF907" s="43"/>
      <c r="BG907" s="43"/>
      <c r="BH907" s="43"/>
      <c r="BI907" s="43"/>
      <c r="BJ907" s="43"/>
      <c r="BK907" s="43"/>
      <c r="BL907" s="43"/>
      <c r="BM907" s="43"/>
      <c r="BN907" s="43"/>
      <c r="BO907" s="43"/>
      <c r="BP907" s="43"/>
      <c r="BQ907" s="43"/>
      <c r="BR907" s="43"/>
      <c r="BS907" s="43"/>
      <c r="BT907" s="43"/>
      <c r="BU907" s="43"/>
      <c r="BV907" s="43"/>
      <c r="BW907" s="43"/>
      <c r="BX907" s="43"/>
      <c r="BY907" s="43"/>
      <c r="B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c r="AE908" s="43"/>
      <c r="AF908" s="43"/>
      <c r="AG908" s="43"/>
      <c r="AH908" s="43"/>
      <c r="AI908" s="43"/>
      <c r="AJ908" s="43"/>
      <c r="AK908" s="43"/>
      <c r="AL908" s="43"/>
      <c r="AM908" s="43"/>
      <c r="AN908" s="43"/>
      <c r="AO908" s="43"/>
      <c r="AP908" s="43"/>
      <c r="AQ908" s="43"/>
      <c r="AR908" s="43"/>
      <c r="AS908" s="43"/>
      <c r="AT908" s="43"/>
      <c r="AU908" s="43"/>
      <c r="AV908" s="43"/>
      <c r="AW908" s="43"/>
      <c r="AX908" s="43"/>
      <c r="AY908" s="43"/>
      <c r="AZ908" s="43"/>
      <c r="BA908" s="43"/>
      <c r="BB908" s="43"/>
      <c r="BC908" s="43"/>
      <c r="BD908" s="43"/>
      <c r="BE908" s="43"/>
      <c r="BF908" s="43"/>
      <c r="BG908" s="43"/>
      <c r="BH908" s="43"/>
      <c r="BI908" s="43"/>
      <c r="BJ908" s="43"/>
      <c r="BK908" s="43"/>
      <c r="BL908" s="43"/>
      <c r="BM908" s="43"/>
      <c r="BN908" s="43"/>
      <c r="BO908" s="43"/>
      <c r="BP908" s="43"/>
      <c r="BQ908" s="43"/>
      <c r="BR908" s="43"/>
      <c r="BS908" s="43"/>
      <c r="BT908" s="43"/>
      <c r="BU908" s="43"/>
      <c r="BV908" s="43"/>
      <c r="BW908" s="43"/>
      <c r="BX908" s="43"/>
      <c r="BY908" s="43"/>
      <c r="B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c r="AE909" s="43"/>
      <c r="AF909" s="43"/>
      <c r="AG909" s="43"/>
      <c r="AH909" s="43"/>
      <c r="AI909" s="43"/>
      <c r="AJ909" s="43"/>
      <c r="AK909" s="43"/>
      <c r="AL909" s="43"/>
      <c r="AM909" s="43"/>
      <c r="AN909" s="43"/>
      <c r="AO909" s="43"/>
      <c r="AP909" s="43"/>
      <c r="AQ909" s="43"/>
      <c r="AR909" s="43"/>
      <c r="AS909" s="43"/>
      <c r="AT909" s="43"/>
      <c r="AU909" s="43"/>
      <c r="AV909" s="43"/>
      <c r="AW909" s="43"/>
      <c r="AX909" s="43"/>
      <c r="AY909" s="43"/>
      <c r="AZ909" s="43"/>
      <c r="BA909" s="43"/>
      <c r="BB909" s="43"/>
      <c r="BC909" s="43"/>
      <c r="BD909" s="43"/>
      <c r="BE909" s="43"/>
      <c r="BF909" s="43"/>
      <c r="BG909" s="43"/>
      <c r="BH909" s="43"/>
      <c r="BI909" s="43"/>
      <c r="BJ909" s="43"/>
      <c r="BK909" s="43"/>
      <c r="BL909" s="43"/>
      <c r="BM909" s="43"/>
      <c r="BN909" s="43"/>
      <c r="BO909" s="43"/>
      <c r="BP909" s="43"/>
      <c r="BQ909" s="43"/>
      <c r="BR909" s="43"/>
      <c r="BS909" s="43"/>
      <c r="BT909" s="43"/>
      <c r="BU909" s="43"/>
      <c r="BV909" s="43"/>
      <c r="BW909" s="43"/>
      <c r="BX909" s="43"/>
      <c r="BY909" s="43"/>
      <c r="B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c r="AE910" s="43"/>
      <c r="AF910" s="43"/>
      <c r="AG910" s="43"/>
      <c r="AH910" s="43"/>
      <c r="AI910" s="43"/>
      <c r="AJ910" s="43"/>
      <c r="AK910" s="43"/>
      <c r="AL910" s="43"/>
      <c r="AM910" s="43"/>
      <c r="AN910" s="43"/>
      <c r="AO910" s="43"/>
      <c r="AP910" s="43"/>
      <c r="AQ910" s="43"/>
      <c r="AR910" s="43"/>
      <c r="AS910" s="43"/>
      <c r="AT910" s="43"/>
      <c r="AU910" s="43"/>
      <c r="AV910" s="43"/>
      <c r="AW910" s="43"/>
      <c r="AX910" s="43"/>
      <c r="AY910" s="43"/>
      <c r="AZ910" s="43"/>
      <c r="BA910" s="43"/>
      <c r="BB910" s="43"/>
      <c r="BC910" s="43"/>
      <c r="BD910" s="43"/>
      <c r="BE910" s="43"/>
      <c r="BF910" s="43"/>
      <c r="BG910" s="43"/>
      <c r="BH910" s="43"/>
      <c r="BI910" s="43"/>
      <c r="BJ910" s="43"/>
      <c r="BK910" s="43"/>
      <c r="BL910" s="43"/>
      <c r="BM910" s="43"/>
      <c r="BN910" s="43"/>
      <c r="BO910" s="43"/>
      <c r="BP910" s="43"/>
      <c r="BQ910" s="43"/>
      <c r="BR910" s="43"/>
      <c r="BS910" s="43"/>
      <c r="BT910" s="43"/>
      <c r="BU910" s="43"/>
      <c r="BV910" s="43"/>
      <c r="BW910" s="43"/>
      <c r="BX910" s="43"/>
      <c r="BY910" s="43"/>
      <c r="B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c r="AE911" s="43"/>
      <c r="AF911" s="43"/>
      <c r="AG911" s="43"/>
      <c r="AH911" s="43"/>
      <c r="AI911" s="43"/>
      <c r="AJ911" s="43"/>
      <c r="AK911" s="43"/>
      <c r="AL911" s="43"/>
      <c r="AM911" s="43"/>
      <c r="AN911" s="43"/>
      <c r="AO911" s="43"/>
      <c r="AP911" s="43"/>
      <c r="AQ911" s="43"/>
      <c r="AR911" s="43"/>
      <c r="AS911" s="43"/>
      <c r="AT911" s="43"/>
      <c r="AU911" s="43"/>
      <c r="AV911" s="43"/>
      <c r="AW911" s="43"/>
      <c r="AX911" s="43"/>
      <c r="AY911" s="43"/>
      <c r="AZ911" s="43"/>
      <c r="BA911" s="43"/>
      <c r="BB911" s="43"/>
      <c r="BC911" s="43"/>
      <c r="BD911" s="43"/>
      <c r="BE911" s="43"/>
      <c r="BF911" s="43"/>
      <c r="BG911" s="43"/>
      <c r="BH911" s="43"/>
      <c r="BI911" s="43"/>
      <c r="BJ911" s="43"/>
      <c r="BK911" s="43"/>
      <c r="BL911" s="43"/>
      <c r="BM911" s="43"/>
      <c r="BN911" s="43"/>
      <c r="BO911" s="43"/>
      <c r="BP911" s="43"/>
      <c r="BQ911" s="43"/>
      <c r="BR911" s="43"/>
      <c r="BS911" s="43"/>
      <c r="BT911" s="43"/>
      <c r="BU911" s="43"/>
      <c r="BV911" s="43"/>
      <c r="BW911" s="43"/>
      <c r="BX911" s="43"/>
      <c r="BY911" s="43"/>
      <c r="B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c r="AE912" s="43"/>
      <c r="AF912" s="43"/>
      <c r="AG912" s="43"/>
      <c r="AH912" s="43"/>
      <c r="AI912" s="43"/>
      <c r="AJ912" s="43"/>
      <c r="AK912" s="43"/>
      <c r="AL912" s="43"/>
      <c r="AM912" s="43"/>
      <c r="AN912" s="43"/>
      <c r="AO912" s="43"/>
      <c r="AP912" s="43"/>
      <c r="AQ912" s="43"/>
      <c r="AR912" s="43"/>
      <c r="AS912" s="43"/>
      <c r="AT912" s="43"/>
      <c r="AU912" s="43"/>
      <c r="AV912" s="43"/>
      <c r="AW912" s="43"/>
      <c r="AX912" s="43"/>
      <c r="AY912" s="43"/>
      <c r="AZ912" s="43"/>
      <c r="BA912" s="43"/>
      <c r="BB912" s="43"/>
      <c r="BC912" s="43"/>
      <c r="BD912" s="43"/>
      <c r="BE912" s="43"/>
      <c r="BF912" s="43"/>
      <c r="BG912" s="43"/>
      <c r="BH912" s="43"/>
      <c r="BI912" s="43"/>
      <c r="BJ912" s="43"/>
      <c r="BK912" s="43"/>
      <c r="BL912" s="43"/>
      <c r="BM912" s="43"/>
      <c r="BN912" s="43"/>
      <c r="BO912" s="43"/>
      <c r="BP912" s="43"/>
      <c r="BQ912" s="43"/>
      <c r="BR912" s="43"/>
      <c r="BS912" s="43"/>
      <c r="BT912" s="43"/>
      <c r="BU912" s="43"/>
      <c r="BV912" s="43"/>
      <c r="BW912" s="43"/>
      <c r="BX912" s="43"/>
      <c r="BY912" s="43"/>
      <c r="B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c r="AE913" s="43"/>
      <c r="AF913" s="43"/>
      <c r="AG913" s="43"/>
      <c r="AH913" s="43"/>
      <c r="AI913" s="43"/>
      <c r="AJ913" s="43"/>
      <c r="AK913" s="43"/>
      <c r="AL913" s="43"/>
      <c r="AM913" s="43"/>
      <c r="AN913" s="43"/>
      <c r="AO913" s="43"/>
      <c r="AP913" s="43"/>
      <c r="AQ913" s="43"/>
      <c r="AR913" s="43"/>
      <c r="AS913" s="43"/>
      <c r="AT913" s="43"/>
      <c r="AU913" s="43"/>
      <c r="AV913" s="43"/>
      <c r="AW913" s="43"/>
      <c r="AX913" s="43"/>
      <c r="AY913" s="43"/>
      <c r="AZ913" s="43"/>
      <c r="BA913" s="43"/>
      <c r="BB913" s="43"/>
      <c r="BC913" s="43"/>
      <c r="BD913" s="43"/>
      <c r="BE913" s="43"/>
      <c r="BF913" s="43"/>
      <c r="BG913" s="43"/>
      <c r="BH913" s="43"/>
      <c r="BI913" s="43"/>
      <c r="BJ913" s="43"/>
      <c r="BK913" s="43"/>
      <c r="BL913" s="43"/>
      <c r="BM913" s="43"/>
      <c r="BN913" s="43"/>
      <c r="BO913" s="43"/>
      <c r="BP913" s="43"/>
      <c r="BQ913" s="43"/>
      <c r="BR913" s="43"/>
      <c r="BS913" s="43"/>
      <c r="BT913" s="43"/>
      <c r="BU913" s="43"/>
      <c r="BV913" s="43"/>
      <c r="BW913" s="43"/>
      <c r="BX913" s="43"/>
      <c r="BY913" s="43"/>
      <c r="B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c r="AE914" s="43"/>
      <c r="AF914" s="43"/>
      <c r="AG914" s="43"/>
      <c r="AH914" s="43"/>
      <c r="AI914" s="43"/>
      <c r="AJ914" s="43"/>
      <c r="AK914" s="43"/>
      <c r="AL914" s="43"/>
      <c r="AM914" s="43"/>
      <c r="AN914" s="43"/>
      <c r="AO914" s="43"/>
      <c r="AP914" s="43"/>
      <c r="AQ914" s="43"/>
      <c r="AR914" s="43"/>
      <c r="AS914" s="43"/>
      <c r="AT914" s="43"/>
      <c r="AU914" s="43"/>
      <c r="AV914" s="43"/>
      <c r="AW914" s="43"/>
      <c r="AX914" s="43"/>
      <c r="AY914" s="43"/>
      <c r="AZ914" s="43"/>
      <c r="BA914" s="43"/>
      <c r="BB914" s="43"/>
      <c r="BC914" s="43"/>
      <c r="BD914" s="43"/>
      <c r="BE914" s="43"/>
      <c r="BF914" s="43"/>
      <c r="BG914" s="43"/>
      <c r="BH914" s="43"/>
      <c r="BI914" s="43"/>
      <c r="BJ914" s="43"/>
      <c r="BK914" s="43"/>
      <c r="BL914" s="43"/>
      <c r="BM914" s="43"/>
      <c r="BN914" s="43"/>
      <c r="BO914" s="43"/>
      <c r="BP914" s="43"/>
      <c r="BQ914" s="43"/>
      <c r="BR914" s="43"/>
      <c r="BS914" s="43"/>
      <c r="BT914" s="43"/>
      <c r="BU914" s="43"/>
      <c r="BV914" s="43"/>
      <c r="BW914" s="43"/>
      <c r="BX914" s="43"/>
      <c r="BY914" s="43"/>
      <c r="B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c r="AE915" s="43"/>
      <c r="AF915" s="43"/>
      <c r="AG915" s="43"/>
      <c r="AH915" s="43"/>
      <c r="AI915" s="43"/>
      <c r="AJ915" s="43"/>
      <c r="AK915" s="43"/>
      <c r="AL915" s="43"/>
      <c r="AM915" s="43"/>
      <c r="AN915" s="43"/>
      <c r="AO915" s="43"/>
      <c r="AP915" s="43"/>
      <c r="AQ915" s="43"/>
      <c r="AR915" s="43"/>
      <c r="AS915" s="43"/>
      <c r="AT915" s="43"/>
      <c r="AU915" s="43"/>
      <c r="AV915" s="43"/>
      <c r="AW915" s="43"/>
      <c r="AX915" s="43"/>
      <c r="AY915" s="43"/>
      <c r="AZ915" s="43"/>
      <c r="BA915" s="43"/>
      <c r="BB915" s="43"/>
      <c r="BC915" s="43"/>
      <c r="BD915" s="43"/>
      <c r="BE915" s="43"/>
      <c r="BF915" s="43"/>
      <c r="BG915" s="43"/>
      <c r="BH915" s="43"/>
      <c r="BI915" s="43"/>
      <c r="BJ915" s="43"/>
      <c r="BK915" s="43"/>
      <c r="BL915" s="43"/>
      <c r="BM915" s="43"/>
      <c r="BN915" s="43"/>
      <c r="BO915" s="43"/>
      <c r="BP915" s="43"/>
      <c r="BQ915" s="43"/>
      <c r="BR915" s="43"/>
      <c r="BS915" s="43"/>
      <c r="BT915" s="43"/>
      <c r="BU915" s="43"/>
      <c r="BV915" s="43"/>
      <c r="BW915" s="43"/>
      <c r="BX915" s="43"/>
      <c r="BY915" s="43"/>
      <c r="B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c r="AE916" s="43"/>
      <c r="AF916" s="43"/>
      <c r="AG916" s="43"/>
      <c r="AH916" s="43"/>
      <c r="AI916" s="43"/>
      <c r="AJ916" s="43"/>
      <c r="AK916" s="43"/>
      <c r="AL916" s="43"/>
      <c r="AM916" s="43"/>
      <c r="AN916" s="43"/>
      <c r="AO916" s="43"/>
      <c r="AP916" s="43"/>
      <c r="AQ916" s="43"/>
      <c r="AR916" s="43"/>
      <c r="AS916" s="43"/>
      <c r="AT916" s="43"/>
      <c r="AU916" s="43"/>
      <c r="AV916" s="43"/>
      <c r="AW916" s="43"/>
      <c r="AX916" s="43"/>
      <c r="AY916" s="43"/>
      <c r="AZ916" s="43"/>
      <c r="BA916" s="43"/>
      <c r="BB916" s="43"/>
      <c r="BC916" s="43"/>
      <c r="BD916" s="43"/>
      <c r="BE916" s="43"/>
      <c r="BF916" s="43"/>
      <c r="BG916" s="43"/>
      <c r="BH916" s="43"/>
      <c r="BI916" s="43"/>
      <c r="BJ916" s="43"/>
      <c r="BK916" s="43"/>
      <c r="BL916" s="43"/>
      <c r="BM916" s="43"/>
      <c r="BN916" s="43"/>
      <c r="BO916" s="43"/>
      <c r="BP916" s="43"/>
      <c r="BQ916" s="43"/>
      <c r="BR916" s="43"/>
      <c r="BS916" s="43"/>
      <c r="BT916" s="43"/>
      <c r="BU916" s="43"/>
      <c r="BV916" s="43"/>
      <c r="BW916" s="43"/>
      <c r="BX916" s="43"/>
      <c r="BY916" s="43"/>
      <c r="B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c r="AE917" s="43"/>
      <c r="AF917" s="43"/>
      <c r="AG917" s="43"/>
      <c r="AH917" s="43"/>
      <c r="AI917" s="43"/>
      <c r="AJ917" s="43"/>
      <c r="AK917" s="43"/>
      <c r="AL917" s="43"/>
      <c r="AM917" s="43"/>
      <c r="AN917" s="43"/>
      <c r="AO917" s="43"/>
      <c r="AP917" s="43"/>
      <c r="AQ917" s="43"/>
      <c r="AR917" s="43"/>
      <c r="AS917" s="43"/>
      <c r="AT917" s="43"/>
      <c r="AU917" s="43"/>
      <c r="AV917" s="43"/>
      <c r="AW917" s="43"/>
      <c r="AX917" s="43"/>
      <c r="AY917" s="43"/>
      <c r="AZ917" s="43"/>
      <c r="BA917" s="43"/>
      <c r="BB917" s="43"/>
      <c r="BC917" s="43"/>
      <c r="BD917" s="43"/>
      <c r="BE917" s="43"/>
      <c r="BF917" s="43"/>
      <c r="BG917" s="43"/>
      <c r="BH917" s="43"/>
      <c r="BI917" s="43"/>
      <c r="BJ917" s="43"/>
      <c r="BK917" s="43"/>
      <c r="BL917" s="43"/>
      <c r="BM917" s="43"/>
      <c r="BN917" s="43"/>
      <c r="BO917" s="43"/>
      <c r="BP917" s="43"/>
      <c r="BQ917" s="43"/>
      <c r="BR917" s="43"/>
      <c r="BS917" s="43"/>
      <c r="BT917" s="43"/>
      <c r="BU917" s="43"/>
      <c r="BV917" s="43"/>
      <c r="BW917" s="43"/>
      <c r="BX917" s="43"/>
      <c r="BY917" s="43"/>
      <c r="B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c r="AE918" s="43"/>
      <c r="AF918" s="43"/>
      <c r="AG918" s="43"/>
      <c r="AH918" s="43"/>
      <c r="AI918" s="43"/>
      <c r="AJ918" s="43"/>
      <c r="AK918" s="43"/>
      <c r="AL918" s="43"/>
      <c r="AM918" s="43"/>
      <c r="AN918" s="43"/>
      <c r="AO918" s="43"/>
      <c r="AP918" s="43"/>
      <c r="AQ918" s="43"/>
      <c r="AR918" s="43"/>
      <c r="AS918" s="43"/>
      <c r="AT918" s="43"/>
      <c r="AU918" s="43"/>
      <c r="AV918" s="43"/>
      <c r="AW918" s="43"/>
      <c r="AX918" s="43"/>
      <c r="AY918" s="43"/>
      <c r="AZ918" s="43"/>
      <c r="BA918" s="43"/>
      <c r="BB918" s="43"/>
      <c r="BC918" s="43"/>
      <c r="BD918" s="43"/>
      <c r="BE918" s="43"/>
      <c r="BF918" s="43"/>
      <c r="BG918" s="43"/>
      <c r="BH918" s="43"/>
      <c r="BI918" s="43"/>
      <c r="BJ918" s="43"/>
      <c r="BK918" s="43"/>
      <c r="BL918" s="43"/>
      <c r="BM918" s="43"/>
      <c r="BN918" s="43"/>
      <c r="BO918" s="43"/>
      <c r="BP918" s="43"/>
      <c r="BQ918" s="43"/>
      <c r="BR918" s="43"/>
      <c r="BS918" s="43"/>
      <c r="BT918" s="43"/>
      <c r="BU918" s="43"/>
      <c r="BV918" s="43"/>
      <c r="BW918" s="43"/>
      <c r="BX918" s="43"/>
      <c r="BY918" s="43"/>
      <c r="B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c r="AE919" s="43"/>
      <c r="AF919" s="43"/>
      <c r="AG919" s="43"/>
      <c r="AH919" s="43"/>
      <c r="AI919" s="43"/>
      <c r="AJ919" s="43"/>
      <c r="AK919" s="43"/>
      <c r="AL919" s="43"/>
      <c r="AM919" s="43"/>
      <c r="AN919" s="43"/>
      <c r="AO919" s="43"/>
      <c r="AP919" s="43"/>
      <c r="AQ919" s="43"/>
      <c r="AR919" s="43"/>
      <c r="AS919" s="43"/>
      <c r="AT919" s="43"/>
      <c r="AU919" s="43"/>
      <c r="AV919" s="43"/>
      <c r="AW919" s="43"/>
      <c r="AX919" s="43"/>
      <c r="AY919" s="43"/>
      <c r="AZ919" s="43"/>
      <c r="BA919" s="43"/>
      <c r="BB919" s="43"/>
      <c r="BC919" s="43"/>
      <c r="BD919" s="43"/>
      <c r="BE919" s="43"/>
      <c r="BF919" s="43"/>
      <c r="BG919" s="43"/>
      <c r="BH919" s="43"/>
      <c r="BI919" s="43"/>
      <c r="BJ919" s="43"/>
      <c r="BK919" s="43"/>
      <c r="BL919" s="43"/>
      <c r="BM919" s="43"/>
      <c r="BN919" s="43"/>
      <c r="BO919" s="43"/>
      <c r="BP919" s="43"/>
      <c r="BQ919" s="43"/>
      <c r="BR919" s="43"/>
      <c r="BS919" s="43"/>
      <c r="BT919" s="43"/>
      <c r="BU919" s="43"/>
      <c r="BV919" s="43"/>
      <c r="BW919" s="43"/>
      <c r="BX919" s="43"/>
      <c r="BY919" s="43"/>
      <c r="B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c r="AE920" s="43"/>
      <c r="AF920" s="43"/>
      <c r="AG920" s="43"/>
      <c r="AH920" s="43"/>
      <c r="AI920" s="43"/>
      <c r="AJ920" s="43"/>
      <c r="AK920" s="43"/>
      <c r="AL920" s="43"/>
      <c r="AM920" s="43"/>
      <c r="AN920" s="43"/>
      <c r="AO920" s="43"/>
      <c r="AP920" s="43"/>
      <c r="AQ920" s="43"/>
      <c r="AR920" s="43"/>
      <c r="AS920" s="43"/>
      <c r="AT920" s="43"/>
      <c r="AU920" s="43"/>
      <c r="AV920" s="43"/>
      <c r="AW920" s="43"/>
      <c r="AX920" s="43"/>
      <c r="AY920" s="43"/>
      <c r="AZ920" s="43"/>
      <c r="BA920" s="43"/>
      <c r="BB920" s="43"/>
      <c r="BC920" s="43"/>
      <c r="BD920" s="43"/>
      <c r="BE920" s="43"/>
      <c r="BF920" s="43"/>
      <c r="BG920" s="43"/>
      <c r="BH920" s="43"/>
      <c r="BI920" s="43"/>
      <c r="BJ920" s="43"/>
      <c r="BK920" s="43"/>
      <c r="BL920" s="43"/>
      <c r="BM920" s="43"/>
      <c r="BN920" s="43"/>
      <c r="BO920" s="43"/>
      <c r="BP920" s="43"/>
      <c r="BQ920" s="43"/>
      <c r="BR920" s="43"/>
      <c r="BS920" s="43"/>
      <c r="BT920" s="43"/>
      <c r="BU920" s="43"/>
      <c r="BV920" s="43"/>
      <c r="BW920" s="43"/>
      <c r="BX920" s="43"/>
      <c r="BY920" s="43"/>
      <c r="B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c r="AE921" s="43"/>
      <c r="AF921" s="43"/>
      <c r="AG921" s="43"/>
      <c r="AH921" s="43"/>
      <c r="AI921" s="43"/>
      <c r="AJ921" s="43"/>
      <c r="AK921" s="43"/>
      <c r="AL921" s="43"/>
      <c r="AM921" s="43"/>
      <c r="AN921" s="43"/>
      <c r="AO921" s="43"/>
      <c r="AP921" s="43"/>
      <c r="AQ921" s="43"/>
      <c r="AR921" s="43"/>
      <c r="AS921" s="43"/>
      <c r="AT921" s="43"/>
      <c r="AU921" s="43"/>
      <c r="AV921" s="43"/>
      <c r="AW921" s="43"/>
      <c r="AX921" s="43"/>
      <c r="AY921" s="43"/>
      <c r="AZ921" s="43"/>
      <c r="BA921" s="43"/>
      <c r="BB921" s="43"/>
      <c r="BC921" s="43"/>
      <c r="BD921" s="43"/>
      <c r="BE921" s="43"/>
      <c r="BF921" s="43"/>
      <c r="BG921" s="43"/>
      <c r="BH921" s="43"/>
      <c r="BI921" s="43"/>
      <c r="BJ921" s="43"/>
      <c r="BK921" s="43"/>
      <c r="BL921" s="43"/>
      <c r="BM921" s="43"/>
      <c r="BN921" s="43"/>
      <c r="BO921" s="43"/>
      <c r="BP921" s="43"/>
      <c r="BQ921" s="43"/>
      <c r="BR921" s="43"/>
      <c r="BS921" s="43"/>
      <c r="BT921" s="43"/>
      <c r="BU921" s="43"/>
      <c r="BV921" s="43"/>
      <c r="BW921" s="43"/>
      <c r="BX921" s="43"/>
      <c r="BY921" s="43"/>
      <c r="B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c r="AE922" s="43"/>
      <c r="AF922" s="43"/>
      <c r="AG922" s="43"/>
      <c r="AH922" s="43"/>
      <c r="AI922" s="43"/>
      <c r="AJ922" s="43"/>
      <c r="AK922" s="43"/>
      <c r="AL922" s="43"/>
      <c r="AM922" s="43"/>
      <c r="AN922" s="43"/>
      <c r="AO922" s="43"/>
      <c r="AP922" s="43"/>
      <c r="AQ922" s="43"/>
      <c r="AR922" s="43"/>
      <c r="AS922" s="43"/>
      <c r="AT922" s="43"/>
      <c r="AU922" s="43"/>
      <c r="AV922" s="43"/>
      <c r="AW922" s="43"/>
      <c r="AX922" s="43"/>
      <c r="AY922" s="43"/>
      <c r="AZ922" s="43"/>
      <c r="BA922" s="43"/>
      <c r="BB922" s="43"/>
      <c r="BC922" s="43"/>
      <c r="BD922" s="43"/>
      <c r="BE922" s="43"/>
      <c r="BF922" s="43"/>
      <c r="BG922" s="43"/>
      <c r="BH922" s="43"/>
      <c r="BI922" s="43"/>
      <c r="BJ922" s="43"/>
      <c r="BK922" s="43"/>
      <c r="BL922" s="43"/>
      <c r="BM922" s="43"/>
      <c r="BN922" s="43"/>
      <c r="BO922" s="43"/>
      <c r="BP922" s="43"/>
      <c r="BQ922" s="43"/>
      <c r="BR922" s="43"/>
      <c r="BS922" s="43"/>
      <c r="BT922" s="43"/>
      <c r="BU922" s="43"/>
      <c r="BV922" s="43"/>
      <c r="BW922" s="43"/>
      <c r="BX922" s="43"/>
      <c r="BY922" s="43"/>
      <c r="B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c r="AE923" s="43"/>
      <c r="AF923" s="43"/>
      <c r="AG923" s="43"/>
      <c r="AH923" s="43"/>
      <c r="AI923" s="43"/>
      <c r="AJ923" s="43"/>
      <c r="AK923" s="43"/>
      <c r="AL923" s="43"/>
      <c r="AM923" s="43"/>
      <c r="AN923" s="43"/>
      <c r="AO923" s="43"/>
      <c r="AP923" s="43"/>
      <c r="AQ923" s="43"/>
      <c r="AR923" s="43"/>
      <c r="AS923" s="43"/>
      <c r="AT923" s="43"/>
      <c r="AU923" s="43"/>
      <c r="AV923" s="43"/>
      <c r="AW923" s="43"/>
      <c r="AX923" s="43"/>
      <c r="AY923" s="43"/>
      <c r="AZ923" s="43"/>
      <c r="BA923" s="43"/>
      <c r="BB923" s="43"/>
      <c r="BC923" s="43"/>
      <c r="BD923" s="43"/>
      <c r="BE923" s="43"/>
      <c r="BF923" s="43"/>
      <c r="BG923" s="43"/>
      <c r="BH923" s="43"/>
      <c r="BI923" s="43"/>
      <c r="BJ923" s="43"/>
      <c r="BK923" s="43"/>
      <c r="BL923" s="43"/>
      <c r="BM923" s="43"/>
      <c r="BN923" s="43"/>
      <c r="BO923" s="43"/>
      <c r="BP923" s="43"/>
      <c r="BQ923" s="43"/>
      <c r="BR923" s="43"/>
      <c r="BS923" s="43"/>
      <c r="BT923" s="43"/>
      <c r="BU923" s="43"/>
      <c r="BV923" s="43"/>
      <c r="BW923" s="43"/>
      <c r="BX923" s="43"/>
      <c r="BY923" s="43"/>
      <c r="B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c r="AE924" s="43"/>
      <c r="AF924" s="43"/>
      <c r="AG924" s="43"/>
      <c r="AH924" s="43"/>
      <c r="AI924" s="43"/>
      <c r="AJ924" s="43"/>
      <c r="AK924" s="43"/>
      <c r="AL924" s="43"/>
      <c r="AM924" s="43"/>
      <c r="AN924" s="43"/>
      <c r="AO924" s="43"/>
      <c r="AP924" s="43"/>
      <c r="AQ924" s="43"/>
      <c r="AR924" s="43"/>
      <c r="AS924" s="43"/>
      <c r="AT924" s="43"/>
      <c r="AU924" s="43"/>
      <c r="AV924" s="43"/>
      <c r="AW924" s="43"/>
      <c r="AX924" s="43"/>
      <c r="AY924" s="43"/>
      <c r="AZ924" s="43"/>
      <c r="BA924" s="43"/>
      <c r="BB924" s="43"/>
      <c r="BC924" s="43"/>
      <c r="BD924" s="43"/>
      <c r="BE924" s="43"/>
      <c r="BF924" s="43"/>
      <c r="BG924" s="43"/>
      <c r="BH924" s="43"/>
      <c r="BI924" s="43"/>
      <c r="BJ924" s="43"/>
      <c r="BK924" s="43"/>
      <c r="BL924" s="43"/>
      <c r="BM924" s="43"/>
      <c r="BN924" s="43"/>
      <c r="BO924" s="43"/>
      <c r="BP924" s="43"/>
      <c r="BQ924" s="43"/>
      <c r="BR924" s="43"/>
      <c r="BS924" s="43"/>
      <c r="BT924" s="43"/>
      <c r="BU924" s="43"/>
      <c r="BV924" s="43"/>
      <c r="BW924" s="43"/>
      <c r="BX924" s="43"/>
      <c r="BY924" s="43"/>
      <c r="B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c r="AE925" s="43"/>
      <c r="AF925" s="43"/>
      <c r="AG925" s="43"/>
      <c r="AH925" s="43"/>
      <c r="AI925" s="43"/>
      <c r="AJ925" s="43"/>
      <c r="AK925" s="43"/>
      <c r="AL925" s="43"/>
      <c r="AM925" s="43"/>
      <c r="AN925" s="43"/>
      <c r="AO925" s="43"/>
      <c r="AP925" s="43"/>
      <c r="AQ925" s="43"/>
      <c r="AR925" s="43"/>
      <c r="AS925" s="43"/>
      <c r="AT925" s="43"/>
      <c r="AU925" s="43"/>
      <c r="AV925" s="43"/>
      <c r="AW925" s="43"/>
      <c r="AX925" s="43"/>
      <c r="AY925" s="43"/>
      <c r="AZ925" s="43"/>
      <c r="BA925" s="43"/>
      <c r="BB925" s="43"/>
      <c r="BC925" s="43"/>
      <c r="BD925" s="43"/>
      <c r="BE925" s="43"/>
      <c r="BF925" s="43"/>
      <c r="BG925" s="43"/>
      <c r="BH925" s="43"/>
      <c r="BI925" s="43"/>
      <c r="BJ925" s="43"/>
      <c r="BK925" s="43"/>
      <c r="BL925" s="43"/>
      <c r="BM925" s="43"/>
      <c r="BN925" s="43"/>
      <c r="BO925" s="43"/>
      <c r="BP925" s="43"/>
      <c r="BQ925" s="43"/>
      <c r="BR925" s="43"/>
      <c r="BS925" s="43"/>
      <c r="BT925" s="43"/>
      <c r="BU925" s="43"/>
      <c r="BV925" s="43"/>
      <c r="BW925" s="43"/>
      <c r="BX925" s="43"/>
      <c r="BY925" s="43"/>
      <c r="B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c r="AE926" s="43"/>
      <c r="AF926" s="43"/>
      <c r="AG926" s="43"/>
      <c r="AH926" s="43"/>
      <c r="AI926" s="43"/>
      <c r="AJ926" s="43"/>
      <c r="AK926" s="43"/>
      <c r="AL926" s="43"/>
      <c r="AM926" s="43"/>
      <c r="AN926" s="43"/>
      <c r="AO926" s="43"/>
      <c r="AP926" s="43"/>
      <c r="AQ926" s="43"/>
      <c r="AR926" s="43"/>
      <c r="AS926" s="43"/>
      <c r="AT926" s="43"/>
      <c r="AU926" s="43"/>
      <c r="AV926" s="43"/>
      <c r="AW926" s="43"/>
      <c r="AX926" s="43"/>
      <c r="AY926" s="43"/>
      <c r="AZ926" s="43"/>
      <c r="BA926" s="43"/>
      <c r="BB926" s="43"/>
      <c r="BC926" s="43"/>
      <c r="BD926" s="43"/>
      <c r="BE926" s="43"/>
      <c r="BF926" s="43"/>
      <c r="BG926" s="43"/>
      <c r="BH926" s="43"/>
      <c r="BI926" s="43"/>
      <c r="BJ926" s="43"/>
      <c r="BK926" s="43"/>
      <c r="BL926" s="43"/>
      <c r="BM926" s="43"/>
      <c r="BN926" s="43"/>
      <c r="BO926" s="43"/>
      <c r="BP926" s="43"/>
      <c r="BQ926" s="43"/>
      <c r="BR926" s="43"/>
      <c r="BS926" s="43"/>
      <c r="BT926" s="43"/>
      <c r="BU926" s="43"/>
      <c r="BV926" s="43"/>
      <c r="BW926" s="43"/>
      <c r="BX926" s="43"/>
      <c r="BY926" s="43"/>
      <c r="B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c r="AE927" s="43"/>
      <c r="AF927" s="43"/>
      <c r="AG927" s="43"/>
      <c r="AH927" s="43"/>
      <c r="AI927" s="43"/>
      <c r="AJ927" s="43"/>
      <c r="AK927" s="43"/>
      <c r="AL927" s="43"/>
      <c r="AM927" s="43"/>
      <c r="AN927" s="43"/>
      <c r="AO927" s="43"/>
      <c r="AP927" s="43"/>
      <c r="AQ927" s="43"/>
      <c r="AR927" s="43"/>
      <c r="AS927" s="43"/>
      <c r="AT927" s="43"/>
      <c r="AU927" s="43"/>
      <c r="AV927" s="43"/>
      <c r="AW927" s="43"/>
      <c r="AX927" s="43"/>
      <c r="AY927" s="43"/>
      <c r="AZ927" s="43"/>
      <c r="BA927" s="43"/>
      <c r="BB927" s="43"/>
      <c r="BC927" s="43"/>
      <c r="BD927" s="43"/>
      <c r="BE927" s="43"/>
      <c r="BF927" s="43"/>
      <c r="BG927" s="43"/>
      <c r="BH927" s="43"/>
      <c r="BI927" s="43"/>
      <c r="BJ927" s="43"/>
      <c r="BK927" s="43"/>
      <c r="BL927" s="43"/>
      <c r="BM927" s="43"/>
      <c r="BN927" s="43"/>
      <c r="BO927" s="43"/>
      <c r="BP927" s="43"/>
      <c r="BQ927" s="43"/>
      <c r="BR927" s="43"/>
      <c r="BS927" s="43"/>
      <c r="BT927" s="43"/>
      <c r="BU927" s="43"/>
      <c r="BV927" s="43"/>
      <c r="BW927" s="43"/>
      <c r="BX927" s="43"/>
      <c r="BY927" s="43"/>
      <c r="B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c r="AE928" s="43"/>
      <c r="AF928" s="43"/>
      <c r="AG928" s="43"/>
      <c r="AH928" s="43"/>
      <c r="AI928" s="43"/>
      <c r="AJ928" s="43"/>
      <c r="AK928" s="43"/>
      <c r="AL928" s="43"/>
      <c r="AM928" s="43"/>
      <c r="AN928" s="43"/>
      <c r="AO928" s="43"/>
      <c r="AP928" s="43"/>
      <c r="AQ928" s="43"/>
      <c r="AR928" s="43"/>
      <c r="AS928" s="43"/>
      <c r="AT928" s="43"/>
      <c r="AU928" s="43"/>
      <c r="AV928" s="43"/>
      <c r="AW928" s="43"/>
      <c r="AX928" s="43"/>
      <c r="AY928" s="43"/>
      <c r="AZ928" s="43"/>
      <c r="BA928" s="43"/>
      <c r="BB928" s="43"/>
      <c r="BC928" s="43"/>
      <c r="BD928" s="43"/>
      <c r="BE928" s="43"/>
      <c r="BF928" s="43"/>
      <c r="BG928" s="43"/>
      <c r="BH928" s="43"/>
      <c r="BI928" s="43"/>
      <c r="BJ928" s="43"/>
      <c r="BK928" s="43"/>
      <c r="BL928" s="43"/>
      <c r="BM928" s="43"/>
      <c r="BN928" s="43"/>
      <c r="BO928" s="43"/>
      <c r="BP928" s="43"/>
      <c r="BQ928" s="43"/>
      <c r="BR928" s="43"/>
      <c r="BS928" s="43"/>
      <c r="BT928" s="43"/>
      <c r="BU928" s="43"/>
      <c r="BV928" s="43"/>
      <c r="BW928" s="43"/>
      <c r="BX928" s="43"/>
      <c r="BY928" s="43"/>
      <c r="B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c r="AE929" s="43"/>
      <c r="AF929" s="43"/>
      <c r="AG929" s="43"/>
      <c r="AH929" s="43"/>
      <c r="AI929" s="43"/>
      <c r="AJ929" s="43"/>
      <c r="AK929" s="43"/>
      <c r="AL929" s="43"/>
      <c r="AM929" s="43"/>
      <c r="AN929" s="43"/>
      <c r="AO929" s="43"/>
      <c r="AP929" s="43"/>
      <c r="AQ929" s="43"/>
      <c r="AR929" s="43"/>
      <c r="AS929" s="43"/>
      <c r="AT929" s="43"/>
      <c r="AU929" s="43"/>
      <c r="AV929" s="43"/>
      <c r="AW929" s="43"/>
      <c r="AX929" s="43"/>
      <c r="AY929" s="43"/>
      <c r="AZ929" s="43"/>
      <c r="BA929" s="43"/>
      <c r="BB929" s="43"/>
      <c r="BC929" s="43"/>
      <c r="BD929" s="43"/>
      <c r="BE929" s="43"/>
      <c r="BF929" s="43"/>
      <c r="BG929" s="43"/>
      <c r="BH929" s="43"/>
      <c r="BI929" s="43"/>
      <c r="BJ929" s="43"/>
      <c r="BK929" s="43"/>
      <c r="BL929" s="43"/>
      <c r="BM929" s="43"/>
      <c r="BN929" s="43"/>
      <c r="BO929" s="43"/>
      <c r="BP929" s="43"/>
      <c r="BQ929" s="43"/>
      <c r="BR929" s="43"/>
      <c r="BS929" s="43"/>
      <c r="BT929" s="43"/>
      <c r="BU929" s="43"/>
      <c r="BV929" s="43"/>
      <c r="BW929" s="43"/>
      <c r="BX929" s="43"/>
      <c r="BY929" s="43"/>
      <c r="B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c r="AE930" s="43"/>
      <c r="AF930" s="43"/>
      <c r="AG930" s="43"/>
      <c r="AH930" s="43"/>
      <c r="AI930" s="43"/>
      <c r="AJ930" s="43"/>
      <c r="AK930" s="43"/>
      <c r="AL930" s="43"/>
      <c r="AM930" s="43"/>
      <c r="AN930" s="43"/>
      <c r="AO930" s="43"/>
      <c r="AP930" s="43"/>
      <c r="AQ930" s="43"/>
      <c r="AR930" s="43"/>
      <c r="AS930" s="43"/>
      <c r="AT930" s="43"/>
      <c r="AU930" s="43"/>
      <c r="AV930" s="43"/>
      <c r="AW930" s="43"/>
      <c r="AX930" s="43"/>
      <c r="AY930" s="43"/>
      <c r="AZ930" s="43"/>
      <c r="BA930" s="43"/>
      <c r="BB930" s="43"/>
      <c r="BC930" s="43"/>
      <c r="BD930" s="43"/>
      <c r="BE930" s="43"/>
      <c r="BF930" s="43"/>
      <c r="BG930" s="43"/>
      <c r="BH930" s="43"/>
      <c r="BI930" s="43"/>
      <c r="BJ930" s="43"/>
      <c r="BK930" s="43"/>
      <c r="BL930" s="43"/>
      <c r="BM930" s="43"/>
      <c r="BN930" s="43"/>
      <c r="BO930" s="43"/>
      <c r="BP930" s="43"/>
      <c r="BQ930" s="43"/>
      <c r="BR930" s="43"/>
      <c r="BS930" s="43"/>
      <c r="BT930" s="43"/>
      <c r="BU930" s="43"/>
      <c r="BV930" s="43"/>
      <c r="BW930" s="43"/>
      <c r="BX930" s="43"/>
      <c r="BY930" s="43"/>
      <c r="B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c r="AE931" s="43"/>
      <c r="AF931" s="43"/>
      <c r="AG931" s="43"/>
      <c r="AH931" s="43"/>
      <c r="AI931" s="43"/>
      <c r="AJ931" s="43"/>
      <c r="AK931" s="43"/>
      <c r="AL931" s="43"/>
      <c r="AM931" s="43"/>
      <c r="AN931" s="43"/>
      <c r="AO931" s="43"/>
      <c r="AP931" s="43"/>
      <c r="AQ931" s="43"/>
      <c r="AR931" s="43"/>
      <c r="AS931" s="43"/>
      <c r="AT931" s="43"/>
      <c r="AU931" s="43"/>
      <c r="AV931" s="43"/>
      <c r="AW931" s="43"/>
      <c r="AX931" s="43"/>
      <c r="AY931" s="43"/>
      <c r="AZ931" s="43"/>
      <c r="BA931" s="43"/>
      <c r="BB931" s="43"/>
      <c r="BC931" s="43"/>
      <c r="BD931" s="43"/>
      <c r="BE931" s="43"/>
      <c r="BF931" s="43"/>
      <c r="BG931" s="43"/>
      <c r="BH931" s="43"/>
      <c r="BI931" s="43"/>
      <c r="BJ931" s="43"/>
      <c r="BK931" s="43"/>
      <c r="BL931" s="43"/>
      <c r="BM931" s="43"/>
      <c r="BN931" s="43"/>
      <c r="BO931" s="43"/>
      <c r="BP931" s="43"/>
      <c r="BQ931" s="43"/>
      <c r="BR931" s="43"/>
      <c r="BS931" s="43"/>
      <c r="BT931" s="43"/>
      <c r="BU931" s="43"/>
      <c r="BV931" s="43"/>
      <c r="BW931" s="43"/>
      <c r="BX931" s="43"/>
      <c r="BY931" s="43"/>
      <c r="B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c r="AE932" s="43"/>
      <c r="AF932" s="43"/>
      <c r="AG932" s="43"/>
      <c r="AH932" s="43"/>
      <c r="AI932" s="43"/>
      <c r="AJ932" s="43"/>
      <c r="AK932" s="43"/>
      <c r="AL932" s="43"/>
      <c r="AM932" s="43"/>
      <c r="AN932" s="43"/>
      <c r="AO932" s="43"/>
      <c r="AP932" s="43"/>
      <c r="AQ932" s="43"/>
      <c r="AR932" s="43"/>
      <c r="AS932" s="43"/>
      <c r="AT932" s="43"/>
      <c r="AU932" s="43"/>
      <c r="AV932" s="43"/>
      <c r="AW932" s="43"/>
      <c r="AX932" s="43"/>
      <c r="AY932" s="43"/>
      <c r="AZ932" s="43"/>
      <c r="BA932" s="43"/>
      <c r="BB932" s="43"/>
      <c r="BC932" s="43"/>
      <c r="BD932" s="43"/>
      <c r="BE932" s="43"/>
      <c r="BF932" s="43"/>
      <c r="BG932" s="43"/>
      <c r="BH932" s="43"/>
      <c r="BI932" s="43"/>
      <c r="BJ932" s="43"/>
      <c r="BK932" s="43"/>
      <c r="BL932" s="43"/>
      <c r="BM932" s="43"/>
      <c r="BN932" s="43"/>
      <c r="BO932" s="43"/>
      <c r="BP932" s="43"/>
      <c r="BQ932" s="43"/>
      <c r="BR932" s="43"/>
      <c r="BS932" s="43"/>
      <c r="BT932" s="43"/>
      <c r="BU932" s="43"/>
      <c r="BV932" s="43"/>
      <c r="BW932" s="43"/>
      <c r="BX932" s="43"/>
      <c r="BY932" s="43"/>
      <c r="B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c r="AE933" s="43"/>
      <c r="AF933" s="43"/>
      <c r="AG933" s="43"/>
      <c r="AH933" s="43"/>
      <c r="AI933" s="43"/>
      <c r="AJ933" s="43"/>
      <c r="AK933" s="43"/>
      <c r="AL933" s="43"/>
      <c r="AM933" s="43"/>
      <c r="AN933" s="43"/>
      <c r="AO933" s="43"/>
      <c r="AP933" s="43"/>
      <c r="AQ933" s="43"/>
      <c r="AR933" s="43"/>
      <c r="AS933" s="43"/>
      <c r="AT933" s="43"/>
      <c r="AU933" s="43"/>
      <c r="AV933" s="43"/>
      <c r="AW933" s="43"/>
      <c r="AX933" s="43"/>
      <c r="AY933" s="43"/>
      <c r="AZ933" s="43"/>
      <c r="BA933" s="43"/>
      <c r="BB933" s="43"/>
      <c r="BC933" s="43"/>
      <c r="BD933" s="43"/>
      <c r="BE933" s="43"/>
      <c r="BF933" s="43"/>
      <c r="BG933" s="43"/>
      <c r="BH933" s="43"/>
      <c r="BI933" s="43"/>
      <c r="BJ933" s="43"/>
      <c r="BK933" s="43"/>
      <c r="BL933" s="43"/>
      <c r="BM933" s="43"/>
      <c r="BN933" s="43"/>
      <c r="BO933" s="43"/>
      <c r="BP933" s="43"/>
      <c r="BQ933" s="43"/>
      <c r="BR933" s="43"/>
      <c r="BS933" s="43"/>
      <c r="BT933" s="43"/>
      <c r="BU933" s="43"/>
      <c r="BV933" s="43"/>
      <c r="BW933" s="43"/>
      <c r="BX933" s="43"/>
      <c r="BY933" s="43"/>
      <c r="B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c r="AE934" s="43"/>
      <c r="AF934" s="43"/>
      <c r="AG934" s="43"/>
      <c r="AH934" s="43"/>
      <c r="AI934" s="43"/>
      <c r="AJ934" s="43"/>
      <c r="AK934" s="43"/>
      <c r="AL934" s="43"/>
      <c r="AM934" s="43"/>
      <c r="AN934" s="43"/>
      <c r="AO934" s="43"/>
      <c r="AP934" s="43"/>
      <c r="AQ934" s="43"/>
      <c r="AR934" s="43"/>
      <c r="AS934" s="43"/>
      <c r="AT934" s="43"/>
      <c r="AU934" s="43"/>
      <c r="AV934" s="43"/>
      <c r="AW934" s="43"/>
      <c r="AX934" s="43"/>
      <c r="AY934" s="43"/>
      <c r="AZ934" s="43"/>
      <c r="BA934" s="43"/>
      <c r="BB934" s="43"/>
      <c r="BC934" s="43"/>
      <c r="BD934" s="43"/>
      <c r="BE934" s="43"/>
      <c r="BF934" s="43"/>
      <c r="BG934" s="43"/>
      <c r="BH934" s="43"/>
      <c r="BI934" s="43"/>
      <c r="BJ934" s="43"/>
      <c r="BK934" s="43"/>
      <c r="BL934" s="43"/>
      <c r="BM934" s="43"/>
      <c r="BN934" s="43"/>
      <c r="BO934" s="43"/>
      <c r="BP934" s="43"/>
      <c r="BQ934" s="43"/>
      <c r="BR934" s="43"/>
      <c r="BS934" s="43"/>
      <c r="BT934" s="43"/>
      <c r="BU934" s="43"/>
      <c r="BV934" s="43"/>
      <c r="BW934" s="43"/>
      <c r="BX934" s="43"/>
      <c r="BY934" s="43"/>
      <c r="B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c r="AE935" s="43"/>
      <c r="AF935" s="43"/>
      <c r="AG935" s="43"/>
      <c r="AH935" s="43"/>
      <c r="AI935" s="43"/>
      <c r="AJ935" s="43"/>
      <c r="AK935" s="43"/>
      <c r="AL935" s="43"/>
      <c r="AM935" s="43"/>
      <c r="AN935" s="43"/>
      <c r="AO935" s="43"/>
      <c r="AP935" s="43"/>
      <c r="AQ935" s="43"/>
      <c r="AR935" s="43"/>
      <c r="AS935" s="43"/>
      <c r="AT935" s="43"/>
      <c r="AU935" s="43"/>
      <c r="AV935" s="43"/>
      <c r="AW935" s="43"/>
      <c r="AX935" s="43"/>
      <c r="AY935" s="43"/>
      <c r="AZ935" s="43"/>
      <c r="BA935" s="43"/>
      <c r="BB935" s="43"/>
      <c r="BC935" s="43"/>
      <c r="BD935" s="43"/>
      <c r="BE935" s="43"/>
      <c r="BF935" s="43"/>
      <c r="BG935" s="43"/>
      <c r="BH935" s="43"/>
      <c r="BI935" s="43"/>
      <c r="BJ935" s="43"/>
      <c r="BK935" s="43"/>
      <c r="BL935" s="43"/>
      <c r="BM935" s="43"/>
      <c r="BN935" s="43"/>
      <c r="BO935" s="43"/>
      <c r="BP935" s="43"/>
      <c r="BQ935" s="43"/>
      <c r="BR935" s="43"/>
      <c r="BS935" s="43"/>
      <c r="BT935" s="43"/>
      <c r="BU935" s="43"/>
      <c r="BV935" s="43"/>
      <c r="BW935" s="43"/>
      <c r="BX935" s="43"/>
      <c r="BY935" s="43"/>
      <c r="B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c r="AE936" s="43"/>
      <c r="AF936" s="43"/>
      <c r="AG936" s="43"/>
      <c r="AH936" s="43"/>
      <c r="AI936" s="43"/>
      <c r="AJ936" s="43"/>
      <c r="AK936" s="43"/>
      <c r="AL936" s="43"/>
      <c r="AM936" s="43"/>
      <c r="AN936" s="43"/>
      <c r="AO936" s="43"/>
      <c r="AP936" s="43"/>
      <c r="AQ936" s="43"/>
      <c r="AR936" s="43"/>
      <c r="AS936" s="43"/>
      <c r="AT936" s="43"/>
      <c r="AU936" s="43"/>
      <c r="AV936" s="43"/>
      <c r="AW936" s="43"/>
      <c r="AX936" s="43"/>
      <c r="AY936" s="43"/>
      <c r="AZ936" s="43"/>
      <c r="BA936" s="43"/>
      <c r="BB936" s="43"/>
      <c r="BC936" s="43"/>
      <c r="BD936" s="43"/>
      <c r="BE936" s="43"/>
      <c r="BF936" s="43"/>
      <c r="BG936" s="43"/>
      <c r="BH936" s="43"/>
      <c r="BI936" s="43"/>
      <c r="BJ936" s="43"/>
      <c r="BK936" s="43"/>
      <c r="BL936" s="43"/>
      <c r="BM936" s="43"/>
      <c r="BN936" s="43"/>
      <c r="BO936" s="43"/>
      <c r="BP936" s="43"/>
      <c r="BQ936" s="43"/>
      <c r="BR936" s="43"/>
      <c r="BS936" s="43"/>
      <c r="BT936" s="43"/>
      <c r="BU936" s="43"/>
      <c r="BV936" s="43"/>
      <c r="BW936" s="43"/>
      <c r="BX936" s="43"/>
      <c r="BY936" s="43"/>
      <c r="B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c r="AE937" s="43"/>
      <c r="AF937" s="43"/>
      <c r="AG937" s="43"/>
      <c r="AH937" s="43"/>
      <c r="AI937" s="43"/>
      <c r="AJ937" s="43"/>
      <c r="AK937" s="43"/>
      <c r="AL937" s="43"/>
      <c r="AM937" s="43"/>
      <c r="AN937" s="43"/>
      <c r="AO937" s="43"/>
      <c r="AP937" s="43"/>
      <c r="AQ937" s="43"/>
      <c r="AR937" s="43"/>
      <c r="AS937" s="43"/>
      <c r="AT937" s="43"/>
      <c r="AU937" s="43"/>
      <c r="AV937" s="43"/>
      <c r="AW937" s="43"/>
      <c r="AX937" s="43"/>
      <c r="AY937" s="43"/>
      <c r="AZ937" s="43"/>
      <c r="BA937" s="43"/>
      <c r="BB937" s="43"/>
      <c r="BC937" s="43"/>
      <c r="BD937" s="43"/>
      <c r="BE937" s="43"/>
      <c r="BF937" s="43"/>
      <c r="BG937" s="43"/>
      <c r="BH937" s="43"/>
      <c r="BI937" s="43"/>
      <c r="BJ937" s="43"/>
      <c r="BK937" s="43"/>
      <c r="BL937" s="43"/>
      <c r="BM937" s="43"/>
      <c r="BN937" s="43"/>
      <c r="BO937" s="43"/>
      <c r="BP937" s="43"/>
      <c r="BQ937" s="43"/>
      <c r="BR937" s="43"/>
      <c r="BS937" s="43"/>
      <c r="BT937" s="43"/>
      <c r="BU937" s="43"/>
      <c r="BV937" s="43"/>
      <c r="BW937" s="43"/>
      <c r="BX937" s="43"/>
      <c r="BY937" s="43"/>
      <c r="B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c r="AE938" s="43"/>
      <c r="AF938" s="43"/>
      <c r="AG938" s="43"/>
      <c r="AH938" s="43"/>
      <c r="AI938" s="43"/>
      <c r="AJ938" s="43"/>
      <c r="AK938" s="43"/>
      <c r="AL938" s="43"/>
      <c r="AM938" s="43"/>
      <c r="AN938" s="43"/>
      <c r="AO938" s="43"/>
      <c r="AP938" s="43"/>
      <c r="AQ938" s="43"/>
      <c r="AR938" s="43"/>
      <c r="AS938" s="43"/>
      <c r="AT938" s="43"/>
      <c r="AU938" s="43"/>
      <c r="AV938" s="43"/>
      <c r="AW938" s="43"/>
      <c r="AX938" s="43"/>
      <c r="AY938" s="43"/>
      <c r="AZ938" s="43"/>
      <c r="BA938" s="43"/>
      <c r="BB938" s="43"/>
      <c r="BC938" s="43"/>
      <c r="BD938" s="43"/>
      <c r="BE938" s="43"/>
      <c r="BF938" s="43"/>
      <c r="BG938" s="43"/>
      <c r="BH938" s="43"/>
      <c r="BI938" s="43"/>
      <c r="BJ938" s="43"/>
      <c r="BK938" s="43"/>
      <c r="BL938" s="43"/>
      <c r="BM938" s="43"/>
      <c r="BN938" s="43"/>
      <c r="BO938" s="43"/>
      <c r="BP938" s="43"/>
      <c r="BQ938" s="43"/>
      <c r="BR938" s="43"/>
      <c r="BS938" s="43"/>
      <c r="BT938" s="43"/>
      <c r="BU938" s="43"/>
      <c r="BV938" s="43"/>
      <c r="BW938" s="43"/>
      <c r="BX938" s="43"/>
      <c r="BY938" s="43"/>
      <c r="B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c r="AE939" s="43"/>
      <c r="AF939" s="43"/>
      <c r="AG939" s="43"/>
      <c r="AH939" s="43"/>
      <c r="AI939" s="43"/>
      <c r="AJ939" s="43"/>
      <c r="AK939" s="43"/>
      <c r="AL939" s="43"/>
      <c r="AM939" s="43"/>
      <c r="AN939" s="43"/>
      <c r="AO939" s="43"/>
      <c r="AP939" s="43"/>
      <c r="AQ939" s="43"/>
      <c r="AR939" s="43"/>
      <c r="AS939" s="43"/>
      <c r="AT939" s="43"/>
      <c r="AU939" s="43"/>
      <c r="AV939" s="43"/>
      <c r="AW939" s="43"/>
      <c r="AX939" s="43"/>
      <c r="AY939" s="43"/>
      <c r="AZ939" s="43"/>
      <c r="BA939" s="43"/>
      <c r="BB939" s="43"/>
      <c r="BC939" s="43"/>
      <c r="BD939" s="43"/>
      <c r="BE939" s="43"/>
      <c r="BF939" s="43"/>
      <c r="BG939" s="43"/>
      <c r="BH939" s="43"/>
      <c r="BI939" s="43"/>
      <c r="BJ939" s="43"/>
      <c r="BK939" s="43"/>
      <c r="BL939" s="43"/>
      <c r="BM939" s="43"/>
      <c r="BN939" s="43"/>
      <c r="BO939" s="43"/>
      <c r="BP939" s="43"/>
      <c r="BQ939" s="43"/>
      <c r="BR939" s="43"/>
      <c r="BS939" s="43"/>
      <c r="BT939" s="43"/>
      <c r="BU939" s="43"/>
      <c r="BV939" s="43"/>
      <c r="BW939" s="43"/>
      <c r="BX939" s="43"/>
      <c r="BY939" s="43"/>
      <c r="B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c r="AE940" s="43"/>
      <c r="AF940" s="43"/>
      <c r="AG940" s="43"/>
      <c r="AH940" s="43"/>
      <c r="AI940" s="43"/>
      <c r="AJ940" s="43"/>
      <c r="AK940" s="43"/>
      <c r="AL940" s="43"/>
      <c r="AM940" s="43"/>
      <c r="AN940" s="43"/>
      <c r="AO940" s="43"/>
      <c r="AP940" s="43"/>
      <c r="AQ940" s="43"/>
      <c r="AR940" s="43"/>
      <c r="AS940" s="43"/>
      <c r="AT940" s="43"/>
      <c r="AU940" s="43"/>
      <c r="AV940" s="43"/>
      <c r="AW940" s="43"/>
      <c r="AX940" s="43"/>
      <c r="AY940" s="43"/>
      <c r="AZ940" s="43"/>
      <c r="BA940" s="43"/>
      <c r="BB940" s="43"/>
      <c r="BC940" s="43"/>
      <c r="BD940" s="43"/>
      <c r="BE940" s="43"/>
      <c r="BF940" s="43"/>
      <c r="BG940" s="43"/>
      <c r="BH940" s="43"/>
      <c r="BI940" s="43"/>
      <c r="BJ940" s="43"/>
      <c r="BK940" s="43"/>
      <c r="BL940" s="43"/>
      <c r="BM940" s="43"/>
      <c r="BN940" s="43"/>
      <c r="BO940" s="43"/>
      <c r="BP940" s="43"/>
      <c r="BQ940" s="43"/>
      <c r="BR940" s="43"/>
      <c r="BS940" s="43"/>
      <c r="BT940" s="43"/>
      <c r="BU940" s="43"/>
      <c r="BV940" s="43"/>
      <c r="BW940" s="43"/>
      <c r="BX940" s="43"/>
      <c r="BY940" s="43"/>
      <c r="B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c r="AE941" s="43"/>
      <c r="AF941" s="43"/>
      <c r="AG941" s="43"/>
      <c r="AH941" s="43"/>
      <c r="AI941" s="43"/>
      <c r="AJ941" s="43"/>
      <c r="AK941" s="43"/>
      <c r="AL941" s="43"/>
      <c r="AM941" s="43"/>
      <c r="AN941" s="43"/>
      <c r="AO941" s="43"/>
      <c r="AP941" s="43"/>
      <c r="AQ941" s="43"/>
      <c r="AR941" s="43"/>
      <c r="AS941" s="43"/>
      <c r="AT941" s="43"/>
      <c r="AU941" s="43"/>
      <c r="AV941" s="43"/>
      <c r="AW941" s="43"/>
      <c r="AX941" s="43"/>
      <c r="AY941" s="43"/>
      <c r="AZ941" s="43"/>
      <c r="BA941" s="43"/>
      <c r="BB941" s="43"/>
      <c r="BC941" s="43"/>
      <c r="BD941" s="43"/>
      <c r="BE941" s="43"/>
      <c r="BF941" s="43"/>
      <c r="BG941" s="43"/>
      <c r="BH941" s="43"/>
      <c r="BI941" s="43"/>
      <c r="BJ941" s="43"/>
      <c r="BK941" s="43"/>
      <c r="BL941" s="43"/>
      <c r="BM941" s="43"/>
      <c r="BN941" s="43"/>
      <c r="BO941" s="43"/>
      <c r="BP941" s="43"/>
      <c r="BQ941" s="43"/>
      <c r="BR941" s="43"/>
      <c r="BS941" s="43"/>
      <c r="BT941" s="43"/>
      <c r="BU941" s="43"/>
      <c r="BV941" s="43"/>
      <c r="BW941" s="43"/>
      <c r="BX941" s="43"/>
      <c r="BY941" s="43"/>
      <c r="B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c r="AE942" s="43"/>
      <c r="AF942" s="43"/>
      <c r="AG942" s="43"/>
      <c r="AH942" s="43"/>
      <c r="AI942" s="43"/>
      <c r="AJ942" s="43"/>
      <c r="AK942" s="43"/>
      <c r="AL942" s="43"/>
      <c r="AM942" s="43"/>
      <c r="AN942" s="43"/>
      <c r="AO942" s="43"/>
      <c r="AP942" s="43"/>
      <c r="AQ942" s="43"/>
      <c r="AR942" s="43"/>
      <c r="AS942" s="43"/>
      <c r="AT942" s="43"/>
      <c r="AU942" s="43"/>
      <c r="AV942" s="43"/>
      <c r="AW942" s="43"/>
      <c r="AX942" s="43"/>
      <c r="AY942" s="43"/>
      <c r="AZ942" s="43"/>
      <c r="BA942" s="43"/>
      <c r="BB942" s="43"/>
      <c r="BC942" s="43"/>
      <c r="BD942" s="43"/>
      <c r="BE942" s="43"/>
      <c r="BF942" s="43"/>
      <c r="BG942" s="43"/>
      <c r="BH942" s="43"/>
      <c r="BI942" s="43"/>
      <c r="BJ942" s="43"/>
      <c r="BK942" s="43"/>
      <c r="BL942" s="43"/>
      <c r="BM942" s="43"/>
      <c r="BN942" s="43"/>
      <c r="BO942" s="43"/>
      <c r="BP942" s="43"/>
      <c r="BQ942" s="43"/>
      <c r="BR942" s="43"/>
      <c r="BS942" s="43"/>
      <c r="BT942" s="43"/>
      <c r="BU942" s="43"/>
      <c r="BV942" s="43"/>
      <c r="BW942" s="43"/>
      <c r="BX942" s="43"/>
      <c r="BY942" s="43"/>
      <c r="B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c r="AE943" s="43"/>
      <c r="AF943" s="43"/>
      <c r="AG943" s="43"/>
      <c r="AH943" s="43"/>
      <c r="AI943" s="43"/>
      <c r="AJ943" s="43"/>
      <c r="AK943" s="43"/>
      <c r="AL943" s="43"/>
      <c r="AM943" s="43"/>
      <c r="AN943" s="43"/>
      <c r="AO943" s="43"/>
      <c r="AP943" s="43"/>
      <c r="AQ943" s="43"/>
      <c r="AR943" s="43"/>
      <c r="AS943" s="43"/>
      <c r="AT943" s="43"/>
      <c r="AU943" s="43"/>
      <c r="AV943" s="43"/>
      <c r="AW943" s="43"/>
      <c r="AX943" s="43"/>
      <c r="AY943" s="43"/>
      <c r="AZ943" s="43"/>
      <c r="BA943" s="43"/>
      <c r="BB943" s="43"/>
      <c r="BC943" s="43"/>
      <c r="BD943" s="43"/>
      <c r="BE943" s="43"/>
      <c r="BF943" s="43"/>
      <c r="BG943" s="43"/>
      <c r="BH943" s="43"/>
      <c r="BI943" s="43"/>
      <c r="BJ943" s="43"/>
      <c r="BK943" s="43"/>
      <c r="BL943" s="43"/>
      <c r="BM943" s="43"/>
      <c r="BN943" s="43"/>
      <c r="BO943" s="43"/>
      <c r="BP943" s="43"/>
      <c r="BQ943" s="43"/>
      <c r="BR943" s="43"/>
      <c r="BS943" s="43"/>
      <c r="BT943" s="43"/>
      <c r="BU943" s="43"/>
      <c r="BV943" s="43"/>
      <c r="BW943" s="43"/>
      <c r="BX943" s="43"/>
      <c r="BY943" s="43"/>
      <c r="B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c r="AE944" s="43"/>
      <c r="AF944" s="43"/>
      <c r="AG944" s="43"/>
      <c r="AH944" s="43"/>
      <c r="AI944" s="43"/>
      <c r="AJ944" s="43"/>
      <c r="AK944" s="43"/>
      <c r="AL944" s="43"/>
      <c r="AM944" s="43"/>
      <c r="AN944" s="43"/>
      <c r="AO944" s="43"/>
      <c r="AP944" s="43"/>
      <c r="AQ944" s="43"/>
      <c r="AR944" s="43"/>
      <c r="AS944" s="43"/>
      <c r="AT944" s="43"/>
      <c r="AU944" s="43"/>
      <c r="AV944" s="43"/>
      <c r="AW944" s="43"/>
      <c r="AX944" s="43"/>
      <c r="AY944" s="43"/>
      <c r="AZ944" s="43"/>
      <c r="BA944" s="43"/>
      <c r="BB944" s="43"/>
      <c r="BC944" s="43"/>
      <c r="BD944" s="43"/>
      <c r="BE944" s="43"/>
      <c r="BF944" s="43"/>
      <c r="BG944" s="43"/>
      <c r="BH944" s="43"/>
      <c r="BI944" s="43"/>
      <c r="BJ944" s="43"/>
      <c r="BK944" s="43"/>
      <c r="BL944" s="43"/>
      <c r="BM944" s="43"/>
      <c r="BN944" s="43"/>
      <c r="BO944" s="43"/>
      <c r="BP944" s="43"/>
      <c r="BQ944" s="43"/>
      <c r="BR944" s="43"/>
      <c r="BS944" s="43"/>
      <c r="BT944" s="43"/>
      <c r="BU944" s="43"/>
      <c r="BV944" s="43"/>
      <c r="BW944" s="43"/>
      <c r="BX944" s="43"/>
      <c r="BY944" s="43"/>
      <c r="B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c r="AE945" s="43"/>
      <c r="AF945" s="43"/>
      <c r="AG945" s="43"/>
      <c r="AH945" s="43"/>
      <c r="AI945" s="43"/>
      <c r="AJ945" s="43"/>
      <c r="AK945" s="43"/>
      <c r="AL945" s="43"/>
      <c r="AM945" s="43"/>
      <c r="AN945" s="43"/>
      <c r="AO945" s="43"/>
      <c r="AP945" s="43"/>
      <c r="AQ945" s="43"/>
      <c r="AR945" s="43"/>
      <c r="AS945" s="43"/>
      <c r="AT945" s="43"/>
      <c r="AU945" s="43"/>
      <c r="AV945" s="43"/>
      <c r="AW945" s="43"/>
      <c r="AX945" s="43"/>
      <c r="AY945" s="43"/>
      <c r="AZ945" s="43"/>
      <c r="BA945" s="43"/>
      <c r="BB945" s="43"/>
      <c r="BC945" s="43"/>
      <c r="BD945" s="43"/>
      <c r="BE945" s="43"/>
      <c r="BF945" s="43"/>
      <c r="BG945" s="43"/>
      <c r="BH945" s="43"/>
      <c r="BI945" s="43"/>
      <c r="BJ945" s="43"/>
      <c r="BK945" s="43"/>
      <c r="BL945" s="43"/>
      <c r="BM945" s="43"/>
      <c r="BN945" s="43"/>
      <c r="BO945" s="43"/>
      <c r="BP945" s="43"/>
      <c r="BQ945" s="43"/>
      <c r="BR945" s="43"/>
      <c r="BS945" s="43"/>
      <c r="BT945" s="43"/>
      <c r="BU945" s="43"/>
      <c r="BV945" s="43"/>
      <c r="BW945" s="43"/>
      <c r="BX945" s="43"/>
      <c r="BY945" s="43"/>
      <c r="B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c r="AE946" s="43"/>
      <c r="AF946" s="43"/>
      <c r="AG946" s="43"/>
      <c r="AH946" s="43"/>
      <c r="AI946" s="43"/>
      <c r="AJ946" s="43"/>
      <c r="AK946" s="43"/>
      <c r="AL946" s="43"/>
      <c r="AM946" s="43"/>
      <c r="AN946" s="43"/>
      <c r="AO946" s="43"/>
      <c r="AP946" s="43"/>
      <c r="AQ946" s="43"/>
      <c r="AR946" s="43"/>
      <c r="AS946" s="43"/>
      <c r="AT946" s="43"/>
      <c r="AU946" s="43"/>
      <c r="AV946" s="43"/>
      <c r="AW946" s="43"/>
      <c r="AX946" s="43"/>
      <c r="AY946" s="43"/>
      <c r="AZ946" s="43"/>
      <c r="BA946" s="43"/>
      <c r="BB946" s="43"/>
      <c r="BC946" s="43"/>
      <c r="BD946" s="43"/>
      <c r="BE946" s="43"/>
      <c r="BF946" s="43"/>
      <c r="BG946" s="43"/>
      <c r="BH946" s="43"/>
      <c r="BI946" s="43"/>
      <c r="BJ946" s="43"/>
      <c r="BK946" s="43"/>
      <c r="BL946" s="43"/>
      <c r="BM946" s="43"/>
      <c r="BN946" s="43"/>
      <c r="BO946" s="43"/>
      <c r="BP946" s="43"/>
      <c r="BQ946" s="43"/>
      <c r="BR946" s="43"/>
      <c r="BS946" s="43"/>
      <c r="BT946" s="43"/>
      <c r="BU946" s="43"/>
      <c r="BV946" s="43"/>
      <c r="BW946" s="43"/>
      <c r="BX946" s="43"/>
      <c r="BY946" s="43"/>
      <c r="B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c r="AE947" s="43"/>
      <c r="AF947" s="43"/>
      <c r="AG947" s="43"/>
      <c r="AH947" s="43"/>
      <c r="AI947" s="43"/>
      <c r="AJ947" s="43"/>
      <c r="AK947" s="43"/>
      <c r="AL947" s="43"/>
      <c r="AM947" s="43"/>
      <c r="AN947" s="43"/>
      <c r="AO947" s="43"/>
      <c r="AP947" s="43"/>
      <c r="AQ947" s="43"/>
      <c r="AR947" s="43"/>
      <c r="AS947" s="43"/>
      <c r="AT947" s="43"/>
      <c r="AU947" s="43"/>
      <c r="AV947" s="43"/>
      <c r="AW947" s="43"/>
      <c r="AX947" s="43"/>
      <c r="AY947" s="43"/>
      <c r="AZ947" s="43"/>
      <c r="BA947" s="43"/>
      <c r="BB947" s="43"/>
      <c r="BC947" s="43"/>
      <c r="BD947" s="43"/>
      <c r="BE947" s="43"/>
      <c r="BF947" s="43"/>
      <c r="BG947" s="43"/>
      <c r="BH947" s="43"/>
      <c r="BI947" s="43"/>
      <c r="BJ947" s="43"/>
      <c r="BK947" s="43"/>
      <c r="BL947" s="43"/>
      <c r="BM947" s="43"/>
      <c r="BN947" s="43"/>
      <c r="BO947" s="43"/>
      <c r="BP947" s="43"/>
      <c r="BQ947" s="43"/>
      <c r="BR947" s="43"/>
      <c r="BS947" s="43"/>
      <c r="BT947" s="43"/>
      <c r="BU947" s="43"/>
      <c r="BV947" s="43"/>
      <c r="BW947" s="43"/>
      <c r="BX947" s="43"/>
      <c r="BY947" s="43"/>
      <c r="B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c r="AE948" s="43"/>
      <c r="AF948" s="43"/>
      <c r="AG948" s="43"/>
      <c r="AH948" s="43"/>
      <c r="AI948" s="43"/>
      <c r="AJ948" s="43"/>
      <c r="AK948" s="43"/>
      <c r="AL948" s="43"/>
      <c r="AM948" s="43"/>
      <c r="AN948" s="43"/>
      <c r="AO948" s="43"/>
      <c r="AP948" s="43"/>
      <c r="AQ948" s="43"/>
      <c r="AR948" s="43"/>
      <c r="AS948" s="43"/>
      <c r="AT948" s="43"/>
      <c r="AU948" s="43"/>
      <c r="AV948" s="43"/>
      <c r="AW948" s="43"/>
      <c r="AX948" s="43"/>
      <c r="AY948" s="43"/>
      <c r="AZ948" s="43"/>
      <c r="BA948" s="43"/>
      <c r="BB948" s="43"/>
      <c r="BC948" s="43"/>
      <c r="BD948" s="43"/>
      <c r="BE948" s="43"/>
      <c r="BF948" s="43"/>
      <c r="BG948" s="43"/>
      <c r="BH948" s="43"/>
      <c r="BI948" s="43"/>
      <c r="BJ948" s="43"/>
      <c r="BK948" s="43"/>
      <c r="BL948" s="43"/>
      <c r="BM948" s="43"/>
      <c r="BN948" s="43"/>
      <c r="BO948" s="43"/>
      <c r="BP948" s="43"/>
      <c r="BQ948" s="43"/>
      <c r="BR948" s="43"/>
      <c r="BS948" s="43"/>
      <c r="BT948" s="43"/>
      <c r="BU948" s="43"/>
      <c r="BV948" s="43"/>
      <c r="BW948" s="43"/>
      <c r="BX948" s="43"/>
      <c r="BY948" s="43"/>
      <c r="B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c r="AE949" s="43"/>
      <c r="AF949" s="43"/>
      <c r="AG949" s="43"/>
      <c r="AH949" s="43"/>
      <c r="AI949" s="43"/>
      <c r="AJ949" s="43"/>
      <c r="AK949" s="43"/>
      <c r="AL949" s="43"/>
      <c r="AM949" s="43"/>
      <c r="AN949" s="43"/>
      <c r="AO949" s="43"/>
      <c r="AP949" s="43"/>
      <c r="AQ949" s="43"/>
      <c r="AR949" s="43"/>
      <c r="AS949" s="43"/>
      <c r="AT949" s="43"/>
      <c r="AU949" s="43"/>
      <c r="AV949" s="43"/>
      <c r="AW949" s="43"/>
      <c r="AX949" s="43"/>
      <c r="AY949" s="43"/>
      <c r="AZ949" s="43"/>
      <c r="BA949" s="43"/>
      <c r="BB949" s="43"/>
      <c r="BC949" s="43"/>
      <c r="BD949" s="43"/>
      <c r="BE949" s="43"/>
      <c r="BF949" s="43"/>
      <c r="BG949" s="43"/>
      <c r="BH949" s="43"/>
      <c r="BI949" s="43"/>
      <c r="BJ949" s="43"/>
      <c r="BK949" s="43"/>
      <c r="BL949" s="43"/>
      <c r="BM949" s="43"/>
      <c r="BN949" s="43"/>
      <c r="BO949" s="43"/>
      <c r="BP949" s="43"/>
      <c r="BQ949" s="43"/>
      <c r="BR949" s="43"/>
      <c r="BS949" s="43"/>
      <c r="BT949" s="43"/>
      <c r="BU949" s="43"/>
      <c r="BV949" s="43"/>
      <c r="BW949" s="43"/>
      <c r="BX949" s="43"/>
      <c r="BY949" s="43"/>
      <c r="B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c r="AE950" s="43"/>
      <c r="AF950" s="43"/>
      <c r="AG950" s="43"/>
      <c r="AH950" s="43"/>
      <c r="AI950" s="43"/>
      <c r="AJ950" s="43"/>
      <c r="AK950" s="43"/>
      <c r="AL950" s="43"/>
      <c r="AM950" s="43"/>
      <c r="AN950" s="43"/>
      <c r="AO950" s="43"/>
      <c r="AP950" s="43"/>
      <c r="AQ950" s="43"/>
      <c r="AR950" s="43"/>
      <c r="AS950" s="43"/>
      <c r="AT950" s="43"/>
      <c r="AU950" s="43"/>
      <c r="AV950" s="43"/>
      <c r="AW950" s="43"/>
      <c r="AX950" s="43"/>
      <c r="AY950" s="43"/>
      <c r="AZ950" s="43"/>
      <c r="BA950" s="43"/>
      <c r="BB950" s="43"/>
      <c r="BC950" s="43"/>
      <c r="BD950" s="43"/>
      <c r="BE950" s="43"/>
      <c r="BF950" s="43"/>
      <c r="BG950" s="43"/>
      <c r="BH950" s="43"/>
      <c r="BI950" s="43"/>
      <c r="BJ950" s="43"/>
      <c r="BK950" s="43"/>
      <c r="BL950" s="43"/>
      <c r="BM950" s="43"/>
      <c r="BN950" s="43"/>
      <c r="BO950" s="43"/>
      <c r="BP950" s="43"/>
      <c r="BQ950" s="43"/>
      <c r="BR950" s="43"/>
      <c r="BS950" s="43"/>
      <c r="BT950" s="43"/>
      <c r="BU950" s="43"/>
      <c r="BV950" s="43"/>
      <c r="BW950" s="43"/>
      <c r="BX950" s="43"/>
      <c r="BY950" s="43"/>
      <c r="B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c r="AE951" s="43"/>
      <c r="AF951" s="43"/>
      <c r="AG951" s="43"/>
      <c r="AH951" s="43"/>
      <c r="AI951" s="43"/>
      <c r="AJ951" s="43"/>
      <c r="AK951" s="43"/>
      <c r="AL951" s="43"/>
      <c r="AM951" s="43"/>
      <c r="AN951" s="43"/>
      <c r="AO951" s="43"/>
      <c r="AP951" s="43"/>
      <c r="AQ951" s="43"/>
      <c r="AR951" s="43"/>
      <c r="AS951" s="43"/>
      <c r="AT951" s="43"/>
      <c r="AU951" s="43"/>
      <c r="AV951" s="43"/>
      <c r="AW951" s="43"/>
      <c r="AX951" s="43"/>
      <c r="AY951" s="43"/>
      <c r="AZ951" s="43"/>
      <c r="BA951" s="43"/>
      <c r="BB951" s="43"/>
      <c r="BC951" s="43"/>
      <c r="BD951" s="43"/>
      <c r="BE951" s="43"/>
      <c r="BF951" s="43"/>
      <c r="BG951" s="43"/>
      <c r="BH951" s="43"/>
      <c r="BI951" s="43"/>
      <c r="BJ951" s="43"/>
      <c r="BK951" s="43"/>
      <c r="BL951" s="43"/>
      <c r="BM951" s="43"/>
      <c r="BN951" s="43"/>
      <c r="BO951" s="43"/>
      <c r="BP951" s="43"/>
      <c r="BQ951" s="43"/>
      <c r="BR951" s="43"/>
      <c r="BS951" s="43"/>
      <c r="BT951" s="43"/>
      <c r="BU951" s="43"/>
      <c r="BV951" s="43"/>
      <c r="BW951" s="43"/>
      <c r="BX951" s="43"/>
      <c r="BY951" s="43"/>
      <c r="B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c r="AE952" s="43"/>
      <c r="AF952" s="43"/>
      <c r="AG952" s="43"/>
      <c r="AH952" s="43"/>
      <c r="AI952" s="43"/>
      <c r="AJ952" s="43"/>
      <c r="AK952" s="43"/>
      <c r="AL952" s="43"/>
      <c r="AM952" s="43"/>
      <c r="AN952" s="43"/>
      <c r="AO952" s="43"/>
      <c r="AP952" s="43"/>
      <c r="AQ952" s="43"/>
      <c r="AR952" s="43"/>
      <c r="AS952" s="43"/>
      <c r="AT952" s="43"/>
      <c r="AU952" s="43"/>
      <c r="AV952" s="43"/>
      <c r="AW952" s="43"/>
      <c r="AX952" s="43"/>
      <c r="AY952" s="43"/>
      <c r="AZ952" s="43"/>
      <c r="BA952" s="43"/>
      <c r="BB952" s="43"/>
      <c r="BC952" s="43"/>
      <c r="BD952" s="43"/>
      <c r="BE952" s="43"/>
      <c r="BF952" s="43"/>
      <c r="BG952" s="43"/>
      <c r="BH952" s="43"/>
      <c r="BI952" s="43"/>
      <c r="BJ952" s="43"/>
      <c r="BK952" s="43"/>
      <c r="BL952" s="43"/>
      <c r="BM952" s="43"/>
      <c r="BN952" s="43"/>
      <c r="BO952" s="43"/>
      <c r="BP952" s="43"/>
      <c r="BQ952" s="43"/>
      <c r="BR952" s="43"/>
      <c r="BS952" s="43"/>
      <c r="BT952" s="43"/>
      <c r="BU952" s="43"/>
      <c r="BV952" s="43"/>
      <c r="BW952" s="43"/>
      <c r="BX952" s="43"/>
      <c r="BY952" s="43"/>
      <c r="B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c r="AE953" s="43"/>
      <c r="AF953" s="43"/>
      <c r="AG953" s="43"/>
      <c r="AH953" s="43"/>
      <c r="AI953" s="43"/>
      <c r="AJ953" s="43"/>
      <c r="AK953" s="43"/>
      <c r="AL953" s="43"/>
      <c r="AM953" s="43"/>
      <c r="AN953" s="43"/>
      <c r="AO953" s="43"/>
      <c r="AP953" s="43"/>
      <c r="AQ953" s="43"/>
      <c r="AR953" s="43"/>
      <c r="AS953" s="43"/>
      <c r="AT953" s="43"/>
      <c r="AU953" s="43"/>
      <c r="AV953" s="43"/>
      <c r="AW953" s="43"/>
      <c r="AX953" s="43"/>
      <c r="AY953" s="43"/>
      <c r="AZ953" s="43"/>
      <c r="BA953" s="43"/>
      <c r="BB953" s="43"/>
      <c r="BC953" s="43"/>
      <c r="BD953" s="43"/>
      <c r="BE953" s="43"/>
      <c r="BF953" s="43"/>
      <c r="BG953" s="43"/>
      <c r="BH953" s="43"/>
      <c r="BI953" s="43"/>
      <c r="BJ953" s="43"/>
      <c r="BK953" s="43"/>
      <c r="BL953" s="43"/>
      <c r="BM953" s="43"/>
      <c r="BN953" s="43"/>
      <c r="BO953" s="43"/>
      <c r="BP953" s="43"/>
      <c r="BQ953" s="43"/>
      <c r="BR953" s="43"/>
      <c r="BS953" s="43"/>
      <c r="BT953" s="43"/>
      <c r="BU953" s="43"/>
      <c r="BV953" s="43"/>
      <c r="BW953" s="43"/>
      <c r="BX953" s="43"/>
      <c r="BY953" s="43"/>
      <c r="B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c r="AE954" s="43"/>
      <c r="AF954" s="43"/>
      <c r="AG954" s="43"/>
      <c r="AH954" s="43"/>
      <c r="AI954" s="43"/>
      <c r="AJ954" s="43"/>
      <c r="AK954" s="43"/>
      <c r="AL954" s="43"/>
      <c r="AM954" s="43"/>
      <c r="AN954" s="43"/>
      <c r="AO954" s="43"/>
      <c r="AP954" s="43"/>
      <c r="AQ954" s="43"/>
      <c r="AR954" s="43"/>
      <c r="AS954" s="43"/>
      <c r="AT954" s="43"/>
      <c r="AU954" s="43"/>
      <c r="AV954" s="43"/>
      <c r="AW954" s="43"/>
      <c r="AX954" s="43"/>
      <c r="AY954" s="43"/>
      <c r="AZ954" s="43"/>
      <c r="BA954" s="43"/>
      <c r="BB954" s="43"/>
      <c r="BC954" s="43"/>
      <c r="BD954" s="43"/>
      <c r="BE954" s="43"/>
      <c r="BF954" s="43"/>
      <c r="BG954" s="43"/>
      <c r="BH954" s="43"/>
      <c r="BI954" s="43"/>
      <c r="BJ954" s="43"/>
      <c r="BK954" s="43"/>
      <c r="BL954" s="43"/>
      <c r="BM954" s="43"/>
      <c r="BN954" s="43"/>
      <c r="BO954" s="43"/>
      <c r="BP954" s="43"/>
      <c r="BQ954" s="43"/>
      <c r="BR954" s="43"/>
      <c r="BS954" s="43"/>
      <c r="BT954" s="43"/>
      <c r="BU954" s="43"/>
      <c r="BV954" s="43"/>
      <c r="BW954" s="43"/>
      <c r="BX954" s="43"/>
      <c r="BY954" s="43"/>
      <c r="B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c r="AE955" s="43"/>
      <c r="AF955" s="43"/>
      <c r="AG955" s="43"/>
      <c r="AH955" s="43"/>
      <c r="AI955" s="43"/>
      <c r="AJ955" s="43"/>
      <c r="AK955" s="43"/>
      <c r="AL955" s="43"/>
      <c r="AM955" s="43"/>
      <c r="AN955" s="43"/>
      <c r="AO955" s="43"/>
      <c r="AP955" s="43"/>
      <c r="AQ955" s="43"/>
      <c r="AR955" s="43"/>
      <c r="AS955" s="43"/>
      <c r="AT955" s="43"/>
      <c r="AU955" s="43"/>
      <c r="AV955" s="43"/>
      <c r="AW955" s="43"/>
      <c r="AX955" s="43"/>
      <c r="AY955" s="43"/>
      <c r="AZ955" s="43"/>
      <c r="BA955" s="43"/>
      <c r="BB955" s="43"/>
      <c r="BC955" s="43"/>
      <c r="BD955" s="43"/>
      <c r="BE955" s="43"/>
      <c r="BF955" s="43"/>
      <c r="BG955" s="43"/>
      <c r="BH955" s="43"/>
      <c r="BI955" s="43"/>
      <c r="BJ955" s="43"/>
      <c r="BK955" s="43"/>
      <c r="BL955" s="43"/>
      <c r="BM955" s="43"/>
      <c r="BN955" s="43"/>
      <c r="BO955" s="43"/>
      <c r="BP955" s="43"/>
      <c r="BQ955" s="43"/>
      <c r="BR955" s="43"/>
      <c r="BS955" s="43"/>
      <c r="BT955" s="43"/>
      <c r="BU955" s="43"/>
      <c r="BV955" s="43"/>
      <c r="BW955" s="43"/>
      <c r="BX955" s="43"/>
      <c r="BY955" s="43"/>
      <c r="B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c r="AE956" s="43"/>
      <c r="AF956" s="43"/>
      <c r="AG956" s="43"/>
      <c r="AH956" s="43"/>
      <c r="AI956" s="43"/>
      <c r="AJ956" s="43"/>
      <c r="AK956" s="43"/>
      <c r="AL956" s="43"/>
      <c r="AM956" s="43"/>
      <c r="AN956" s="43"/>
      <c r="AO956" s="43"/>
      <c r="AP956" s="43"/>
      <c r="AQ956" s="43"/>
      <c r="AR956" s="43"/>
      <c r="AS956" s="43"/>
      <c r="AT956" s="43"/>
      <c r="AU956" s="43"/>
      <c r="AV956" s="43"/>
      <c r="AW956" s="43"/>
      <c r="AX956" s="43"/>
      <c r="AY956" s="43"/>
      <c r="AZ956" s="43"/>
      <c r="BA956" s="43"/>
      <c r="BB956" s="43"/>
      <c r="BC956" s="43"/>
      <c r="BD956" s="43"/>
      <c r="BE956" s="43"/>
      <c r="BF956" s="43"/>
      <c r="BG956" s="43"/>
      <c r="BH956" s="43"/>
      <c r="BI956" s="43"/>
      <c r="BJ956" s="43"/>
      <c r="BK956" s="43"/>
      <c r="BL956" s="43"/>
      <c r="BM956" s="43"/>
      <c r="BN956" s="43"/>
      <c r="BO956" s="43"/>
      <c r="BP956" s="43"/>
      <c r="BQ956" s="43"/>
      <c r="BR956" s="43"/>
      <c r="BS956" s="43"/>
      <c r="BT956" s="43"/>
      <c r="BU956" s="43"/>
      <c r="BV956" s="43"/>
      <c r="BW956" s="43"/>
      <c r="BX956" s="43"/>
      <c r="BY956" s="43"/>
      <c r="B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c r="AE957" s="43"/>
      <c r="AF957" s="43"/>
      <c r="AG957" s="43"/>
      <c r="AH957" s="43"/>
      <c r="AI957" s="43"/>
      <c r="AJ957" s="43"/>
      <c r="AK957" s="43"/>
      <c r="AL957" s="43"/>
      <c r="AM957" s="43"/>
      <c r="AN957" s="43"/>
      <c r="AO957" s="43"/>
      <c r="AP957" s="43"/>
      <c r="AQ957" s="43"/>
      <c r="AR957" s="43"/>
      <c r="AS957" s="43"/>
      <c r="AT957" s="43"/>
      <c r="AU957" s="43"/>
      <c r="AV957" s="43"/>
      <c r="AW957" s="43"/>
      <c r="AX957" s="43"/>
      <c r="AY957" s="43"/>
      <c r="AZ957" s="43"/>
      <c r="BA957" s="43"/>
      <c r="BB957" s="43"/>
      <c r="BC957" s="43"/>
      <c r="BD957" s="43"/>
      <c r="BE957" s="43"/>
      <c r="BF957" s="43"/>
      <c r="BG957" s="43"/>
      <c r="BH957" s="43"/>
      <c r="BI957" s="43"/>
      <c r="BJ957" s="43"/>
      <c r="BK957" s="43"/>
      <c r="BL957" s="43"/>
      <c r="BM957" s="43"/>
      <c r="BN957" s="43"/>
      <c r="BO957" s="43"/>
      <c r="BP957" s="43"/>
      <c r="BQ957" s="43"/>
      <c r="BR957" s="43"/>
      <c r="BS957" s="43"/>
      <c r="BT957" s="43"/>
      <c r="BU957" s="43"/>
      <c r="BV957" s="43"/>
      <c r="BW957" s="43"/>
      <c r="BX957" s="43"/>
      <c r="BY957" s="43"/>
      <c r="B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c r="AE958" s="43"/>
      <c r="AF958" s="43"/>
      <c r="AG958" s="43"/>
      <c r="AH958" s="43"/>
      <c r="AI958" s="43"/>
      <c r="AJ958" s="43"/>
      <c r="AK958" s="43"/>
      <c r="AL958" s="43"/>
      <c r="AM958" s="43"/>
      <c r="AN958" s="43"/>
      <c r="AO958" s="43"/>
      <c r="AP958" s="43"/>
      <c r="AQ958" s="43"/>
      <c r="AR958" s="43"/>
      <c r="AS958" s="43"/>
      <c r="AT958" s="43"/>
      <c r="AU958" s="43"/>
      <c r="AV958" s="43"/>
      <c r="AW958" s="43"/>
      <c r="AX958" s="43"/>
      <c r="AY958" s="43"/>
      <c r="AZ958" s="43"/>
      <c r="BA958" s="43"/>
      <c r="BB958" s="43"/>
      <c r="BC958" s="43"/>
      <c r="BD958" s="43"/>
      <c r="BE958" s="43"/>
      <c r="BF958" s="43"/>
      <c r="BG958" s="43"/>
      <c r="BH958" s="43"/>
      <c r="BI958" s="43"/>
      <c r="BJ958" s="43"/>
      <c r="BK958" s="43"/>
      <c r="BL958" s="43"/>
      <c r="BM958" s="43"/>
      <c r="BN958" s="43"/>
      <c r="BO958" s="43"/>
      <c r="BP958" s="43"/>
      <c r="BQ958" s="43"/>
      <c r="BR958" s="43"/>
      <c r="BS958" s="43"/>
      <c r="BT958" s="43"/>
      <c r="BU958" s="43"/>
      <c r="BV958" s="43"/>
      <c r="BW958" s="43"/>
      <c r="BX958" s="43"/>
      <c r="BY958" s="43"/>
      <c r="B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c r="AE959" s="43"/>
      <c r="AF959" s="43"/>
      <c r="AG959" s="43"/>
      <c r="AH959" s="43"/>
      <c r="AI959" s="43"/>
      <c r="AJ959" s="43"/>
      <c r="AK959" s="43"/>
      <c r="AL959" s="43"/>
      <c r="AM959" s="43"/>
      <c r="AN959" s="43"/>
      <c r="AO959" s="43"/>
      <c r="AP959" s="43"/>
      <c r="AQ959" s="43"/>
      <c r="AR959" s="43"/>
      <c r="AS959" s="43"/>
      <c r="AT959" s="43"/>
      <c r="AU959" s="43"/>
      <c r="AV959" s="43"/>
      <c r="AW959" s="43"/>
      <c r="AX959" s="43"/>
      <c r="AY959" s="43"/>
      <c r="AZ959" s="43"/>
      <c r="BA959" s="43"/>
      <c r="BB959" s="43"/>
      <c r="BC959" s="43"/>
      <c r="BD959" s="43"/>
      <c r="BE959" s="43"/>
      <c r="BF959" s="43"/>
      <c r="BG959" s="43"/>
      <c r="BH959" s="43"/>
      <c r="BI959" s="43"/>
      <c r="BJ959" s="43"/>
      <c r="BK959" s="43"/>
      <c r="BL959" s="43"/>
      <c r="BM959" s="43"/>
      <c r="BN959" s="43"/>
      <c r="BO959" s="43"/>
      <c r="BP959" s="43"/>
      <c r="BQ959" s="43"/>
      <c r="BR959" s="43"/>
      <c r="BS959" s="43"/>
      <c r="BT959" s="43"/>
      <c r="BU959" s="43"/>
      <c r="BV959" s="43"/>
      <c r="BW959" s="43"/>
      <c r="BX959" s="43"/>
      <c r="BY959" s="43"/>
      <c r="B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c r="AE960" s="43"/>
      <c r="AF960" s="43"/>
      <c r="AG960" s="43"/>
      <c r="AH960" s="43"/>
      <c r="AI960" s="43"/>
      <c r="AJ960" s="43"/>
      <c r="AK960" s="43"/>
      <c r="AL960" s="43"/>
      <c r="AM960" s="43"/>
      <c r="AN960" s="43"/>
      <c r="AO960" s="43"/>
      <c r="AP960" s="43"/>
      <c r="AQ960" s="43"/>
      <c r="AR960" s="43"/>
      <c r="AS960" s="43"/>
      <c r="AT960" s="43"/>
      <c r="AU960" s="43"/>
      <c r="AV960" s="43"/>
      <c r="AW960" s="43"/>
      <c r="AX960" s="43"/>
      <c r="AY960" s="43"/>
      <c r="AZ960" s="43"/>
      <c r="BA960" s="43"/>
      <c r="BB960" s="43"/>
      <c r="BC960" s="43"/>
      <c r="BD960" s="43"/>
      <c r="BE960" s="43"/>
      <c r="BF960" s="43"/>
      <c r="BG960" s="43"/>
      <c r="BH960" s="43"/>
      <c r="BI960" s="43"/>
      <c r="BJ960" s="43"/>
      <c r="BK960" s="43"/>
      <c r="BL960" s="43"/>
      <c r="BM960" s="43"/>
      <c r="BN960" s="43"/>
      <c r="BO960" s="43"/>
      <c r="BP960" s="43"/>
      <c r="BQ960" s="43"/>
      <c r="BR960" s="43"/>
      <c r="BS960" s="43"/>
      <c r="BT960" s="43"/>
      <c r="BU960" s="43"/>
      <c r="BV960" s="43"/>
      <c r="BW960" s="43"/>
      <c r="BX960" s="43"/>
      <c r="BY960" s="43"/>
      <c r="B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c r="AE961" s="43"/>
      <c r="AF961" s="43"/>
      <c r="AG961" s="43"/>
      <c r="AH961" s="43"/>
      <c r="AI961" s="43"/>
      <c r="AJ961" s="43"/>
      <c r="AK961" s="43"/>
      <c r="AL961" s="43"/>
      <c r="AM961" s="43"/>
      <c r="AN961" s="43"/>
      <c r="AO961" s="43"/>
      <c r="AP961" s="43"/>
      <c r="AQ961" s="43"/>
      <c r="AR961" s="43"/>
      <c r="AS961" s="43"/>
      <c r="AT961" s="43"/>
      <c r="AU961" s="43"/>
      <c r="AV961" s="43"/>
      <c r="AW961" s="43"/>
      <c r="AX961" s="43"/>
      <c r="AY961" s="43"/>
      <c r="AZ961" s="43"/>
      <c r="BA961" s="43"/>
      <c r="BB961" s="43"/>
      <c r="BC961" s="43"/>
      <c r="BD961" s="43"/>
      <c r="BE961" s="43"/>
      <c r="BF961" s="43"/>
      <c r="BG961" s="43"/>
      <c r="BH961" s="43"/>
      <c r="BI961" s="43"/>
      <c r="BJ961" s="43"/>
      <c r="BK961" s="43"/>
      <c r="BL961" s="43"/>
      <c r="BM961" s="43"/>
      <c r="BN961" s="43"/>
      <c r="BO961" s="43"/>
      <c r="BP961" s="43"/>
      <c r="BQ961" s="43"/>
      <c r="BR961" s="43"/>
      <c r="BS961" s="43"/>
      <c r="BT961" s="43"/>
      <c r="BU961" s="43"/>
      <c r="BV961" s="43"/>
      <c r="BW961" s="43"/>
      <c r="BX961" s="43"/>
      <c r="BY961" s="43"/>
      <c r="B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c r="AE962" s="43"/>
      <c r="AF962" s="43"/>
      <c r="AG962" s="43"/>
      <c r="AH962" s="43"/>
      <c r="AI962" s="43"/>
      <c r="AJ962" s="43"/>
      <c r="AK962" s="43"/>
      <c r="AL962" s="43"/>
      <c r="AM962" s="43"/>
      <c r="AN962" s="43"/>
      <c r="AO962" s="43"/>
      <c r="AP962" s="43"/>
      <c r="AQ962" s="43"/>
      <c r="AR962" s="43"/>
      <c r="AS962" s="43"/>
      <c r="AT962" s="43"/>
      <c r="AU962" s="43"/>
      <c r="AV962" s="43"/>
      <c r="AW962" s="43"/>
      <c r="AX962" s="43"/>
      <c r="AY962" s="43"/>
      <c r="AZ962" s="43"/>
      <c r="BA962" s="43"/>
      <c r="BB962" s="43"/>
      <c r="BC962" s="43"/>
      <c r="BD962" s="43"/>
      <c r="BE962" s="43"/>
      <c r="BF962" s="43"/>
      <c r="BG962" s="43"/>
      <c r="BH962" s="43"/>
      <c r="BI962" s="43"/>
      <c r="BJ962" s="43"/>
      <c r="BK962" s="43"/>
      <c r="BL962" s="43"/>
      <c r="BM962" s="43"/>
      <c r="BN962" s="43"/>
      <c r="BO962" s="43"/>
      <c r="BP962" s="43"/>
      <c r="BQ962" s="43"/>
      <c r="BR962" s="43"/>
      <c r="BS962" s="43"/>
      <c r="BT962" s="43"/>
      <c r="BU962" s="43"/>
      <c r="BV962" s="43"/>
      <c r="BW962" s="43"/>
      <c r="BX962" s="43"/>
      <c r="BY962" s="43"/>
      <c r="B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c r="AE963" s="43"/>
      <c r="AF963" s="43"/>
      <c r="AG963" s="43"/>
      <c r="AH963" s="43"/>
      <c r="AI963" s="43"/>
      <c r="AJ963" s="43"/>
      <c r="AK963" s="43"/>
      <c r="AL963" s="43"/>
      <c r="AM963" s="43"/>
      <c r="AN963" s="43"/>
      <c r="AO963" s="43"/>
      <c r="AP963" s="43"/>
      <c r="AQ963" s="43"/>
      <c r="AR963" s="43"/>
      <c r="AS963" s="43"/>
      <c r="AT963" s="43"/>
      <c r="AU963" s="43"/>
      <c r="AV963" s="43"/>
      <c r="AW963" s="43"/>
      <c r="AX963" s="43"/>
      <c r="AY963" s="43"/>
      <c r="AZ963" s="43"/>
      <c r="BA963" s="43"/>
      <c r="BB963" s="43"/>
      <c r="BC963" s="43"/>
      <c r="BD963" s="43"/>
      <c r="BE963" s="43"/>
      <c r="BF963" s="43"/>
      <c r="BG963" s="43"/>
      <c r="BH963" s="43"/>
      <c r="BI963" s="43"/>
      <c r="BJ963" s="43"/>
      <c r="BK963" s="43"/>
      <c r="BL963" s="43"/>
      <c r="BM963" s="43"/>
      <c r="BN963" s="43"/>
      <c r="BO963" s="43"/>
      <c r="BP963" s="43"/>
      <c r="BQ963" s="43"/>
      <c r="BR963" s="43"/>
      <c r="BS963" s="43"/>
      <c r="BT963" s="43"/>
      <c r="BU963" s="43"/>
      <c r="BV963" s="43"/>
      <c r="BW963" s="43"/>
      <c r="BX963" s="43"/>
      <c r="BY963" s="43"/>
      <c r="B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c r="AE964" s="43"/>
      <c r="AF964" s="43"/>
      <c r="AG964" s="43"/>
      <c r="AH964" s="43"/>
      <c r="AI964" s="43"/>
      <c r="AJ964" s="43"/>
      <c r="AK964" s="43"/>
      <c r="AL964" s="43"/>
      <c r="AM964" s="43"/>
      <c r="AN964" s="43"/>
      <c r="AO964" s="43"/>
      <c r="AP964" s="43"/>
      <c r="AQ964" s="43"/>
      <c r="AR964" s="43"/>
      <c r="AS964" s="43"/>
      <c r="AT964" s="43"/>
      <c r="AU964" s="43"/>
      <c r="AV964" s="43"/>
      <c r="AW964" s="43"/>
      <c r="AX964" s="43"/>
      <c r="AY964" s="43"/>
      <c r="AZ964" s="43"/>
      <c r="BA964" s="43"/>
      <c r="BB964" s="43"/>
      <c r="BC964" s="43"/>
      <c r="BD964" s="43"/>
      <c r="BE964" s="43"/>
      <c r="BF964" s="43"/>
      <c r="BG964" s="43"/>
      <c r="BH964" s="43"/>
      <c r="BI964" s="43"/>
      <c r="BJ964" s="43"/>
      <c r="BK964" s="43"/>
      <c r="BL964" s="43"/>
      <c r="BM964" s="43"/>
      <c r="BN964" s="43"/>
      <c r="BO964" s="43"/>
      <c r="BP964" s="43"/>
      <c r="BQ964" s="43"/>
      <c r="BR964" s="43"/>
      <c r="BS964" s="43"/>
      <c r="BT964" s="43"/>
      <c r="BU964" s="43"/>
      <c r="BV964" s="43"/>
      <c r="BW964" s="43"/>
      <c r="BX964" s="43"/>
      <c r="BY964" s="43"/>
      <c r="B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c r="AE965" s="43"/>
      <c r="AF965" s="43"/>
      <c r="AG965" s="43"/>
      <c r="AH965" s="43"/>
      <c r="AI965" s="43"/>
      <c r="AJ965" s="43"/>
      <c r="AK965" s="43"/>
      <c r="AL965" s="43"/>
      <c r="AM965" s="43"/>
      <c r="AN965" s="43"/>
      <c r="AO965" s="43"/>
      <c r="AP965" s="43"/>
      <c r="AQ965" s="43"/>
      <c r="AR965" s="43"/>
      <c r="AS965" s="43"/>
      <c r="AT965" s="43"/>
      <c r="AU965" s="43"/>
      <c r="AV965" s="43"/>
      <c r="AW965" s="43"/>
      <c r="AX965" s="43"/>
      <c r="AY965" s="43"/>
      <c r="AZ965" s="43"/>
      <c r="BA965" s="43"/>
      <c r="BB965" s="43"/>
      <c r="BC965" s="43"/>
      <c r="BD965" s="43"/>
      <c r="BE965" s="43"/>
      <c r="BF965" s="43"/>
      <c r="BG965" s="43"/>
      <c r="BH965" s="43"/>
      <c r="BI965" s="43"/>
      <c r="BJ965" s="43"/>
      <c r="BK965" s="43"/>
      <c r="BL965" s="43"/>
      <c r="BM965" s="43"/>
      <c r="BN965" s="43"/>
      <c r="BO965" s="43"/>
      <c r="BP965" s="43"/>
      <c r="BQ965" s="43"/>
      <c r="BR965" s="43"/>
      <c r="BS965" s="43"/>
      <c r="BT965" s="43"/>
      <c r="BU965" s="43"/>
      <c r="BV965" s="43"/>
      <c r="BW965" s="43"/>
      <c r="BX965" s="43"/>
      <c r="BY965" s="43"/>
      <c r="B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c r="AE966" s="43"/>
      <c r="AF966" s="43"/>
      <c r="AG966" s="43"/>
      <c r="AH966" s="43"/>
      <c r="AI966" s="43"/>
      <c r="AJ966" s="43"/>
      <c r="AK966" s="43"/>
      <c r="AL966" s="43"/>
      <c r="AM966" s="43"/>
      <c r="AN966" s="43"/>
      <c r="AO966" s="43"/>
      <c r="AP966" s="43"/>
      <c r="AQ966" s="43"/>
      <c r="AR966" s="43"/>
      <c r="AS966" s="43"/>
      <c r="AT966" s="43"/>
      <c r="AU966" s="43"/>
      <c r="AV966" s="43"/>
      <c r="AW966" s="43"/>
      <c r="AX966" s="43"/>
      <c r="AY966" s="43"/>
      <c r="AZ966" s="43"/>
      <c r="BA966" s="43"/>
      <c r="BB966" s="43"/>
      <c r="BC966" s="43"/>
      <c r="BD966" s="43"/>
      <c r="BE966" s="43"/>
      <c r="BF966" s="43"/>
      <c r="BG966" s="43"/>
      <c r="BH966" s="43"/>
      <c r="BI966" s="43"/>
      <c r="BJ966" s="43"/>
      <c r="BK966" s="43"/>
      <c r="BL966" s="43"/>
      <c r="BM966" s="43"/>
      <c r="BN966" s="43"/>
      <c r="BO966" s="43"/>
      <c r="BP966" s="43"/>
      <c r="BQ966" s="43"/>
      <c r="BR966" s="43"/>
      <c r="BS966" s="43"/>
      <c r="BT966" s="43"/>
      <c r="BU966" s="43"/>
      <c r="BV966" s="43"/>
      <c r="BW966" s="43"/>
      <c r="BX966" s="43"/>
      <c r="BY966" s="43"/>
      <c r="B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c r="AE967" s="43"/>
      <c r="AF967" s="43"/>
      <c r="AG967" s="43"/>
      <c r="AH967" s="43"/>
      <c r="AI967" s="43"/>
      <c r="AJ967" s="43"/>
      <c r="AK967" s="43"/>
      <c r="AL967" s="43"/>
      <c r="AM967" s="43"/>
      <c r="AN967" s="43"/>
      <c r="AO967" s="43"/>
      <c r="AP967" s="43"/>
      <c r="AQ967" s="43"/>
      <c r="AR967" s="43"/>
      <c r="AS967" s="43"/>
      <c r="AT967" s="43"/>
      <c r="AU967" s="43"/>
      <c r="AV967" s="43"/>
      <c r="AW967" s="43"/>
      <c r="AX967" s="43"/>
      <c r="AY967" s="43"/>
      <c r="AZ967" s="43"/>
      <c r="BA967" s="43"/>
      <c r="BB967" s="43"/>
      <c r="BC967" s="43"/>
      <c r="BD967" s="43"/>
      <c r="BE967" s="43"/>
      <c r="BF967" s="43"/>
      <c r="BG967" s="43"/>
      <c r="BH967" s="43"/>
      <c r="BI967" s="43"/>
      <c r="BJ967" s="43"/>
      <c r="BK967" s="43"/>
      <c r="BL967" s="43"/>
      <c r="BM967" s="43"/>
      <c r="BN967" s="43"/>
      <c r="BO967" s="43"/>
      <c r="BP967" s="43"/>
      <c r="BQ967" s="43"/>
      <c r="BR967" s="43"/>
      <c r="BS967" s="43"/>
      <c r="BT967" s="43"/>
      <c r="BU967" s="43"/>
      <c r="BV967" s="43"/>
      <c r="BW967" s="43"/>
      <c r="BX967" s="43"/>
      <c r="BY967" s="43"/>
      <c r="B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c r="AE968" s="43"/>
      <c r="AF968" s="43"/>
      <c r="AG968" s="43"/>
      <c r="AH968" s="43"/>
      <c r="AI968" s="43"/>
      <c r="AJ968" s="43"/>
      <c r="AK968" s="43"/>
      <c r="AL968" s="43"/>
      <c r="AM968" s="43"/>
      <c r="AN968" s="43"/>
      <c r="AO968" s="43"/>
      <c r="AP968" s="43"/>
      <c r="AQ968" s="43"/>
      <c r="AR968" s="43"/>
      <c r="AS968" s="43"/>
      <c r="AT968" s="43"/>
      <c r="AU968" s="43"/>
      <c r="AV968" s="43"/>
      <c r="AW968" s="43"/>
      <c r="AX968" s="43"/>
      <c r="AY968" s="43"/>
      <c r="AZ968" s="43"/>
      <c r="BA968" s="43"/>
      <c r="BB968" s="43"/>
      <c r="BC968" s="43"/>
      <c r="BD968" s="43"/>
      <c r="BE968" s="43"/>
      <c r="BF968" s="43"/>
      <c r="BG968" s="43"/>
      <c r="BH968" s="43"/>
      <c r="BI968" s="43"/>
      <c r="BJ968" s="43"/>
      <c r="BK968" s="43"/>
      <c r="BL968" s="43"/>
      <c r="BM968" s="43"/>
      <c r="BN968" s="43"/>
      <c r="BO968" s="43"/>
      <c r="BP968" s="43"/>
      <c r="BQ968" s="43"/>
      <c r="BR968" s="43"/>
      <c r="BS968" s="43"/>
      <c r="BT968" s="43"/>
      <c r="BU968" s="43"/>
      <c r="BV968" s="43"/>
      <c r="BW968" s="43"/>
      <c r="BX968" s="43"/>
      <c r="BY968" s="43"/>
      <c r="B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c r="AE969" s="43"/>
      <c r="AF969" s="43"/>
      <c r="AG969" s="43"/>
      <c r="AH969" s="43"/>
      <c r="AI969" s="43"/>
      <c r="AJ969" s="43"/>
      <c r="AK969" s="43"/>
      <c r="AL969" s="43"/>
      <c r="AM969" s="43"/>
      <c r="AN969" s="43"/>
      <c r="AO969" s="43"/>
      <c r="AP969" s="43"/>
      <c r="AQ969" s="43"/>
      <c r="AR969" s="43"/>
      <c r="AS969" s="43"/>
      <c r="AT969" s="43"/>
      <c r="AU969" s="43"/>
      <c r="AV969" s="43"/>
      <c r="AW969" s="43"/>
      <c r="AX969" s="43"/>
      <c r="AY969" s="43"/>
      <c r="AZ969" s="43"/>
      <c r="BA969" s="43"/>
      <c r="BB969" s="43"/>
      <c r="BC969" s="43"/>
      <c r="BD969" s="43"/>
      <c r="BE969" s="43"/>
      <c r="BF969" s="43"/>
      <c r="BG969" s="43"/>
      <c r="BH969" s="43"/>
      <c r="BI969" s="43"/>
      <c r="BJ969" s="43"/>
      <c r="BK969" s="43"/>
      <c r="BL969" s="43"/>
      <c r="BM969" s="43"/>
      <c r="BN969" s="43"/>
      <c r="BO969" s="43"/>
      <c r="BP969" s="43"/>
      <c r="BQ969" s="43"/>
      <c r="BR969" s="43"/>
      <c r="BS969" s="43"/>
      <c r="BT969" s="43"/>
      <c r="BU969" s="43"/>
      <c r="BV969" s="43"/>
      <c r="BW969" s="43"/>
      <c r="BX969" s="43"/>
      <c r="BY969" s="43"/>
      <c r="B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c r="AE970" s="43"/>
      <c r="AF970" s="43"/>
      <c r="AG970" s="43"/>
      <c r="AH970" s="43"/>
      <c r="AI970" s="43"/>
      <c r="AJ970" s="43"/>
      <c r="AK970" s="43"/>
      <c r="AL970" s="43"/>
      <c r="AM970" s="43"/>
      <c r="AN970" s="43"/>
      <c r="AO970" s="43"/>
      <c r="AP970" s="43"/>
      <c r="AQ970" s="43"/>
      <c r="AR970" s="43"/>
      <c r="AS970" s="43"/>
      <c r="AT970" s="43"/>
      <c r="AU970" s="43"/>
      <c r="AV970" s="43"/>
      <c r="AW970" s="43"/>
      <c r="AX970" s="43"/>
      <c r="AY970" s="43"/>
      <c r="AZ970" s="43"/>
      <c r="BA970" s="43"/>
      <c r="BB970" s="43"/>
      <c r="BC970" s="43"/>
      <c r="BD970" s="43"/>
      <c r="BE970" s="43"/>
      <c r="BF970" s="43"/>
      <c r="BG970" s="43"/>
      <c r="BH970" s="43"/>
      <c r="BI970" s="43"/>
      <c r="BJ970" s="43"/>
      <c r="BK970" s="43"/>
      <c r="BL970" s="43"/>
      <c r="BM970" s="43"/>
      <c r="BN970" s="43"/>
      <c r="BO970" s="43"/>
      <c r="BP970" s="43"/>
      <c r="BQ970" s="43"/>
      <c r="BR970" s="43"/>
      <c r="BS970" s="43"/>
      <c r="BT970" s="43"/>
      <c r="BU970" s="43"/>
      <c r="BV970" s="43"/>
      <c r="BW970" s="43"/>
      <c r="BX970" s="43"/>
      <c r="BY970" s="43"/>
      <c r="B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c r="AE971" s="43"/>
      <c r="AF971" s="43"/>
      <c r="AG971" s="43"/>
      <c r="AH971" s="43"/>
      <c r="AI971" s="43"/>
      <c r="AJ971" s="43"/>
      <c r="AK971" s="43"/>
      <c r="AL971" s="43"/>
      <c r="AM971" s="43"/>
      <c r="AN971" s="43"/>
      <c r="AO971" s="43"/>
      <c r="AP971" s="43"/>
      <c r="AQ971" s="43"/>
      <c r="AR971" s="43"/>
      <c r="AS971" s="43"/>
      <c r="AT971" s="43"/>
      <c r="AU971" s="43"/>
      <c r="AV971" s="43"/>
      <c r="AW971" s="43"/>
      <c r="AX971" s="43"/>
      <c r="AY971" s="43"/>
      <c r="AZ971" s="43"/>
      <c r="BA971" s="43"/>
      <c r="BB971" s="43"/>
      <c r="BC971" s="43"/>
      <c r="BD971" s="43"/>
      <c r="BE971" s="43"/>
      <c r="BF971" s="43"/>
      <c r="BG971" s="43"/>
      <c r="BH971" s="43"/>
      <c r="BI971" s="43"/>
      <c r="BJ971" s="43"/>
      <c r="BK971" s="43"/>
      <c r="BL971" s="43"/>
      <c r="BM971" s="43"/>
      <c r="BN971" s="43"/>
      <c r="BO971" s="43"/>
      <c r="BP971" s="43"/>
      <c r="BQ971" s="43"/>
      <c r="BR971" s="43"/>
      <c r="BS971" s="43"/>
      <c r="BT971" s="43"/>
      <c r="BU971" s="43"/>
      <c r="BV971" s="43"/>
      <c r="BW971" s="43"/>
      <c r="BX971" s="43"/>
      <c r="BY971" s="43"/>
      <c r="B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c r="AE972" s="43"/>
      <c r="AF972" s="43"/>
      <c r="AG972" s="43"/>
      <c r="AH972" s="43"/>
      <c r="AI972" s="43"/>
      <c r="AJ972" s="43"/>
      <c r="AK972" s="43"/>
      <c r="AL972" s="43"/>
      <c r="AM972" s="43"/>
      <c r="AN972" s="43"/>
      <c r="AO972" s="43"/>
      <c r="AP972" s="43"/>
      <c r="AQ972" s="43"/>
      <c r="AR972" s="43"/>
      <c r="AS972" s="43"/>
      <c r="AT972" s="43"/>
      <c r="AU972" s="43"/>
      <c r="AV972" s="43"/>
      <c r="AW972" s="43"/>
      <c r="AX972" s="43"/>
      <c r="AY972" s="43"/>
      <c r="AZ972" s="43"/>
      <c r="BA972" s="43"/>
      <c r="BB972" s="43"/>
      <c r="BC972" s="43"/>
      <c r="BD972" s="43"/>
      <c r="BE972" s="43"/>
      <c r="BF972" s="43"/>
      <c r="BG972" s="43"/>
      <c r="BH972" s="43"/>
      <c r="BI972" s="43"/>
      <c r="BJ972" s="43"/>
      <c r="BK972" s="43"/>
      <c r="BL972" s="43"/>
      <c r="BM972" s="43"/>
      <c r="BN972" s="43"/>
      <c r="BO972" s="43"/>
      <c r="BP972" s="43"/>
      <c r="BQ972" s="43"/>
      <c r="BR972" s="43"/>
      <c r="BS972" s="43"/>
      <c r="BT972" s="43"/>
      <c r="BU972" s="43"/>
      <c r="BV972" s="43"/>
      <c r="BW972" s="43"/>
      <c r="BX972" s="43"/>
      <c r="BY972" s="43"/>
      <c r="B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c r="AE973" s="43"/>
      <c r="AF973" s="43"/>
      <c r="AG973" s="43"/>
      <c r="AH973" s="43"/>
      <c r="AI973" s="43"/>
      <c r="AJ973" s="43"/>
      <c r="AK973" s="43"/>
      <c r="AL973" s="43"/>
      <c r="AM973" s="43"/>
      <c r="AN973" s="43"/>
      <c r="AO973" s="43"/>
      <c r="AP973" s="43"/>
      <c r="AQ973" s="43"/>
      <c r="AR973" s="43"/>
      <c r="AS973" s="43"/>
      <c r="AT973" s="43"/>
      <c r="AU973" s="43"/>
      <c r="AV973" s="43"/>
      <c r="AW973" s="43"/>
      <c r="AX973" s="43"/>
      <c r="AY973" s="43"/>
      <c r="AZ973" s="43"/>
      <c r="BA973" s="43"/>
      <c r="BB973" s="43"/>
      <c r="BC973" s="43"/>
      <c r="BD973" s="43"/>
      <c r="BE973" s="43"/>
      <c r="BF973" s="43"/>
      <c r="BG973" s="43"/>
      <c r="BH973" s="43"/>
      <c r="BI973" s="43"/>
      <c r="BJ973" s="43"/>
      <c r="BK973" s="43"/>
      <c r="BL973" s="43"/>
      <c r="BM973" s="43"/>
      <c r="BN973" s="43"/>
      <c r="BO973" s="43"/>
      <c r="BP973" s="43"/>
      <c r="BQ973" s="43"/>
      <c r="BR973" s="43"/>
      <c r="BS973" s="43"/>
      <c r="BT973" s="43"/>
      <c r="BU973" s="43"/>
      <c r="BV973" s="43"/>
      <c r="BW973" s="43"/>
      <c r="BX973" s="43"/>
      <c r="BY973" s="43"/>
      <c r="B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c r="AE974" s="43"/>
      <c r="AF974" s="43"/>
      <c r="AG974" s="43"/>
      <c r="AH974" s="43"/>
      <c r="AI974" s="43"/>
      <c r="AJ974" s="43"/>
      <c r="AK974" s="43"/>
      <c r="AL974" s="43"/>
      <c r="AM974" s="43"/>
      <c r="AN974" s="43"/>
      <c r="AO974" s="43"/>
      <c r="AP974" s="43"/>
      <c r="AQ974" s="43"/>
      <c r="AR974" s="43"/>
      <c r="AS974" s="43"/>
      <c r="AT974" s="43"/>
      <c r="AU974" s="43"/>
      <c r="AV974" s="43"/>
      <c r="AW974" s="43"/>
      <c r="AX974" s="43"/>
      <c r="AY974" s="43"/>
      <c r="AZ974" s="43"/>
      <c r="BA974" s="43"/>
      <c r="BB974" s="43"/>
      <c r="BC974" s="43"/>
      <c r="BD974" s="43"/>
      <c r="BE974" s="43"/>
      <c r="BF974" s="43"/>
      <c r="BG974" s="43"/>
      <c r="BH974" s="43"/>
      <c r="BI974" s="43"/>
      <c r="BJ974" s="43"/>
      <c r="BK974" s="43"/>
      <c r="BL974" s="43"/>
      <c r="BM974" s="43"/>
      <c r="BN974" s="43"/>
      <c r="BO974" s="43"/>
      <c r="BP974" s="43"/>
      <c r="BQ974" s="43"/>
      <c r="BR974" s="43"/>
      <c r="BS974" s="43"/>
      <c r="BT974" s="43"/>
      <c r="BU974" s="43"/>
      <c r="BV974" s="43"/>
      <c r="BW974" s="43"/>
      <c r="BX974" s="43"/>
      <c r="BY974" s="43"/>
      <c r="B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c r="AE975" s="43"/>
      <c r="AF975" s="43"/>
      <c r="AG975" s="43"/>
      <c r="AH975" s="43"/>
      <c r="AI975" s="43"/>
      <c r="AJ975" s="43"/>
      <c r="AK975" s="43"/>
      <c r="AL975" s="43"/>
      <c r="AM975" s="43"/>
      <c r="AN975" s="43"/>
      <c r="AO975" s="43"/>
      <c r="AP975" s="43"/>
      <c r="AQ975" s="43"/>
      <c r="AR975" s="43"/>
      <c r="AS975" s="43"/>
      <c r="AT975" s="43"/>
      <c r="AU975" s="43"/>
      <c r="AV975" s="43"/>
      <c r="AW975" s="43"/>
      <c r="AX975" s="43"/>
      <c r="AY975" s="43"/>
      <c r="AZ975" s="43"/>
      <c r="BA975" s="43"/>
      <c r="BB975" s="43"/>
      <c r="BC975" s="43"/>
      <c r="BD975" s="43"/>
      <c r="BE975" s="43"/>
      <c r="BF975" s="43"/>
      <c r="BG975" s="43"/>
      <c r="BH975" s="43"/>
      <c r="BI975" s="43"/>
      <c r="BJ975" s="43"/>
      <c r="BK975" s="43"/>
      <c r="BL975" s="43"/>
      <c r="BM975" s="43"/>
      <c r="BN975" s="43"/>
      <c r="BO975" s="43"/>
      <c r="BP975" s="43"/>
      <c r="BQ975" s="43"/>
      <c r="BR975" s="43"/>
      <c r="BS975" s="43"/>
      <c r="BT975" s="43"/>
      <c r="BU975" s="43"/>
      <c r="BV975" s="43"/>
      <c r="BW975" s="43"/>
      <c r="BX975" s="43"/>
      <c r="BY975" s="43"/>
      <c r="B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c r="AE976" s="43"/>
      <c r="AF976" s="43"/>
      <c r="AG976" s="43"/>
      <c r="AH976" s="43"/>
      <c r="AI976" s="43"/>
      <c r="AJ976" s="43"/>
      <c r="AK976" s="43"/>
      <c r="AL976" s="43"/>
      <c r="AM976" s="43"/>
      <c r="AN976" s="43"/>
      <c r="AO976" s="43"/>
      <c r="AP976" s="43"/>
      <c r="AQ976" s="43"/>
      <c r="AR976" s="43"/>
      <c r="AS976" s="43"/>
      <c r="AT976" s="43"/>
      <c r="AU976" s="43"/>
      <c r="AV976" s="43"/>
      <c r="AW976" s="43"/>
      <c r="AX976" s="43"/>
      <c r="AY976" s="43"/>
      <c r="AZ976" s="43"/>
      <c r="BA976" s="43"/>
      <c r="BB976" s="43"/>
      <c r="BC976" s="43"/>
      <c r="BD976" s="43"/>
      <c r="BE976" s="43"/>
      <c r="BF976" s="43"/>
      <c r="BG976" s="43"/>
      <c r="BH976" s="43"/>
      <c r="BI976" s="43"/>
      <c r="BJ976" s="43"/>
      <c r="BK976" s="43"/>
      <c r="BL976" s="43"/>
      <c r="BM976" s="43"/>
      <c r="BN976" s="43"/>
      <c r="BO976" s="43"/>
      <c r="BP976" s="43"/>
      <c r="BQ976" s="43"/>
      <c r="BR976" s="43"/>
      <c r="BS976" s="43"/>
      <c r="BT976" s="43"/>
      <c r="BU976" s="43"/>
      <c r="BV976" s="43"/>
      <c r="BW976" s="43"/>
      <c r="BX976" s="43"/>
      <c r="BY976" s="43"/>
      <c r="B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c r="AE977" s="43"/>
      <c r="AF977" s="43"/>
      <c r="AG977" s="43"/>
      <c r="AH977" s="43"/>
      <c r="AI977" s="43"/>
      <c r="AJ977" s="43"/>
      <c r="AK977" s="43"/>
      <c r="AL977" s="43"/>
      <c r="AM977" s="43"/>
      <c r="AN977" s="43"/>
      <c r="AO977" s="43"/>
      <c r="AP977" s="43"/>
      <c r="AQ977" s="43"/>
      <c r="AR977" s="43"/>
      <c r="AS977" s="43"/>
      <c r="AT977" s="43"/>
      <c r="AU977" s="43"/>
      <c r="AV977" s="43"/>
      <c r="AW977" s="43"/>
      <c r="AX977" s="43"/>
      <c r="AY977" s="43"/>
      <c r="AZ977" s="43"/>
      <c r="BA977" s="43"/>
      <c r="BB977" s="43"/>
      <c r="BC977" s="43"/>
      <c r="BD977" s="43"/>
      <c r="BE977" s="43"/>
      <c r="BF977" s="43"/>
      <c r="BG977" s="43"/>
      <c r="BH977" s="43"/>
      <c r="BI977" s="43"/>
      <c r="BJ977" s="43"/>
      <c r="BK977" s="43"/>
      <c r="BL977" s="43"/>
      <c r="BM977" s="43"/>
      <c r="BN977" s="43"/>
      <c r="BO977" s="43"/>
      <c r="BP977" s="43"/>
      <c r="BQ977" s="43"/>
      <c r="BR977" s="43"/>
      <c r="BS977" s="43"/>
      <c r="BT977" s="43"/>
      <c r="BU977" s="43"/>
      <c r="BV977" s="43"/>
      <c r="BW977" s="43"/>
      <c r="BX977" s="43"/>
      <c r="BY977" s="43"/>
      <c r="B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c r="AE978" s="43"/>
      <c r="AF978" s="43"/>
      <c r="AG978" s="43"/>
      <c r="AH978" s="43"/>
      <c r="AI978" s="43"/>
      <c r="AJ978" s="43"/>
      <c r="AK978" s="43"/>
      <c r="AL978" s="43"/>
      <c r="AM978" s="43"/>
      <c r="AN978" s="43"/>
      <c r="AO978" s="43"/>
      <c r="AP978" s="43"/>
      <c r="AQ978" s="43"/>
      <c r="AR978" s="43"/>
      <c r="AS978" s="43"/>
      <c r="AT978" s="43"/>
      <c r="AU978" s="43"/>
      <c r="AV978" s="43"/>
      <c r="AW978" s="43"/>
      <c r="AX978" s="43"/>
      <c r="AY978" s="43"/>
      <c r="AZ978" s="43"/>
      <c r="BA978" s="43"/>
      <c r="BB978" s="43"/>
      <c r="BC978" s="43"/>
      <c r="BD978" s="43"/>
      <c r="BE978" s="43"/>
      <c r="BF978" s="43"/>
      <c r="BG978" s="43"/>
      <c r="BH978" s="43"/>
      <c r="BI978" s="43"/>
      <c r="BJ978" s="43"/>
      <c r="BK978" s="43"/>
      <c r="BL978" s="43"/>
      <c r="BM978" s="43"/>
      <c r="BN978" s="43"/>
      <c r="BO978" s="43"/>
      <c r="BP978" s="43"/>
      <c r="BQ978" s="43"/>
      <c r="BR978" s="43"/>
      <c r="BS978" s="43"/>
      <c r="BT978" s="43"/>
      <c r="BU978" s="43"/>
      <c r="BV978" s="43"/>
      <c r="BW978" s="43"/>
      <c r="BX978" s="43"/>
      <c r="BY978" s="43"/>
      <c r="B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c r="AE979" s="43"/>
      <c r="AF979" s="43"/>
      <c r="AG979" s="43"/>
      <c r="AH979" s="43"/>
      <c r="AI979" s="43"/>
      <c r="AJ979" s="43"/>
      <c r="AK979" s="43"/>
      <c r="AL979" s="43"/>
      <c r="AM979" s="43"/>
      <c r="AN979" s="43"/>
      <c r="AO979" s="43"/>
      <c r="AP979" s="43"/>
      <c r="AQ979" s="43"/>
      <c r="AR979" s="43"/>
      <c r="AS979" s="43"/>
      <c r="AT979" s="43"/>
      <c r="AU979" s="43"/>
      <c r="AV979" s="43"/>
      <c r="AW979" s="43"/>
      <c r="AX979" s="43"/>
      <c r="AY979" s="43"/>
      <c r="AZ979" s="43"/>
      <c r="BA979" s="43"/>
      <c r="BB979" s="43"/>
      <c r="BC979" s="43"/>
      <c r="BD979" s="43"/>
      <c r="BE979" s="43"/>
      <c r="BF979" s="43"/>
      <c r="BG979" s="43"/>
      <c r="BH979" s="43"/>
      <c r="BI979" s="43"/>
      <c r="BJ979" s="43"/>
      <c r="BK979" s="43"/>
      <c r="BL979" s="43"/>
      <c r="BM979" s="43"/>
      <c r="BN979" s="43"/>
      <c r="BO979" s="43"/>
      <c r="BP979" s="43"/>
      <c r="BQ979" s="43"/>
      <c r="BR979" s="43"/>
      <c r="BS979" s="43"/>
      <c r="BT979" s="43"/>
      <c r="BU979" s="43"/>
      <c r="BV979" s="43"/>
      <c r="BW979" s="43"/>
      <c r="BX979" s="43"/>
      <c r="BY979" s="43"/>
      <c r="B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c r="AE980" s="43"/>
      <c r="AF980" s="43"/>
      <c r="AG980" s="43"/>
      <c r="AH980" s="43"/>
      <c r="AI980" s="43"/>
      <c r="AJ980" s="43"/>
      <c r="AK980" s="43"/>
      <c r="AL980" s="43"/>
      <c r="AM980" s="43"/>
      <c r="AN980" s="43"/>
      <c r="AO980" s="43"/>
      <c r="AP980" s="43"/>
      <c r="AQ980" s="43"/>
      <c r="AR980" s="43"/>
      <c r="AS980" s="43"/>
      <c r="AT980" s="43"/>
      <c r="AU980" s="43"/>
      <c r="AV980" s="43"/>
      <c r="AW980" s="43"/>
      <c r="AX980" s="43"/>
      <c r="AY980" s="43"/>
      <c r="AZ980" s="43"/>
      <c r="BA980" s="43"/>
      <c r="BB980" s="43"/>
      <c r="BC980" s="43"/>
      <c r="BD980" s="43"/>
      <c r="BE980" s="43"/>
      <c r="BF980" s="43"/>
      <c r="BG980" s="43"/>
      <c r="BH980" s="43"/>
      <c r="BI980" s="43"/>
      <c r="BJ980" s="43"/>
      <c r="BK980" s="43"/>
      <c r="BL980" s="43"/>
      <c r="BM980" s="43"/>
      <c r="BN980" s="43"/>
      <c r="BO980" s="43"/>
      <c r="BP980" s="43"/>
      <c r="BQ980" s="43"/>
      <c r="BR980" s="43"/>
      <c r="BS980" s="43"/>
      <c r="BT980" s="43"/>
      <c r="BU980" s="43"/>
      <c r="BV980" s="43"/>
      <c r="BW980" s="43"/>
      <c r="BX980" s="43"/>
      <c r="BY980" s="43"/>
      <c r="B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c r="AE981" s="43"/>
      <c r="AF981" s="43"/>
      <c r="AG981" s="43"/>
      <c r="AH981" s="43"/>
      <c r="AI981" s="43"/>
      <c r="AJ981" s="43"/>
      <c r="AK981" s="43"/>
      <c r="AL981" s="43"/>
      <c r="AM981" s="43"/>
      <c r="AN981" s="43"/>
      <c r="AO981" s="43"/>
      <c r="AP981" s="43"/>
      <c r="AQ981" s="43"/>
      <c r="AR981" s="43"/>
      <c r="AS981" s="43"/>
      <c r="AT981" s="43"/>
      <c r="AU981" s="43"/>
      <c r="AV981" s="43"/>
      <c r="AW981" s="43"/>
      <c r="AX981" s="43"/>
      <c r="AY981" s="43"/>
      <c r="AZ981" s="43"/>
      <c r="BA981" s="43"/>
      <c r="BB981" s="43"/>
      <c r="BC981" s="43"/>
      <c r="BD981" s="43"/>
      <c r="BE981" s="43"/>
      <c r="BF981" s="43"/>
      <c r="BG981" s="43"/>
      <c r="BH981" s="43"/>
      <c r="BI981" s="43"/>
      <c r="BJ981" s="43"/>
      <c r="BK981" s="43"/>
      <c r="BL981" s="43"/>
      <c r="BM981" s="43"/>
      <c r="BN981" s="43"/>
      <c r="BO981" s="43"/>
      <c r="BP981" s="43"/>
      <c r="BQ981" s="43"/>
      <c r="BR981" s="43"/>
      <c r="BS981" s="43"/>
      <c r="BT981" s="43"/>
      <c r="BU981" s="43"/>
      <c r="BV981" s="43"/>
      <c r="BW981" s="43"/>
      <c r="BX981" s="43"/>
      <c r="BY981" s="43"/>
      <c r="B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c r="AE982" s="43"/>
      <c r="AF982" s="43"/>
      <c r="AG982" s="43"/>
      <c r="AH982" s="43"/>
      <c r="AI982" s="43"/>
      <c r="AJ982" s="43"/>
      <c r="AK982" s="43"/>
      <c r="AL982" s="43"/>
      <c r="AM982" s="43"/>
      <c r="AN982" s="43"/>
      <c r="AO982" s="43"/>
      <c r="AP982" s="43"/>
      <c r="AQ982" s="43"/>
      <c r="AR982" s="43"/>
      <c r="AS982" s="43"/>
      <c r="AT982" s="43"/>
      <c r="AU982" s="43"/>
      <c r="AV982" s="43"/>
      <c r="AW982" s="43"/>
      <c r="AX982" s="43"/>
      <c r="AY982" s="43"/>
      <c r="AZ982" s="43"/>
      <c r="BA982" s="43"/>
      <c r="BB982" s="43"/>
      <c r="BC982" s="43"/>
      <c r="BD982" s="43"/>
      <c r="BE982" s="43"/>
      <c r="BF982" s="43"/>
      <c r="BG982" s="43"/>
      <c r="BH982" s="43"/>
      <c r="BI982" s="43"/>
      <c r="BJ982" s="43"/>
      <c r="BK982" s="43"/>
      <c r="BL982" s="43"/>
      <c r="BM982" s="43"/>
      <c r="BN982" s="43"/>
      <c r="BO982" s="43"/>
      <c r="BP982" s="43"/>
      <c r="BQ982" s="43"/>
      <c r="BR982" s="43"/>
      <c r="BS982" s="43"/>
      <c r="BT982" s="43"/>
      <c r="BU982" s="43"/>
      <c r="BV982" s="43"/>
      <c r="BW982" s="43"/>
      <c r="BX982" s="43"/>
      <c r="BY982" s="43"/>
      <c r="B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c r="AE983" s="43"/>
      <c r="AF983" s="43"/>
      <c r="AG983" s="43"/>
      <c r="AH983" s="43"/>
      <c r="AI983" s="43"/>
      <c r="AJ983" s="43"/>
      <c r="AK983" s="43"/>
      <c r="AL983" s="43"/>
      <c r="AM983" s="43"/>
      <c r="AN983" s="43"/>
      <c r="AO983" s="43"/>
      <c r="AP983" s="43"/>
      <c r="AQ983" s="43"/>
      <c r="AR983" s="43"/>
      <c r="AS983" s="43"/>
      <c r="AT983" s="43"/>
      <c r="AU983" s="43"/>
      <c r="AV983" s="43"/>
      <c r="AW983" s="43"/>
      <c r="AX983" s="43"/>
      <c r="AY983" s="43"/>
      <c r="AZ983" s="43"/>
      <c r="BA983" s="43"/>
      <c r="BB983" s="43"/>
      <c r="BC983" s="43"/>
      <c r="BD983" s="43"/>
      <c r="BE983" s="43"/>
      <c r="BF983" s="43"/>
      <c r="BG983" s="43"/>
      <c r="BH983" s="43"/>
      <c r="BI983" s="43"/>
      <c r="BJ983" s="43"/>
      <c r="BK983" s="43"/>
      <c r="BL983" s="43"/>
      <c r="BM983" s="43"/>
      <c r="BN983" s="43"/>
      <c r="BO983" s="43"/>
      <c r="BP983" s="43"/>
      <c r="BQ983" s="43"/>
      <c r="BR983" s="43"/>
      <c r="BS983" s="43"/>
      <c r="BT983" s="43"/>
      <c r="BU983" s="43"/>
      <c r="BV983" s="43"/>
      <c r="BW983" s="43"/>
      <c r="BX983" s="43"/>
      <c r="BY983" s="43"/>
      <c r="B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c r="AE984" s="43"/>
      <c r="AF984" s="43"/>
      <c r="AG984" s="43"/>
      <c r="AH984" s="43"/>
      <c r="AI984" s="43"/>
      <c r="AJ984" s="43"/>
      <c r="AK984" s="43"/>
      <c r="AL984" s="43"/>
      <c r="AM984" s="43"/>
      <c r="AN984" s="43"/>
      <c r="AO984" s="43"/>
      <c r="AP984" s="43"/>
      <c r="AQ984" s="43"/>
      <c r="AR984" s="43"/>
      <c r="AS984" s="43"/>
      <c r="AT984" s="43"/>
      <c r="AU984" s="43"/>
      <c r="AV984" s="43"/>
      <c r="AW984" s="43"/>
      <c r="AX984" s="43"/>
      <c r="AY984" s="43"/>
      <c r="AZ984" s="43"/>
      <c r="BA984" s="43"/>
      <c r="BB984" s="43"/>
      <c r="BC984" s="43"/>
      <c r="BD984" s="43"/>
      <c r="BE984" s="43"/>
      <c r="BF984" s="43"/>
      <c r="BG984" s="43"/>
      <c r="BH984" s="43"/>
      <c r="BI984" s="43"/>
      <c r="BJ984" s="43"/>
      <c r="BK984" s="43"/>
      <c r="BL984" s="43"/>
      <c r="BM984" s="43"/>
      <c r="BN984" s="43"/>
      <c r="BO984" s="43"/>
      <c r="BP984" s="43"/>
      <c r="BQ984" s="43"/>
      <c r="BR984" s="43"/>
      <c r="BS984" s="43"/>
      <c r="BT984" s="43"/>
      <c r="BU984" s="43"/>
      <c r="BV984" s="43"/>
      <c r="BW984" s="43"/>
      <c r="BX984" s="43"/>
      <c r="BY984" s="43"/>
      <c r="B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c r="AE985" s="43"/>
      <c r="AF985" s="43"/>
      <c r="AG985" s="43"/>
      <c r="AH985" s="43"/>
      <c r="AI985" s="43"/>
      <c r="AJ985" s="43"/>
      <c r="AK985" s="43"/>
      <c r="AL985" s="43"/>
      <c r="AM985" s="43"/>
      <c r="AN985" s="43"/>
      <c r="AO985" s="43"/>
      <c r="AP985" s="43"/>
      <c r="AQ985" s="43"/>
      <c r="AR985" s="43"/>
      <c r="AS985" s="43"/>
      <c r="AT985" s="43"/>
      <c r="AU985" s="43"/>
      <c r="AV985" s="43"/>
      <c r="AW985" s="43"/>
      <c r="AX985" s="43"/>
      <c r="AY985" s="43"/>
      <c r="AZ985" s="43"/>
      <c r="BA985" s="43"/>
      <c r="BB985" s="43"/>
      <c r="BC985" s="43"/>
      <c r="BD985" s="43"/>
      <c r="BE985" s="43"/>
      <c r="BF985" s="43"/>
      <c r="BG985" s="43"/>
      <c r="BH985" s="43"/>
      <c r="BI985" s="43"/>
      <c r="BJ985" s="43"/>
      <c r="BK985" s="43"/>
      <c r="BL985" s="43"/>
      <c r="BM985" s="43"/>
      <c r="BN985" s="43"/>
      <c r="BO985" s="43"/>
      <c r="BP985" s="43"/>
      <c r="BQ985" s="43"/>
      <c r="BR985" s="43"/>
      <c r="BS985" s="43"/>
      <c r="BT985" s="43"/>
      <c r="BU985" s="43"/>
      <c r="BV985" s="43"/>
      <c r="BW985" s="43"/>
      <c r="BX985" s="43"/>
      <c r="BY985" s="43"/>
      <c r="B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c r="AE986" s="43"/>
      <c r="AF986" s="43"/>
      <c r="AG986" s="43"/>
      <c r="AH986" s="43"/>
      <c r="AI986" s="43"/>
      <c r="AJ986" s="43"/>
      <c r="AK986" s="43"/>
      <c r="AL986" s="43"/>
      <c r="AM986" s="43"/>
      <c r="AN986" s="43"/>
      <c r="AO986" s="43"/>
      <c r="AP986" s="43"/>
      <c r="AQ986" s="43"/>
      <c r="AR986" s="43"/>
      <c r="AS986" s="43"/>
      <c r="AT986" s="43"/>
      <c r="AU986" s="43"/>
      <c r="AV986" s="43"/>
      <c r="AW986" s="43"/>
      <c r="AX986" s="43"/>
      <c r="AY986" s="43"/>
      <c r="AZ986" s="43"/>
      <c r="BA986" s="43"/>
      <c r="BB986" s="43"/>
      <c r="BC986" s="43"/>
      <c r="BD986" s="43"/>
      <c r="BE986" s="43"/>
      <c r="BF986" s="43"/>
      <c r="BG986" s="43"/>
      <c r="BH986" s="43"/>
      <c r="BI986" s="43"/>
      <c r="BJ986" s="43"/>
      <c r="BK986" s="43"/>
      <c r="BL986" s="43"/>
      <c r="BM986" s="43"/>
      <c r="BN986" s="43"/>
      <c r="BO986" s="43"/>
      <c r="BP986" s="43"/>
      <c r="BQ986" s="43"/>
      <c r="BR986" s="43"/>
      <c r="BS986" s="43"/>
      <c r="BT986" s="43"/>
      <c r="BU986" s="43"/>
      <c r="BV986" s="43"/>
      <c r="BW986" s="43"/>
      <c r="BX986" s="43"/>
      <c r="BY986" s="43"/>
      <c r="B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c r="AE987" s="43"/>
      <c r="AF987" s="43"/>
      <c r="AG987" s="43"/>
      <c r="AH987" s="43"/>
      <c r="AI987" s="43"/>
      <c r="AJ987" s="43"/>
      <c r="AK987" s="43"/>
      <c r="AL987" s="43"/>
      <c r="AM987" s="43"/>
      <c r="AN987" s="43"/>
      <c r="AO987" s="43"/>
      <c r="AP987" s="43"/>
      <c r="AQ987" s="43"/>
      <c r="AR987" s="43"/>
      <c r="AS987" s="43"/>
      <c r="AT987" s="43"/>
      <c r="AU987" s="43"/>
      <c r="AV987" s="43"/>
      <c r="AW987" s="43"/>
      <c r="AX987" s="43"/>
      <c r="AY987" s="43"/>
      <c r="AZ987" s="43"/>
      <c r="BA987" s="43"/>
      <c r="BB987" s="43"/>
      <c r="BC987" s="43"/>
      <c r="BD987" s="43"/>
      <c r="BE987" s="43"/>
      <c r="BF987" s="43"/>
      <c r="BG987" s="43"/>
      <c r="BH987" s="43"/>
      <c r="BI987" s="43"/>
      <c r="BJ987" s="43"/>
      <c r="BK987" s="43"/>
      <c r="BL987" s="43"/>
      <c r="BM987" s="43"/>
      <c r="BN987" s="43"/>
      <c r="BO987" s="43"/>
      <c r="BP987" s="43"/>
      <c r="BQ987" s="43"/>
      <c r="BR987" s="43"/>
      <c r="BS987" s="43"/>
      <c r="BT987" s="43"/>
      <c r="BU987" s="43"/>
      <c r="BV987" s="43"/>
      <c r="BW987" s="43"/>
      <c r="BX987" s="43"/>
      <c r="BY987" s="43"/>
      <c r="B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c r="AE988" s="43"/>
      <c r="AF988" s="43"/>
      <c r="AG988" s="43"/>
      <c r="AH988" s="43"/>
      <c r="AI988" s="43"/>
      <c r="AJ988" s="43"/>
      <c r="AK988" s="43"/>
      <c r="AL988" s="43"/>
      <c r="AM988" s="43"/>
      <c r="AN988" s="43"/>
      <c r="AO988" s="43"/>
      <c r="AP988" s="43"/>
      <c r="AQ988" s="43"/>
      <c r="AR988" s="43"/>
      <c r="AS988" s="43"/>
      <c r="AT988" s="43"/>
      <c r="AU988" s="43"/>
      <c r="AV988" s="43"/>
      <c r="AW988" s="43"/>
      <c r="AX988" s="43"/>
      <c r="AY988" s="43"/>
      <c r="AZ988" s="43"/>
      <c r="BA988" s="43"/>
      <c r="BB988" s="43"/>
      <c r="BC988" s="43"/>
      <c r="BD988" s="43"/>
      <c r="BE988" s="43"/>
      <c r="BF988" s="43"/>
      <c r="BG988" s="43"/>
      <c r="BH988" s="43"/>
      <c r="BI988" s="43"/>
      <c r="BJ988" s="43"/>
      <c r="BK988" s="43"/>
      <c r="BL988" s="43"/>
      <c r="BM988" s="43"/>
      <c r="BN988" s="43"/>
      <c r="BO988" s="43"/>
      <c r="BP988" s="43"/>
      <c r="BQ988" s="43"/>
      <c r="BR988" s="43"/>
      <c r="BS988" s="43"/>
      <c r="BT988" s="43"/>
      <c r="BU988" s="43"/>
      <c r="BV988" s="43"/>
      <c r="BW988" s="43"/>
      <c r="BX988" s="43"/>
      <c r="BY988" s="43"/>
      <c r="B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c r="AE989" s="43"/>
      <c r="AF989" s="43"/>
      <c r="AG989" s="43"/>
      <c r="AH989" s="43"/>
      <c r="AI989" s="43"/>
      <c r="AJ989" s="43"/>
      <c r="AK989" s="43"/>
      <c r="AL989" s="43"/>
      <c r="AM989" s="43"/>
      <c r="AN989" s="43"/>
      <c r="AO989" s="43"/>
      <c r="AP989" s="43"/>
      <c r="AQ989" s="43"/>
      <c r="AR989" s="43"/>
      <c r="AS989" s="43"/>
      <c r="AT989" s="43"/>
      <c r="AU989" s="43"/>
      <c r="AV989" s="43"/>
      <c r="AW989" s="43"/>
      <c r="AX989" s="43"/>
      <c r="AY989" s="43"/>
      <c r="AZ989" s="43"/>
      <c r="BA989" s="43"/>
      <c r="BB989" s="43"/>
      <c r="BC989" s="43"/>
      <c r="BD989" s="43"/>
      <c r="BE989" s="43"/>
      <c r="BF989" s="43"/>
      <c r="BG989" s="43"/>
      <c r="BH989" s="43"/>
      <c r="BI989" s="43"/>
      <c r="BJ989" s="43"/>
      <c r="BK989" s="43"/>
      <c r="BL989" s="43"/>
      <c r="BM989" s="43"/>
      <c r="BN989" s="43"/>
      <c r="BO989" s="43"/>
      <c r="BP989" s="43"/>
      <c r="BQ989" s="43"/>
      <c r="BR989" s="43"/>
      <c r="BS989" s="43"/>
      <c r="BT989" s="43"/>
      <c r="BU989" s="43"/>
      <c r="BV989" s="43"/>
      <c r="BW989" s="43"/>
      <c r="BX989" s="43"/>
      <c r="BY989" s="43"/>
      <c r="B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c r="AE990" s="43"/>
      <c r="AF990" s="43"/>
      <c r="AG990" s="43"/>
      <c r="AH990" s="43"/>
      <c r="AI990" s="43"/>
      <c r="AJ990" s="43"/>
      <c r="AK990" s="43"/>
      <c r="AL990" s="43"/>
      <c r="AM990" s="43"/>
      <c r="AN990" s="43"/>
      <c r="AO990" s="43"/>
      <c r="AP990" s="43"/>
      <c r="AQ990" s="43"/>
      <c r="AR990" s="43"/>
      <c r="AS990" s="43"/>
      <c r="AT990" s="43"/>
      <c r="AU990" s="43"/>
      <c r="AV990" s="43"/>
      <c r="AW990" s="43"/>
      <c r="AX990" s="43"/>
      <c r="AY990" s="43"/>
      <c r="AZ990" s="43"/>
      <c r="BA990" s="43"/>
      <c r="BB990" s="43"/>
      <c r="BC990" s="43"/>
      <c r="BD990" s="43"/>
      <c r="BE990" s="43"/>
      <c r="BF990" s="43"/>
      <c r="BG990" s="43"/>
      <c r="BH990" s="43"/>
      <c r="BI990" s="43"/>
      <c r="BJ990" s="43"/>
      <c r="BK990" s="43"/>
      <c r="BL990" s="43"/>
      <c r="BM990" s="43"/>
      <c r="BN990" s="43"/>
      <c r="BO990" s="43"/>
      <c r="BP990" s="43"/>
      <c r="BQ990" s="43"/>
      <c r="BR990" s="43"/>
      <c r="BS990" s="43"/>
      <c r="BT990" s="43"/>
      <c r="BU990" s="43"/>
      <c r="BV990" s="43"/>
      <c r="BW990" s="43"/>
      <c r="BX990" s="43"/>
      <c r="BY990" s="43"/>
      <c r="B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c r="AE991" s="43"/>
      <c r="AF991" s="43"/>
      <c r="AG991" s="43"/>
      <c r="AH991" s="43"/>
      <c r="AI991" s="43"/>
      <c r="AJ991" s="43"/>
      <c r="AK991" s="43"/>
      <c r="AL991" s="43"/>
      <c r="AM991" s="43"/>
      <c r="AN991" s="43"/>
      <c r="AO991" s="43"/>
      <c r="AP991" s="43"/>
      <c r="AQ991" s="43"/>
      <c r="AR991" s="43"/>
      <c r="AS991" s="43"/>
      <c r="AT991" s="43"/>
      <c r="AU991" s="43"/>
      <c r="AV991" s="43"/>
      <c r="AW991" s="43"/>
      <c r="AX991" s="43"/>
      <c r="AY991" s="43"/>
      <c r="AZ991" s="43"/>
      <c r="BA991" s="43"/>
      <c r="BB991" s="43"/>
      <c r="BC991" s="43"/>
      <c r="BD991" s="43"/>
      <c r="BE991" s="43"/>
      <c r="BF991" s="43"/>
      <c r="BG991" s="43"/>
      <c r="BH991" s="43"/>
      <c r="BI991" s="43"/>
      <c r="BJ991" s="43"/>
      <c r="BK991" s="43"/>
      <c r="BL991" s="43"/>
      <c r="BM991" s="43"/>
      <c r="BN991" s="43"/>
      <c r="BO991" s="43"/>
      <c r="BP991" s="43"/>
      <c r="BQ991" s="43"/>
      <c r="BR991" s="43"/>
      <c r="BS991" s="43"/>
      <c r="BT991" s="43"/>
      <c r="BU991" s="43"/>
      <c r="BV991" s="43"/>
      <c r="BW991" s="43"/>
      <c r="BX991" s="43"/>
      <c r="BY991" s="43"/>
      <c r="B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c r="AE992" s="43"/>
      <c r="AF992" s="43"/>
      <c r="AG992" s="43"/>
      <c r="AH992" s="43"/>
      <c r="AI992" s="43"/>
      <c r="AJ992" s="43"/>
      <c r="AK992" s="43"/>
      <c r="AL992" s="43"/>
      <c r="AM992" s="43"/>
      <c r="AN992" s="43"/>
      <c r="AO992" s="43"/>
      <c r="AP992" s="43"/>
      <c r="AQ992" s="43"/>
      <c r="AR992" s="43"/>
      <c r="AS992" s="43"/>
      <c r="AT992" s="43"/>
      <c r="AU992" s="43"/>
      <c r="AV992" s="43"/>
      <c r="AW992" s="43"/>
      <c r="AX992" s="43"/>
      <c r="AY992" s="43"/>
      <c r="AZ992" s="43"/>
      <c r="BA992" s="43"/>
      <c r="BB992" s="43"/>
      <c r="BC992" s="43"/>
      <c r="BD992" s="43"/>
      <c r="BE992" s="43"/>
      <c r="BF992" s="43"/>
      <c r="BG992" s="43"/>
      <c r="BH992" s="43"/>
      <c r="BI992" s="43"/>
      <c r="BJ992" s="43"/>
      <c r="BK992" s="43"/>
      <c r="BL992" s="43"/>
      <c r="BM992" s="43"/>
      <c r="BN992" s="43"/>
      <c r="BO992" s="43"/>
      <c r="BP992" s="43"/>
      <c r="BQ992" s="43"/>
      <c r="BR992" s="43"/>
      <c r="BS992" s="43"/>
      <c r="BT992" s="43"/>
      <c r="BU992" s="43"/>
      <c r="BV992" s="43"/>
      <c r="BW992" s="43"/>
      <c r="BX992" s="43"/>
      <c r="BY992" s="43"/>
      <c r="B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c r="AE993" s="43"/>
      <c r="AF993" s="43"/>
      <c r="AG993" s="43"/>
      <c r="AH993" s="43"/>
      <c r="AI993" s="43"/>
      <c r="AJ993" s="43"/>
      <c r="AK993" s="43"/>
      <c r="AL993" s="43"/>
      <c r="AM993" s="43"/>
      <c r="AN993" s="43"/>
      <c r="AO993" s="43"/>
      <c r="AP993" s="43"/>
      <c r="AQ993" s="43"/>
      <c r="AR993" s="43"/>
      <c r="AS993" s="43"/>
      <c r="AT993" s="43"/>
      <c r="AU993" s="43"/>
      <c r="AV993" s="43"/>
      <c r="AW993" s="43"/>
      <c r="AX993" s="43"/>
      <c r="AY993" s="43"/>
      <c r="AZ993" s="43"/>
      <c r="BA993" s="43"/>
      <c r="BB993" s="43"/>
      <c r="BC993" s="43"/>
      <c r="BD993" s="43"/>
      <c r="BE993" s="43"/>
      <c r="BF993" s="43"/>
      <c r="BG993" s="43"/>
      <c r="BH993" s="43"/>
      <c r="BI993" s="43"/>
      <c r="BJ993" s="43"/>
      <c r="BK993" s="43"/>
      <c r="BL993" s="43"/>
      <c r="BM993" s="43"/>
      <c r="BN993" s="43"/>
      <c r="BO993" s="43"/>
      <c r="BP993" s="43"/>
      <c r="BQ993" s="43"/>
      <c r="BR993" s="43"/>
      <c r="BS993" s="43"/>
      <c r="BT993" s="43"/>
      <c r="BU993" s="43"/>
      <c r="BV993" s="43"/>
      <c r="BW993" s="43"/>
      <c r="BX993" s="43"/>
      <c r="BY993" s="43"/>
      <c r="B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J994" s="43"/>
      <c r="AK994" s="43"/>
      <c r="AL994" s="43"/>
      <c r="AM994" s="43"/>
      <c r="AN994" s="43"/>
      <c r="AO994" s="43"/>
      <c r="AP994" s="43"/>
      <c r="AQ994" s="43"/>
      <c r="AR994" s="43"/>
      <c r="AS994" s="43"/>
      <c r="AT994" s="43"/>
      <c r="AU994" s="43"/>
      <c r="AV994" s="43"/>
      <c r="AW994" s="43"/>
      <c r="AX994" s="43"/>
      <c r="AY994" s="43"/>
      <c r="AZ994" s="43"/>
      <c r="BA994" s="43"/>
      <c r="BB994" s="43"/>
      <c r="BC994" s="43"/>
      <c r="BD994" s="43"/>
      <c r="BE994" s="43"/>
      <c r="BF994" s="43"/>
      <c r="BG994" s="43"/>
      <c r="BH994" s="43"/>
      <c r="BI994" s="43"/>
      <c r="BJ994" s="43"/>
      <c r="BK994" s="43"/>
      <c r="BL994" s="43"/>
      <c r="BM994" s="43"/>
      <c r="BN994" s="43"/>
      <c r="BO994" s="43"/>
      <c r="BP994" s="43"/>
      <c r="BQ994" s="43"/>
      <c r="BR994" s="43"/>
      <c r="BS994" s="43"/>
      <c r="BT994" s="43"/>
      <c r="BU994" s="43"/>
      <c r="BV994" s="43"/>
      <c r="BW994" s="43"/>
      <c r="BX994" s="43"/>
      <c r="BY994" s="43"/>
      <c r="B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c r="AE995" s="43"/>
      <c r="AF995" s="43"/>
      <c r="AG995" s="43"/>
      <c r="AH995" s="43"/>
      <c r="AI995" s="43"/>
      <c r="AJ995" s="43"/>
      <c r="AK995" s="43"/>
      <c r="AL995" s="43"/>
      <c r="AM995" s="43"/>
      <c r="AN995" s="43"/>
      <c r="AO995" s="43"/>
      <c r="AP995" s="43"/>
      <c r="AQ995" s="43"/>
      <c r="AR995" s="43"/>
      <c r="AS995" s="43"/>
      <c r="AT995" s="43"/>
      <c r="AU995" s="43"/>
      <c r="AV995" s="43"/>
      <c r="AW995" s="43"/>
      <c r="AX995" s="43"/>
      <c r="AY995" s="43"/>
      <c r="AZ995" s="43"/>
      <c r="BA995" s="43"/>
      <c r="BB995" s="43"/>
      <c r="BC995" s="43"/>
      <c r="BD995" s="43"/>
      <c r="BE995" s="43"/>
      <c r="BF995" s="43"/>
      <c r="BG995" s="43"/>
      <c r="BH995" s="43"/>
      <c r="BI995" s="43"/>
      <c r="BJ995" s="43"/>
      <c r="BK995" s="43"/>
      <c r="BL995" s="43"/>
      <c r="BM995" s="43"/>
      <c r="BN995" s="43"/>
      <c r="BO995" s="43"/>
      <c r="BP995" s="43"/>
      <c r="BQ995" s="43"/>
      <c r="BR995" s="43"/>
      <c r="BS995" s="43"/>
      <c r="BT995" s="43"/>
      <c r="BU995" s="43"/>
      <c r="BV995" s="43"/>
      <c r="BW995" s="43"/>
      <c r="BX995" s="43"/>
      <c r="BY995" s="43"/>
      <c r="B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c r="AE996" s="43"/>
      <c r="AF996" s="43"/>
      <c r="AG996" s="43"/>
      <c r="AH996" s="43"/>
      <c r="AI996" s="43"/>
      <c r="AJ996" s="43"/>
      <c r="AK996" s="43"/>
      <c r="AL996" s="43"/>
      <c r="AM996" s="43"/>
      <c r="AN996" s="43"/>
      <c r="AO996" s="43"/>
      <c r="AP996" s="43"/>
      <c r="AQ996" s="43"/>
      <c r="AR996" s="43"/>
      <c r="AS996" s="43"/>
      <c r="AT996" s="43"/>
      <c r="AU996" s="43"/>
      <c r="AV996" s="43"/>
      <c r="AW996" s="43"/>
      <c r="AX996" s="43"/>
      <c r="AY996" s="43"/>
      <c r="AZ996" s="43"/>
      <c r="BA996" s="43"/>
      <c r="BB996" s="43"/>
      <c r="BC996" s="43"/>
      <c r="BD996" s="43"/>
      <c r="BE996" s="43"/>
      <c r="BF996" s="43"/>
      <c r="BG996" s="43"/>
      <c r="BH996" s="43"/>
      <c r="BI996" s="43"/>
      <c r="BJ996" s="43"/>
      <c r="BK996" s="43"/>
      <c r="BL996" s="43"/>
      <c r="BM996" s="43"/>
      <c r="BN996" s="43"/>
      <c r="BO996" s="43"/>
      <c r="BP996" s="43"/>
      <c r="BQ996" s="43"/>
      <c r="BR996" s="43"/>
      <c r="BS996" s="43"/>
      <c r="BT996" s="43"/>
      <c r="BU996" s="43"/>
      <c r="BV996" s="43"/>
      <c r="BW996" s="43"/>
      <c r="BX996" s="43"/>
      <c r="BY996" s="43"/>
      <c r="B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c r="AE997" s="43"/>
      <c r="AF997" s="43"/>
      <c r="AG997" s="43"/>
      <c r="AH997" s="43"/>
      <c r="AI997" s="43"/>
      <c r="AJ997" s="43"/>
      <c r="AK997" s="43"/>
      <c r="AL997" s="43"/>
      <c r="AM997" s="43"/>
      <c r="AN997" s="43"/>
      <c r="AO997" s="43"/>
      <c r="AP997" s="43"/>
      <c r="AQ997" s="43"/>
      <c r="AR997" s="43"/>
      <c r="AS997" s="43"/>
      <c r="AT997" s="43"/>
      <c r="AU997" s="43"/>
      <c r="AV997" s="43"/>
      <c r="AW997" s="43"/>
      <c r="AX997" s="43"/>
      <c r="AY997" s="43"/>
      <c r="AZ997" s="43"/>
      <c r="BA997" s="43"/>
      <c r="BB997" s="43"/>
      <c r="BC997" s="43"/>
      <c r="BD997" s="43"/>
      <c r="BE997" s="43"/>
      <c r="BF997" s="43"/>
      <c r="BG997" s="43"/>
      <c r="BH997" s="43"/>
      <c r="BI997" s="43"/>
      <c r="BJ997" s="43"/>
      <c r="BK997" s="43"/>
      <c r="BL997" s="43"/>
      <c r="BM997" s="43"/>
      <c r="BN997" s="43"/>
      <c r="BO997" s="43"/>
      <c r="BP997" s="43"/>
      <c r="BQ997" s="43"/>
      <c r="BR997" s="43"/>
      <c r="BS997" s="43"/>
      <c r="BT997" s="43"/>
      <c r="BU997" s="43"/>
      <c r="BV997" s="43"/>
      <c r="BW997" s="43"/>
      <c r="BX997" s="43"/>
      <c r="BY997" s="43"/>
      <c r="B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c r="AE998" s="43"/>
      <c r="AF998" s="43"/>
      <c r="AG998" s="43"/>
      <c r="AH998" s="43"/>
      <c r="AI998" s="43"/>
      <c r="AJ998" s="43"/>
      <c r="AK998" s="43"/>
      <c r="AL998" s="43"/>
      <c r="AM998" s="43"/>
      <c r="AN998" s="43"/>
      <c r="AO998" s="43"/>
      <c r="AP998" s="43"/>
      <c r="AQ998" s="43"/>
      <c r="AR998" s="43"/>
      <c r="AS998" s="43"/>
      <c r="AT998" s="43"/>
      <c r="AU998" s="43"/>
      <c r="AV998" s="43"/>
      <c r="AW998" s="43"/>
      <c r="AX998" s="43"/>
      <c r="AY998" s="43"/>
      <c r="AZ998" s="43"/>
      <c r="BA998" s="43"/>
      <c r="BB998" s="43"/>
      <c r="BC998" s="43"/>
      <c r="BD998" s="43"/>
      <c r="BE998" s="43"/>
      <c r="BF998" s="43"/>
      <c r="BG998" s="43"/>
      <c r="BH998" s="43"/>
      <c r="BI998" s="43"/>
      <c r="BJ998" s="43"/>
      <c r="BK998" s="43"/>
      <c r="BL998" s="43"/>
      <c r="BM998" s="43"/>
      <c r="BN998" s="43"/>
      <c r="BO998" s="43"/>
      <c r="BP998" s="43"/>
      <c r="BQ998" s="43"/>
      <c r="BR998" s="43"/>
      <c r="BS998" s="43"/>
      <c r="BT998" s="43"/>
      <c r="BU998" s="43"/>
      <c r="BV998" s="43"/>
      <c r="BW998" s="43"/>
      <c r="BX998" s="43"/>
      <c r="BY998" s="43"/>
      <c r="B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c r="AE999" s="43"/>
      <c r="AF999" s="43"/>
      <c r="AG999" s="43"/>
      <c r="AH999" s="43"/>
      <c r="AI999" s="43"/>
      <c r="AJ999" s="43"/>
      <c r="AK999" s="43"/>
      <c r="AL999" s="43"/>
      <c r="AM999" s="43"/>
      <c r="AN999" s="43"/>
      <c r="AO999" s="43"/>
      <c r="AP999" s="43"/>
      <c r="AQ999" s="43"/>
      <c r="AR999" s="43"/>
      <c r="AS999" s="43"/>
      <c r="AT999" s="43"/>
      <c r="AU999" s="43"/>
      <c r="AV999" s="43"/>
      <c r="AW999" s="43"/>
      <c r="AX999" s="43"/>
      <c r="AY999" s="43"/>
      <c r="AZ999" s="43"/>
      <c r="BA999" s="43"/>
      <c r="BB999" s="43"/>
      <c r="BC999" s="43"/>
      <c r="BD999" s="43"/>
      <c r="BE999" s="43"/>
      <c r="BF999" s="43"/>
      <c r="BG999" s="43"/>
      <c r="BH999" s="43"/>
      <c r="BI999" s="43"/>
      <c r="BJ999" s="43"/>
      <c r="BK999" s="43"/>
      <c r="BL999" s="43"/>
      <c r="BM999" s="43"/>
      <c r="BN999" s="43"/>
      <c r="BO999" s="43"/>
      <c r="BP999" s="43"/>
      <c r="BQ999" s="43"/>
      <c r="BR999" s="43"/>
      <c r="BS999" s="43"/>
      <c r="BT999" s="43"/>
      <c r="BU999" s="43"/>
      <c r="BV999" s="43"/>
      <c r="BW999" s="43"/>
      <c r="BX999" s="43"/>
      <c r="BY999" s="43"/>
      <c r="B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c r="AE1000" s="43"/>
      <c r="AF1000" s="43"/>
      <c r="AG1000" s="43"/>
      <c r="AH1000" s="43"/>
      <c r="AI1000" s="43"/>
      <c r="AJ1000" s="43"/>
      <c r="AK1000" s="43"/>
      <c r="AL1000" s="43"/>
      <c r="AM1000" s="43"/>
      <c r="AN1000" s="43"/>
      <c r="AO1000" s="43"/>
      <c r="AP1000" s="43"/>
      <c r="AQ1000" s="43"/>
      <c r="AR1000" s="43"/>
      <c r="AS1000" s="43"/>
      <c r="AT1000" s="43"/>
      <c r="AU1000" s="43"/>
      <c r="AV1000" s="43"/>
      <c r="AW1000" s="43"/>
      <c r="AX1000" s="43"/>
      <c r="AY1000" s="43"/>
      <c r="AZ1000" s="43"/>
      <c r="BA1000" s="43"/>
      <c r="BB1000" s="43"/>
      <c r="BC1000" s="43"/>
      <c r="BD1000" s="43"/>
      <c r="BE1000" s="43"/>
      <c r="BF1000" s="43"/>
      <c r="BG1000" s="43"/>
      <c r="BH1000" s="43"/>
      <c r="BI1000" s="43"/>
      <c r="BJ1000" s="43"/>
      <c r="BK1000" s="43"/>
      <c r="BL1000" s="43"/>
      <c r="BM1000" s="43"/>
      <c r="BN1000" s="43"/>
      <c r="BO1000" s="43"/>
      <c r="BP1000" s="43"/>
      <c r="BQ1000" s="43"/>
      <c r="BR1000" s="43"/>
      <c r="BS1000" s="43"/>
      <c r="BT1000" s="43"/>
      <c r="BU1000" s="43"/>
      <c r="BV1000" s="43"/>
      <c r="BW1000" s="43"/>
      <c r="BX1000" s="43"/>
      <c r="BY1000" s="43"/>
      <c r="BZ1000" s="4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2" width="5.14"/>
    <col customWidth="1" min="3" max="3" width="7.43"/>
    <col customWidth="1" min="4" max="4" width="10.86"/>
    <col customWidth="1" min="5" max="5" width="6.29"/>
    <col customWidth="1" min="6" max="6" width="7.71"/>
    <col customWidth="1" min="7" max="7" width="13.0"/>
    <col customWidth="1" min="8" max="8" width="29.14"/>
    <col customWidth="1" min="9" max="9" width="32.29"/>
  </cols>
  <sheetData>
    <row r="1">
      <c r="A1" s="59" t="s">
        <v>0</v>
      </c>
      <c r="B1" s="59" t="s">
        <v>1</v>
      </c>
      <c r="C1" s="59" t="s">
        <v>2</v>
      </c>
      <c r="D1" s="59" t="s">
        <v>3</v>
      </c>
      <c r="E1" s="59" t="s">
        <v>1</v>
      </c>
      <c r="F1" s="59" t="s">
        <v>2</v>
      </c>
      <c r="G1" s="59" t="s">
        <v>4</v>
      </c>
      <c r="H1" s="60"/>
      <c r="I1" s="60"/>
    </row>
    <row r="2">
      <c r="A2" s="59" t="s">
        <v>5</v>
      </c>
      <c r="B2" s="61">
        <v>20.5</v>
      </c>
      <c r="C2" s="59" t="s">
        <v>6</v>
      </c>
      <c r="D2" s="59" t="s">
        <v>7</v>
      </c>
      <c r="E2" s="61">
        <v>19.4</v>
      </c>
      <c r="F2" s="59" t="s">
        <v>8</v>
      </c>
      <c r="G2" s="62">
        <v>1.1</v>
      </c>
      <c r="H2" s="60"/>
      <c r="I2" s="60"/>
    </row>
    <row r="3">
      <c r="A3" s="59" t="s">
        <v>9</v>
      </c>
      <c r="B3" s="61">
        <v>20.9</v>
      </c>
      <c r="C3" s="59" t="s">
        <v>6</v>
      </c>
      <c r="D3" s="59" t="s">
        <v>10</v>
      </c>
      <c r="E3" s="61">
        <v>20.1</v>
      </c>
      <c r="F3" s="59" t="s">
        <v>8</v>
      </c>
      <c r="G3" s="61">
        <v>0.8</v>
      </c>
      <c r="H3" s="60"/>
      <c r="I3" s="60"/>
    </row>
    <row r="4">
      <c r="A4" s="59" t="s">
        <v>11</v>
      </c>
      <c r="B4" s="61">
        <v>21.1</v>
      </c>
      <c r="C4" s="59" t="s">
        <v>6</v>
      </c>
      <c r="D4" s="59" t="s">
        <v>12</v>
      </c>
      <c r="E4" s="61">
        <v>21.0</v>
      </c>
      <c r="F4" s="59" t="s">
        <v>8</v>
      </c>
      <c r="G4" s="61">
        <v>0.1</v>
      </c>
      <c r="H4" s="60"/>
      <c r="I4" s="60"/>
    </row>
    <row r="5">
      <c r="A5" s="59" t="s">
        <v>13</v>
      </c>
      <c r="B5" s="61">
        <v>21.1</v>
      </c>
      <c r="C5" s="59" t="s">
        <v>6</v>
      </c>
      <c r="D5" s="59" t="s">
        <v>14</v>
      </c>
      <c r="E5" s="61">
        <v>20.3</v>
      </c>
      <c r="F5" s="59" t="s">
        <v>8</v>
      </c>
      <c r="G5" s="61">
        <v>0.8</v>
      </c>
      <c r="H5" s="60"/>
      <c r="I5" s="60"/>
    </row>
    <row r="6">
      <c r="A6" s="59" t="s">
        <v>15</v>
      </c>
      <c r="B6" s="61">
        <v>21.5</v>
      </c>
      <c r="C6" s="59" t="s">
        <v>16</v>
      </c>
      <c r="D6" s="59" t="s">
        <v>17</v>
      </c>
      <c r="E6" s="61">
        <v>20.7</v>
      </c>
      <c r="F6" s="59" t="s">
        <v>18</v>
      </c>
      <c r="G6" s="61">
        <v>0.8</v>
      </c>
      <c r="H6" s="60"/>
      <c r="I6" s="60"/>
    </row>
    <row r="7">
      <c r="A7" s="59" t="s">
        <v>19</v>
      </c>
      <c r="B7" s="61">
        <v>21.6</v>
      </c>
      <c r="C7" s="59" t="s">
        <v>6</v>
      </c>
      <c r="D7" s="59" t="s">
        <v>20</v>
      </c>
      <c r="E7" s="61">
        <v>20.9</v>
      </c>
      <c r="F7" s="59" t="s">
        <v>8</v>
      </c>
      <c r="G7" s="61">
        <v>0.7</v>
      </c>
      <c r="H7" s="60"/>
      <c r="I7" s="60"/>
    </row>
    <row r="8">
      <c r="A8" s="59" t="s">
        <v>21</v>
      </c>
      <c r="B8" s="61">
        <v>21.7</v>
      </c>
      <c r="C8" s="59" t="s">
        <v>6</v>
      </c>
      <c r="D8" s="59" t="s">
        <v>22</v>
      </c>
      <c r="E8" s="61">
        <v>21.5</v>
      </c>
      <c r="F8" s="59" t="s">
        <v>8</v>
      </c>
      <c r="G8" s="61">
        <v>0.2</v>
      </c>
      <c r="H8" s="60"/>
      <c r="I8" s="60"/>
    </row>
    <row r="9">
      <c r="A9" s="59" t="s">
        <v>23</v>
      </c>
      <c r="B9" s="61">
        <v>21.7</v>
      </c>
      <c r="C9" s="59" t="s">
        <v>6</v>
      </c>
      <c r="D9" s="59" t="s">
        <v>24</v>
      </c>
      <c r="E9" s="61">
        <v>21.8</v>
      </c>
      <c r="F9" s="59" t="s">
        <v>8</v>
      </c>
      <c r="G9" s="61">
        <v>-0.1</v>
      </c>
      <c r="H9" s="60"/>
      <c r="I9" s="60"/>
    </row>
    <row r="10">
      <c r="A10" s="59" t="s">
        <v>25</v>
      </c>
      <c r="B10" s="61">
        <v>21.9</v>
      </c>
      <c r="C10" s="59" t="s">
        <v>6</v>
      </c>
      <c r="D10" s="59" t="s">
        <v>26</v>
      </c>
      <c r="E10" s="61">
        <v>22.5</v>
      </c>
      <c r="F10" s="59" t="s">
        <v>8</v>
      </c>
      <c r="G10" s="61">
        <v>-0.6</v>
      </c>
      <c r="H10" s="60"/>
      <c r="I10" s="60"/>
    </row>
    <row r="11">
      <c r="A11" s="59" t="s">
        <v>27</v>
      </c>
      <c r="B11" s="61">
        <v>22.0</v>
      </c>
      <c r="C11" s="59" t="s">
        <v>6</v>
      </c>
      <c r="D11" s="59" t="s">
        <v>28</v>
      </c>
      <c r="E11" s="61">
        <v>22.0</v>
      </c>
      <c r="F11" s="59" t="s">
        <v>8</v>
      </c>
      <c r="G11" s="61">
        <v>0.0</v>
      </c>
      <c r="H11" s="60"/>
      <c r="I11" s="60"/>
    </row>
    <row r="12">
      <c r="A12" s="59" t="s">
        <v>29</v>
      </c>
      <c r="B12" s="61">
        <v>22.3</v>
      </c>
      <c r="C12" s="59" t="s">
        <v>6</v>
      </c>
      <c r="D12" s="59" t="s">
        <v>30</v>
      </c>
      <c r="E12" s="61">
        <v>22.2</v>
      </c>
      <c r="F12" s="59" t="s">
        <v>8</v>
      </c>
      <c r="G12" s="61">
        <v>0.1</v>
      </c>
      <c r="H12" s="60"/>
      <c r="I12" s="60"/>
    </row>
    <row r="13">
      <c r="A13" s="59" t="s">
        <v>31</v>
      </c>
      <c r="B13" s="61">
        <v>22.4</v>
      </c>
      <c r="C13" s="59" t="s">
        <v>16</v>
      </c>
      <c r="D13" s="59" t="s">
        <v>32</v>
      </c>
      <c r="E13" s="61">
        <v>21.2</v>
      </c>
      <c r="F13" s="59" t="s">
        <v>18</v>
      </c>
      <c r="G13" s="62">
        <v>1.2</v>
      </c>
      <c r="H13" s="60"/>
      <c r="I13" s="60"/>
    </row>
    <row r="14">
      <c r="A14" s="59" t="s">
        <v>33</v>
      </c>
      <c r="B14" s="61">
        <v>23.0</v>
      </c>
      <c r="C14" s="59" t="s">
        <v>16</v>
      </c>
      <c r="D14" s="59" t="s">
        <v>34</v>
      </c>
      <c r="E14" s="61">
        <v>22.9</v>
      </c>
      <c r="F14" s="59" t="s">
        <v>18</v>
      </c>
      <c r="G14" s="61">
        <v>0.1</v>
      </c>
    </row>
    <row r="15">
      <c r="A15" s="59" t="s">
        <v>35</v>
      </c>
      <c r="B15" s="61">
        <v>23.3</v>
      </c>
      <c r="C15" s="59" t="s">
        <v>6</v>
      </c>
      <c r="D15" s="59" t="s">
        <v>36</v>
      </c>
      <c r="E15" s="61">
        <v>22.8</v>
      </c>
      <c r="F15" s="59" t="s">
        <v>8</v>
      </c>
      <c r="G15" s="61">
        <v>0.5</v>
      </c>
    </row>
    <row r="16">
      <c r="A16" s="59" t="s">
        <v>37</v>
      </c>
      <c r="B16" s="61">
        <v>23.6</v>
      </c>
      <c r="C16" s="59" t="s">
        <v>6</v>
      </c>
      <c r="D16" s="59" t="s">
        <v>38</v>
      </c>
      <c r="E16" s="61">
        <v>24.3</v>
      </c>
      <c r="F16" s="59" t="s">
        <v>8</v>
      </c>
      <c r="G16" s="61">
        <v>-0.7</v>
      </c>
    </row>
    <row r="17">
      <c r="A17" s="59" t="s">
        <v>39</v>
      </c>
      <c r="B17" s="61">
        <v>24.4</v>
      </c>
      <c r="C17" s="59" t="s">
        <v>6</v>
      </c>
      <c r="D17" s="59" t="s">
        <v>40</v>
      </c>
      <c r="E17" s="61">
        <v>23.9</v>
      </c>
      <c r="F17" s="59" t="s">
        <v>8</v>
      </c>
      <c r="G17" s="61">
        <v>0.5</v>
      </c>
    </row>
    <row r="18">
      <c r="A18" s="59" t="s">
        <v>41</v>
      </c>
      <c r="B18" s="61">
        <v>24.4</v>
      </c>
      <c r="C18" s="59" t="s">
        <v>6</v>
      </c>
      <c r="D18" s="59" t="s">
        <v>42</v>
      </c>
      <c r="E18" s="61">
        <v>23.6</v>
      </c>
      <c r="F18" s="59" t="s">
        <v>8</v>
      </c>
      <c r="G18" s="61">
        <v>0.8</v>
      </c>
    </row>
    <row r="19">
      <c r="A19" s="63"/>
      <c r="B19" s="61">
        <v>22.2</v>
      </c>
      <c r="C19" s="64"/>
      <c r="D19" s="64"/>
      <c r="E19" s="61">
        <v>21.83</v>
      </c>
      <c r="F19" s="64"/>
      <c r="G19" s="61">
        <v>0.370588235</v>
      </c>
      <c r="H19" s="60"/>
      <c r="I19" s="6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86"/>
    <col customWidth="1" min="2" max="3" width="9.57"/>
    <col customWidth="1" min="4" max="4" width="29.57"/>
    <col customWidth="1" min="5" max="5" width="25.57"/>
    <col customWidth="1" min="6" max="6" width="16.71"/>
    <col customWidth="1" min="7" max="7" width="14.43"/>
    <col customWidth="1" min="8" max="8" width="37.29"/>
  </cols>
  <sheetData>
    <row r="1">
      <c r="A1" s="65" t="s">
        <v>0</v>
      </c>
      <c r="B1" s="65" t="s">
        <v>43</v>
      </c>
      <c r="C1" s="65" t="s">
        <v>44</v>
      </c>
      <c r="D1" s="65" t="s">
        <v>45</v>
      </c>
      <c r="E1" s="65" t="s">
        <v>46</v>
      </c>
      <c r="F1" s="65" t="s">
        <v>43</v>
      </c>
      <c r="G1" s="65" t="s">
        <v>44</v>
      </c>
      <c r="H1" s="65" t="s">
        <v>45</v>
      </c>
    </row>
    <row r="2">
      <c r="A2" s="65" t="s">
        <v>5</v>
      </c>
      <c r="B2" s="66">
        <v>43027.0</v>
      </c>
      <c r="C2" s="66">
        <v>43056.0</v>
      </c>
      <c r="D2" s="67"/>
      <c r="E2" s="65" t="s">
        <v>7</v>
      </c>
      <c r="F2" s="66">
        <v>43034.0</v>
      </c>
      <c r="G2" s="66">
        <v>43055.0</v>
      </c>
      <c r="H2" s="67"/>
    </row>
    <row r="3">
      <c r="A3" s="65" t="s">
        <v>9</v>
      </c>
      <c r="B3" s="66">
        <v>42970.0</v>
      </c>
      <c r="C3" s="66">
        <v>42983.0</v>
      </c>
      <c r="D3" s="67"/>
      <c r="E3" s="65" t="s">
        <v>10</v>
      </c>
      <c r="F3" s="66">
        <v>42958.0</v>
      </c>
      <c r="G3" s="66">
        <v>42978.0</v>
      </c>
      <c r="H3" s="67"/>
    </row>
    <row r="4">
      <c r="A4" s="65" t="s">
        <v>11</v>
      </c>
      <c r="B4" s="66">
        <v>42936.0</v>
      </c>
      <c r="C4" s="66">
        <v>42940.0</v>
      </c>
      <c r="D4" s="67"/>
      <c r="E4" s="65" t="s">
        <v>12</v>
      </c>
      <c r="F4" s="66">
        <v>42936.0</v>
      </c>
      <c r="G4" s="66">
        <v>42943.0</v>
      </c>
      <c r="H4" s="67"/>
    </row>
    <row r="5">
      <c r="A5" s="65" t="s">
        <v>13</v>
      </c>
      <c r="B5" s="66">
        <v>43035.0</v>
      </c>
      <c r="C5" s="66">
        <v>43077.0</v>
      </c>
      <c r="D5" s="67"/>
      <c r="E5" s="65" t="s">
        <v>14</v>
      </c>
      <c r="F5" s="66">
        <v>43025.0</v>
      </c>
      <c r="G5" s="66">
        <v>43039.0</v>
      </c>
      <c r="H5" s="67"/>
    </row>
    <row r="6">
      <c r="A6" s="65" t="s">
        <v>15</v>
      </c>
      <c r="B6" s="66">
        <v>42940.0</v>
      </c>
      <c r="C6" s="66">
        <v>42954.0</v>
      </c>
      <c r="D6" s="67"/>
      <c r="E6" s="65" t="s">
        <v>17</v>
      </c>
      <c r="F6" s="66">
        <v>42929.0</v>
      </c>
      <c r="G6" s="66">
        <v>42941.0</v>
      </c>
      <c r="H6" s="67"/>
    </row>
    <row r="7">
      <c r="A7" s="65" t="s">
        <v>19</v>
      </c>
      <c r="B7" s="66">
        <v>42906.0</v>
      </c>
      <c r="C7" s="66">
        <v>42926.0</v>
      </c>
      <c r="D7" s="67"/>
      <c r="E7" s="65" t="s">
        <v>20</v>
      </c>
      <c r="F7" s="66">
        <v>42957.0</v>
      </c>
      <c r="G7" s="66">
        <v>42962.0</v>
      </c>
      <c r="H7" s="67"/>
    </row>
    <row r="8">
      <c r="A8" s="65" t="s">
        <v>21</v>
      </c>
      <c r="B8" s="66">
        <v>42977.0</v>
      </c>
      <c r="C8" s="66">
        <v>42990.0</v>
      </c>
      <c r="D8" s="67"/>
      <c r="E8" s="68" t="s">
        <v>22</v>
      </c>
      <c r="F8" s="69">
        <v>43087.0</v>
      </c>
      <c r="G8" s="68" t="s">
        <v>47</v>
      </c>
      <c r="H8" s="70"/>
    </row>
    <row r="9">
      <c r="A9" s="65" t="s">
        <v>23</v>
      </c>
      <c r="B9" s="66">
        <v>43017.0</v>
      </c>
      <c r="C9" s="66">
        <v>43017.0</v>
      </c>
      <c r="D9" s="67"/>
      <c r="E9" s="68" t="s">
        <v>24</v>
      </c>
      <c r="F9" s="69">
        <v>43060.0</v>
      </c>
      <c r="G9" s="70"/>
      <c r="H9" s="68" t="s">
        <v>48</v>
      </c>
    </row>
    <row r="10">
      <c r="A10" s="65" t="s">
        <v>25</v>
      </c>
      <c r="B10" s="66">
        <v>42975.0</v>
      </c>
      <c r="C10" s="66">
        <v>42991.0</v>
      </c>
      <c r="D10" s="67"/>
      <c r="E10" s="71" t="s">
        <v>26</v>
      </c>
      <c r="F10" s="72">
        <v>43066.0</v>
      </c>
      <c r="G10" s="73">
        <v>43082.0</v>
      </c>
      <c r="H10" s="71" t="s">
        <v>49</v>
      </c>
    </row>
    <row r="11">
      <c r="A11" s="65" t="s">
        <v>27</v>
      </c>
      <c r="B11" s="66">
        <v>42979.0</v>
      </c>
      <c r="C11" s="66">
        <v>42993.0</v>
      </c>
      <c r="D11" s="67"/>
      <c r="E11" s="65" t="s">
        <v>28</v>
      </c>
      <c r="F11" s="66">
        <v>43040.0</v>
      </c>
      <c r="G11" s="66">
        <v>43054.0</v>
      </c>
      <c r="H11" s="67"/>
    </row>
    <row r="12">
      <c r="A12" s="65" t="s">
        <v>29</v>
      </c>
      <c r="B12" s="66">
        <v>42996.0</v>
      </c>
      <c r="C12" s="66">
        <v>43010.0</v>
      </c>
      <c r="D12" s="67"/>
      <c r="E12" s="68" t="s">
        <v>30</v>
      </c>
      <c r="F12" s="69">
        <v>43042.0</v>
      </c>
      <c r="G12" s="70"/>
      <c r="H12" s="68" t="s">
        <v>50</v>
      </c>
    </row>
    <row r="13">
      <c r="A13" s="65" t="s">
        <v>31</v>
      </c>
      <c r="B13" s="66">
        <v>42961.0</v>
      </c>
      <c r="C13" s="66">
        <v>43056.0</v>
      </c>
      <c r="D13" s="67"/>
      <c r="E13" s="65" t="s">
        <v>32</v>
      </c>
      <c r="F13" s="66">
        <v>43018.0</v>
      </c>
      <c r="G13" s="66">
        <v>43034.0</v>
      </c>
      <c r="H13" s="67"/>
    </row>
    <row r="14">
      <c r="A14" s="65" t="s">
        <v>33</v>
      </c>
      <c r="B14" s="66">
        <v>42956.0</v>
      </c>
      <c r="C14" s="66">
        <v>42979.0</v>
      </c>
      <c r="D14" s="67"/>
      <c r="E14" s="68" t="s">
        <v>34</v>
      </c>
      <c r="F14" s="68" t="s">
        <v>51</v>
      </c>
      <c r="G14" s="70"/>
      <c r="H14" s="68" t="s">
        <v>52</v>
      </c>
    </row>
    <row r="15">
      <c r="A15" s="65" t="s">
        <v>35</v>
      </c>
      <c r="B15" s="66">
        <v>42962.0</v>
      </c>
      <c r="C15" s="66">
        <v>42977.0</v>
      </c>
      <c r="D15" s="67"/>
      <c r="E15" s="65" t="s">
        <v>42</v>
      </c>
      <c r="F15" s="66">
        <v>43020.0</v>
      </c>
      <c r="G15" s="66">
        <v>43038.0</v>
      </c>
      <c r="H15" s="67"/>
    </row>
    <row r="16">
      <c r="A16" s="68" t="s">
        <v>37</v>
      </c>
      <c r="B16" s="69">
        <v>43042.0</v>
      </c>
      <c r="C16" s="70"/>
      <c r="D16" s="68" t="s">
        <v>53</v>
      </c>
      <c r="E16" s="68" t="s">
        <v>38</v>
      </c>
      <c r="F16" s="69">
        <v>43059.0</v>
      </c>
      <c r="G16" s="70"/>
      <c r="H16" s="68" t="s">
        <v>54</v>
      </c>
    </row>
    <row r="17">
      <c r="A17" s="65" t="s">
        <v>39</v>
      </c>
      <c r="B17" s="66">
        <v>42930.0</v>
      </c>
      <c r="C17" s="66">
        <v>42941.0</v>
      </c>
      <c r="D17" s="67"/>
      <c r="E17" s="65" t="s">
        <v>40</v>
      </c>
      <c r="F17" s="66">
        <v>43052.0</v>
      </c>
      <c r="G17" s="66">
        <v>43061.0</v>
      </c>
      <c r="H17" s="67"/>
    </row>
    <row r="18">
      <c r="A18" s="65" t="s">
        <v>41</v>
      </c>
      <c r="B18" s="66">
        <v>42975.0</v>
      </c>
      <c r="C18" s="66">
        <v>42993.0</v>
      </c>
      <c r="D18" s="67"/>
      <c r="E18" s="68" t="s">
        <v>55</v>
      </c>
      <c r="F18" s="69">
        <v>43052.0</v>
      </c>
      <c r="G18" s="70"/>
      <c r="H18" s="68" t="s">
        <v>56</v>
      </c>
    </row>
    <row r="19">
      <c r="A19" s="74" t="s">
        <v>57</v>
      </c>
      <c r="B19" s="75"/>
      <c r="C19" s="60"/>
      <c r="D19" s="60"/>
      <c r="E19" s="74" t="s">
        <v>58</v>
      </c>
      <c r="F19" s="75"/>
      <c r="G19" s="60"/>
      <c r="H19" s="60"/>
    </row>
  </sheetData>
  <mergeCells count="2">
    <mergeCell ref="A19:B19"/>
    <mergeCell ref="E19:F19"/>
  </mergeCells>
  <drawing r:id="rId1"/>
</worksheet>
</file>