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kenju\Desktop\"/>
    </mc:Choice>
  </mc:AlternateContent>
  <xr:revisionPtr revIDLastSave="0" documentId="13_ncr:1_{D7B6809A-D14D-4D7A-9E84-10B6EB16BF9C}" xr6:coauthVersionLast="38" xr6:coauthVersionMax="38" xr10:uidLastSave="{00000000-0000-0000-0000-000000000000}"/>
  <bookViews>
    <workbookView xWindow="0" yWindow="0" windowWidth="10120" windowHeight="11630" firstSheet="3" activeTab="4" xr2:uid="{064AC7D1-A827-46E3-A6FC-0CE13D07EE01}"/>
  </bookViews>
  <sheets>
    <sheet name="コレクションイベント" sheetId="5" r:id="rId1"/>
    <sheet name="曲データ" sheetId="2" r:id="rId2"/>
    <sheet name="ブロマイド一覧(成田)" sheetId="7" r:id="rId3"/>
    <sheet name="ブロマイド一覧(なみ)" sheetId="9" r:id="rId4"/>
    <sheet name="ﾊﾟﾌｫｰﾏﾝｽ計算" sheetId="8" r:id="rId5"/>
    <sheet name="スキル比較" sheetId="1" r:id="rId6"/>
    <sheet name="スキル計算" sheetId="6" r:id="rId7"/>
    <sheet name="ブースト効率" sheetId="3" r:id="rId8"/>
    <sheet name="ポイント計算式" sheetId="4" r:id="rId9"/>
    <sheet name="Index" sheetId="10" r:id="rId10"/>
  </sheets>
  <definedNames>
    <definedName name="_xlnm._FilterDatabase" localSheetId="0" hidden="1">コレクションイベント!$A$1:$M$1</definedName>
    <definedName name="_xlnm._FilterDatabase" localSheetId="2" hidden="1">'ブロマイド一覧(成田)'!$A$1:$P$1</definedName>
    <definedName name="_xlnm._FilterDatabase" localSheetId="1" hidden="1">曲データ!$A$1:$S$105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22" i="9" l="1"/>
  <c r="N21" i="9"/>
  <c r="N20" i="9"/>
  <c r="N19" i="9"/>
  <c r="N18" i="9"/>
  <c r="N17" i="9"/>
  <c r="N16" i="9"/>
  <c r="N15" i="9"/>
  <c r="N14" i="9"/>
  <c r="N13" i="9"/>
  <c r="N12" i="9"/>
  <c r="N11" i="9"/>
  <c r="N10" i="9"/>
  <c r="N9" i="9"/>
  <c r="N8" i="9"/>
  <c r="N7" i="9"/>
  <c r="N6" i="9"/>
  <c r="N5" i="9"/>
  <c r="N4" i="9"/>
  <c r="N3" i="9"/>
  <c r="N2" i="9"/>
  <c r="N46" i="7"/>
  <c r="N45" i="7"/>
  <c r="N44" i="7"/>
  <c r="N43" i="7"/>
  <c r="N42" i="7"/>
  <c r="N41" i="7"/>
  <c r="N40" i="7"/>
  <c r="N39" i="7"/>
  <c r="N38" i="7"/>
  <c r="N37" i="7"/>
  <c r="N36" i="7"/>
  <c r="N35" i="7"/>
  <c r="N34" i="7"/>
  <c r="N33" i="7"/>
  <c r="N32" i="7"/>
  <c r="N31" i="7"/>
  <c r="N30" i="7"/>
  <c r="N29" i="7"/>
  <c r="N28" i="7"/>
  <c r="N27" i="7"/>
  <c r="N26" i="7"/>
  <c r="N25" i="7"/>
  <c r="N24" i="7"/>
  <c r="N23" i="7"/>
  <c r="N22" i="7"/>
  <c r="N21" i="7"/>
  <c r="N20" i="7"/>
  <c r="N19" i="7"/>
  <c r="N18" i="7"/>
  <c r="N17" i="7"/>
  <c r="N16" i="7"/>
  <c r="N15" i="7"/>
  <c r="N14" i="7"/>
  <c r="N13" i="7"/>
  <c r="N12" i="7"/>
  <c r="N11" i="7"/>
  <c r="N10" i="7"/>
  <c r="N9" i="7"/>
  <c r="N8" i="7"/>
  <c r="N7" i="7"/>
  <c r="N6" i="7"/>
  <c r="N5" i="7"/>
  <c r="N4" i="7"/>
  <c r="N3" i="7"/>
  <c r="N2" i="7"/>
  <c r="B11" i="8"/>
  <c r="L10" i="8"/>
  <c r="K10" i="8"/>
  <c r="F10" i="8"/>
  <c r="L14" i="8"/>
  <c r="K14" i="8"/>
  <c r="F14" i="8"/>
  <c r="I14" i="8"/>
  <c r="H14" i="8"/>
  <c r="G14" i="8"/>
  <c r="B14" i="8"/>
  <c r="K9" i="8"/>
  <c r="E14" i="8"/>
  <c r="D14" i="8"/>
  <c r="D11" i="8"/>
  <c r="J13" i="8"/>
  <c r="B12" i="8"/>
  <c r="J11" i="8"/>
  <c r="H11" i="8"/>
  <c r="J9" i="8"/>
  <c r="E11" i="8"/>
  <c r="F12" i="8"/>
  <c r="K11" i="8"/>
  <c r="I10" i="8"/>
  <c r="G10" i="8"/>
  <c r="E10" i="8"/>
  <c r="C10" i="8"/>
  <c r="I9" i="8"/>
  <c r="L9" i="8"/>
  <c r="H9" i="8"/>
  <c r="G9" i="8"/>
  <c r="J14" i="8"/>
  <c r="H13" i="8"/>
  <c r="G13" i="8"/>
  <c r="F13" i="8"/>
  <c r="L12" i="8"/>
  <c r="D13" i="8"/>
  <c r="C13" i="8"/>
  <c r="B13" i="8"/>
  <c r="H12" i="8"/>
  <c r="I12" i="8"/>
  <c r="K12" i="8"/>
  <c r="J12" i="8"/>
  <c r="I13" i="8"/>
  <c r="L13" i="8"/>
  <c r="K13" i="8"/>
  <c r="E13" i="8"/>
  <c r="C12" i="8"/>
  <c r="L11" i="8"/>
  <c r="G11" i="8"/>
  <c r="I11" i="8"/>
  <c r="C11" i="8"/>
  <c r="F11" i="8"/>
  <c r="J10" i="8"/>
  <c r="G12" i="8"/>
  <c r="E12" i="8"/>
  <c r="H10" i="8"/>
  <c r="B10" i="8"/>
  <c r="D10" i="8"/>
  <c r="D12" i="8"/>
  <c r="C14" i="8"/>
  <c r="D18" i="8" l="1"/>
  <c r="D19" i="8"/>
  <c r="D20" i="8"/>
  <c r="D21" i="8"/>
  <c r="D22" i="8"/>
  <c r="D17" i="8"/>
  <c r="G18" i="8"/>
  <c r="G19" i="8"/>
  <c r="G17" i="8"/>
  <c r="H3" i="8"/>
  <c r="H105" i="2"/>
  <c r="H99" i="2"/>
  <c r="H92" i="2"/>
  <c r="H74" i="2"/>
  <c r="H64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2" i="2"/>
  <c r="F2" i="6"/>
  <c r="B8" i="8"/>
  <c r="C8" i="8"/>
  <c r="H8" i="8"/>
  <c r="G8" i="8"/>
  <c r="D8" i="8"/>
  <c r="J8" i="8"/>
  <c r="E9" i="8"/>
  <c r="D9" i="8"/>
  <c r="F8" i="8"/>
  <c r="L8" i="8"/>
  <c r="K8" i="8"/>
  <c r="C9" i="8"/>
  <c r="B9" i="8"/>
  <c r="F9" i="8"/>
  <c r="I8" i="8"/>
  <c r="E8" i="8"/>
  <c r="O14" i="8" l="1"/>
  <c r="O10" i="8"/>
  <c r="O13" i="8"/>
  <c r="O11" i="8"/>
  <c r="O9" i="8"/>
  <c r="O12" i="8"/>
  <c r="O8" i="8"/>
  <c r="E22" i="8"/>
  <c r="H19" i="8"/>
  <c r="H18" i="8"/>
  <c r="H17" i="8"/>
  <c r="B20" i="8"/>
  <c r="N9" i="8"/>
  <c r="N13" i="8"/>
  <c r="N14" i="8"/>
  <c r="N12" i="8"/>
  <c r="N10" i="8"/>
  <c r="N11" i="8"/>
  <c r="N8" i="8"/>
  <c r="B17" i="8"/>
  <c r="B21" i="8"/>
  <c r="P17" i="8"/>
  <c r="Q17" i="8"/>
  <c r="R17" i="8"/>
  <c r="S17" i="8"/>
  <c r="T17" i="8"/>
  <c r="U17" i="8"/>
  <c r="V17" i="8"/>
  <c r="W17" i="8"/>
  <c r="X17" i="8"/>
  <c r="Y17" i="8"/>
  <c r="O17" i="8"/>
  <c r="C3" i="6"/>
  <c r="D3" i="6" s="1"/>
  <c r="F3" i="6"/>
  <c r="G3" i="6" s="1"/>
  <c r="C4" i="6"/>
  <c r="D4" i="6" s="1"/>
  <c r="F4" i="6"/>
  <c r="G4" i="6" s="1"/>
  <c r="C5" i="6"/>
  <c r="D5" i="6" s="1"/>
  <c r="F5" i="6"/>
  <c r="G5" i="6" s="1"/>
  <c r="C6" i="6"/>
  <c r="E6" i="6" s="1"/>
  <c r="F6" i="6"/>
  <c r="H6" i="6" s="1"/>
  <c r="C7" i="6"/>
  <c r="D7" i="6" s="1"/>
  <c r="F7" i="6"/>
  <c r="G7" i="6" s="1"/>
  <c r="C8" i="6"/>
  <c r="D8" i="6" s="1"/>
  <c r="F8" i="6"/>
  <c r="H8" i="6" s="1"/>
  <c r="C9" i="6"/>
  <c r="D9" i="6" s="1"/>
  <c r="F9" i="6"/>
  <c r="G9" i="6" s="1"/>
  <c r="C10" i="6"/>
  <c r="D10" i="6" s="1"/>
  <c r="F10" i="6"/>
  <c r="H10" i="6" s="1"/>
  <c r="C11" i="6"/>
  <c r="D11" i="6" s="1"/>
  <c r="F11" i="6"/>
  <c r="G11" i="6" s="1"/>
  <c r="C12" i="6"/>
  <c r="D12" i="6" s="1"/>
  <c r="F12" i="6"/>
  <c r="G12" i="6" s="1"/>
  <c r="C13" i="6"/>
  <c r="D13" i="6" s="1"/>
  <c r="F13" i="6"/>
  <c r="G13" i="6" s="1"/>
  <c r="C14" i="6"/>
  <c r="E14" i="6" s="1"/>
  <c r="F14" i="6"/>
  <c r="H14" i="6" s="1"/>
  <c r="C15" i="6"/>
  <c r="D15" i="6" s="1"/>
  <c r="F15" i="6"/>
  <c r="G15" i="6" s="1"/>
  <c r="C16" i="6"/>
  <c r="E16" i="6" s="1"/>
  <c r="F16" i="6"/>
  <c r="H16" i="6" s="1"/>
  <c r="C17" i="6"/>
  <c r="D17" i="6" s="1"/>
  <c r="F17" i="6"/>
  <c r="G17" i="6" s="1"/>
  <c r="C18" i="6"/>
  <c r="E18" i="6" s="1"/>
  <c r="F18" i="6"/>
  <c r="H18" i="6" s="1"/>
  <c r="C19" i="6"/>
  <c r="D19" i="6" s="1"/>
  <c r="F19" i="6"/>
  <c r="G19" i="6" s="1"/>
  <c r="C20" i="6"/>
  <c r="D20" i="6" s="1"/>
  <c r="F20" i="6"/>
  <c r="G20" i="6" s="1"/>
  <c r="C21" i="6"/>
  <c r="D21" i="6" s="1"/>
  <c r="F21" i="6"/>
  <c r="G21" i="6" s="1"/>
  <c r="C22" i="6"/>
  <c r="D22" i="6" s="1"/>
  <c r="F22" i="6"/>
  <c r="H22" i="6" s="1"/>
  <c r="C23" i="6"/>
  <c r="D23" i="6" s="1"/>
  <c r="F23" i="6"/>
  <c r="G23" i="6" s="1"/>
  <c r="C24" i="6"/>
  <c r="D24" i="6" s="1"/>
  <c r="F24" i="6"/>
  <c r="H24" i="6" s="1"/>
  <c r="C25" i="6"/>
  <c r="D25" i="6" s="1"/>
  <c r="F25" i="6"/>
  <c r="G25" i="6" s="1"/>
  <c r="C26" i="6"/>
  <c r="E26" i="6" s="1"/>
  <c r="F26" i="6"/>
  <c r="H26" i="6" s="1"/>
  <c r="C27" i="6"/>
  <c r="D27" i="6" s="1"/>
  <c r="F27" i="6"/>
  <c r="G27" i="6" s="1"/>
  <c r="C28" i="6"/>
  <c r="D28" i="6" s="1"/>
  <c r="E28" i="6"/>
  <c r="F28" i="6"/>
  <c r="H28" i="6" s="1"/>
  <c r="G28" i="6"/>
  <c r="C29" i="6"/>
  <c r="D29" i="6" s="1"/>
  <c r="F29" i="6"/>
  <c r="G29" i="6" s="1"/>
  <c r="C30" i="6"/>
  <c r="D30" i="6" s="1"/>
  <c r="F30" i="6"/>
  <c r="H30" i="6" s="1"/>
  <c r="C31" i="6"/>
  <c r="D31" i="6" s="1"/>
  <c r="F31" i="6"/>
  <c r="G31" i="6" s="1"/>
  <c r="C32" i="6"/>
  <c r="D32" i="6" s="1"/>
  <c r="F32" i="6"/>
  <c r="G32" i="6" s="1"/>
  <c r="C33" i="6"/>
  <c r="D33" i="6" s="1"/>
  <c r="F33" i="6"/>
  <c r="G33" i="6" s="1"/>
  <c r="C34" i="6"/>
  <c r="E34" i="6" s="1"/>
  <c r="F34" i="6"/>
  <c r="H34" i="6" s="1"/>
  <c r="C35" i="6"/>
  <c r="D35" i="6" s="1"/>
  <c r="F35" i="6"/>
  <c r="G35" i="6" s="1"/>
  <c r="C36" i="6"/>
  <c r="D36" i="6" s="1"/>
  <c r="F36" i="6"/>
  <c r="H36" i="6" s="1"/>
  <c r="C37" i="6"/>
  <c r="D37" i="6" s="1"/>
  <c r="F37" i="6"/>
  <c r="G37" i="6" s="1"/>
  <c r="C38" i="6"/>
  <c r="D38" i="6" s="1"/>
  <c r="F38" i="6"/>
  <c r="H38" i="6" s="1"/>
  <c r="C39" i="6"/>
  <c r="D39" i="6" s="1"/>
  <c r="F39" i="6"/>
  <c r="G39" i="6" s="1"/>
  <c r="C40" i="6"/>
  <c r="D40" i="6" s="1"/>
  <c r="F40" i="6"/>
  <c r="G40" i="6" s="1"/>
  <c r="C41" i="6"/>
  <c r="D41" i="6" s="1"/>
  <c r="F41" i="6"/>
  <c r="G41" i="6" s="1"/>
  <c r="C42" i="6"/>
  <c r="E42" i="6" s="1"/>
  <c r="F42" i="6"/>
  <c r="G42" i="6" s="1"/>
  <c r="C43" i="6"/>
  <c r="D43" i="6" s="1"/>
  <c r="F43" i="6"/>
  <c r="G43" i="6" s="1"/>
  <c r="C44" i="6"/>
  <c r="D44" i="6" s="1"/>
  <c r="F44" i="6"/>
  <c r="G44" i="6" s="1"/>
  <c r="C45" i="6"/>
  <c r="D45" i="6" s="1"/>
  <c r="F45" i="6"/>
  <c r="G45" i="6" s="1"/>
  <c r="C46" i="6"/>
  <c r="D46" i="6" s="1"/>
  <c r="F46" i="6"/>
  <c r="H46" i="6" s="1"/>
  <c r="C47" i="6"/>
  <c r="D47" i="6" s="1"/>
  <c r="F47" i="6"/>
  <c r="G47" i="6" s="1"/>
  <c r="C48" i="6"/>
  <c r="D48" i="6" s="1"/>
  <c r="F48" i="6"/>
  <c r="H48" i="6" s="1"/>
  <c r="C49" i="6"/>
  <c r="D49" i="6" s="1"/>
  <c r="F49" i="6"/>
  <c r="G49" i="6" s="1"/>
  <c r="C50" i="6"/>
  <c r="E50" i="6" s="1"/>
  <c r="F50" i="6"/>
  <c r="G50" i="6" s="1"/>
  <c r="C51" i="6"/>
  <c r="D51" i="6" s="1"/>
  <c r="F51" i="6"/>
  <c r="G51" i="6" s="1"/>
  <c r="C52" i="6"/>
  <c r="E52" i="6" s="1"/>
  <c r="D52" i="6"/>
  <c r="F52" i="6"/>
  <c r="G52" i="6" s="1"/>
  <c r="G2" i="6"/>
  <c r="L5" i="6"/>
  <c r="L3" i="6"/>
  <c r="K5" i="6"/>
  <c r="K3" i="6" s="1"/>
  <c r="C5" i="1"/>
  <c r="F5" i="1" s="1"/>
  <c r="D5" i="1"/>
  <c r="C2" i="1"/>
  <c r="F2" i="1" s="1"/>
  <c r="A2" i="6"/>
  <c r="C2" i="6" s="1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B1" i="6"/>
  <c r="A1" i="6"/>
  <c r="F6" i="1"/>
  <c r="F8" i="1"/>
  <c r="F14" i="1"/>
  <c r="F19" i="1"/>
  <c r="F24" i="1"/>
  <c r="F28" i="1"/>
  <c r="F32" i="1"/>
  <c r="F36" i="1"/>
  <c r="F40" i="1"/>
  <c r="F44" i="1"/>
  <c r="F48" i="1"/>
  <c r="F52" i="1"/>
  <c r="C3" i="1"/>
  <c r="F3" i="1" s="1"/>
  <c r="D3" i="1"/>
  <c r="C4" i="1"/>
  <c r="F4" i="1" s="1"/>
  <c r="D4" i="1"/>
  <c r="C6" i="1"/>
  <c r="D6" i="1"/>
  <c r="C7" i="1"/>
  <c r="F7" i="1" s="1"/>
  <c r="D7" i="1"/>
  <c r="C8" i="1"/>
  <c r="D8" i="1"/>
  <c r="C9" i="1"/>
  <c r="F9" i="1" s="1"/>
  <c r="D9" i="1"/>
  <c r="C10" i="1"/>
  <c r="F10" i="1" s="1"/>
  <c r="D10" i="1"/>
  <c r="C11" i="1"/>
  <c r="F11" i="1" s="1"/>
  <c r="D11" i="1"/>
  <c r="C12" i="1"/>
  <c r="F12" i="1" s="1"/>
  <c r="D12" i="1"/>
  <c r="C13" i="1"/>
  <c r="F13" i="1" s="1"/>
  <c r="D13" i="1"/>
  <c r="C14" i="1"/>
  <c r="D14" i="1"/>
  <c r="C15" i="1"/>
  <c r="F15" i="1" s="1"/>
  <c r="D15" i="1"/>
  <c r="C16" i="1"/>
  <c r="F16" i="1" s="1"/>
  <c r="D16" i="1"/>
  <c r="C17" i="1"/>
  <c r="F17" i="1" s="1"/>
  <c r="D17" i="1"/>
  <c r="C18" i="1"/>
  <c r="F18" i="1" s="1"/>
  <c r="D18" i="1"/>
  <c r="C19" i="1"/>
  <c r="D19" i="1"/>
  <c r="C20" i="1"/>
  <c r="F20" i="1" s="1"/>
  <c r="D20" i="1"/>
  <c r="C21" i="1"/>
  <c r="F21" i="1" s="1"/>
  <c r="D21" i="1"/>
  <c r="C22" i="1"/>
  <c r="F22" i="1" s="1"/>
  <c r="D22" i="1"/>
  <c r="C23" i="1"/>
  <c r="F23" i="1" s="1"/>
  <c r="D23" i="1"/>
  <c r="C24" i="1"/>
  <c r="D24" i="1"/>
  <c r="C25" i="1"/>
  <c r="F25" i="1" s="1"/>
  <c r="D25" i="1"/>
  <c r="C26" i="1"/>
  <c r="F26" i="1" s="1"/>
  <c r="D26" i="1"/>
  <c r="C27" i="1"/>
  <c r="F27" i="1" s="1"/>
  <c r="D27" i="1"/>
  <c r="C28" i="1"/>
  <c r="D28" i="1"/>
  <c r="C29" i="1"/>
  <c r="F29" i="1" s="1"/>
  <c r="D29" i="1"/>
  <c r="C30" i="1"/>
  <c r="F30" i="1" s="1"/>
  <c r="D30" i="1"/>
  <c r="C31" i="1"/>
  <c r="F31" i="1" s="1"/>
  <c r="D31" i="1"/>
  <c r="C32" i="1"/>
  <c r="D32" i="1"/>
  <c r="C33" i="1"/>
  <c r="F33" i="1" s="1"/>
  <c r="D33" i="1"/>
  <c r="C34" i="1"/>
  <c r="F34" i="1" s="1"/>
  <c r="D34" i="1"/>
  <c r="C35" i="1"/>
  <c r="F35" i="1" s="1"/>
  <c r="D35" i="1"/>
  <c r="C36" i="1"/>
  <c r="D36" i="1"/>
  <c r="C37" i="1"/>
  <c r="F37" i="1" s="1"/>
  <c r="D37" i="1"/>
  <c r="C38" i="1"/>
  <c r="F38" i="1" s="1"/>
  <c r="D38" i="1"/>
  <c r="C39" i="1"/>
  <c r="F39" i="1" s="1"/>
  <c r="D39" i="1"/>
  <c r="C40" i="1"/>
  <c r="D40" i="1"/>
  <c r="C41" i="1"/>
  <c r="F41" i="1" s="1"/>
  <c r="D41" i="1"/>
  <c r="C42" i="1"/>
  <c r="F42" i="1" s="1"/>
  <c r="D42" i="1"/>
  <c r="C43" i="1"/>
  <c r="F43" i="1" s="1"/>
  <c r="D43" i="1"/>
  <c r="C44" i="1"/>
  <c r="D44" i="1"/>
  <c r="C45" i="1"/>
  <c r="F45" i="1" s="1"/>
  <c r="D45" i="1"/>
  <c r="C46" i="1"/>
  <c r="F46" i="1" s="1"/>
  <c r="D46" i="1"/>
  <c r="C47" i="1"/>
  <c r="F47" i="1" s="1"/>
  <c r="D47" i="1"/>
  <c r="C48" i="1"/>
  <c r="D48" i="1"/>
  <c r="C49" i="1"/>
  <c r="F49" i="1" s="1"/>
  <c r="D49" i="1"/>
  <c r="C50" i="1"/>
  <c r="F50" i="1" s="1"/>
  <c r="D50" i="1"/>
  <c r="C51" i="1"/>
  <c r="F51" i="1" s="1"/>
  <c r="D51" i="1"/>
  <c r="C52" i="1"/>
  <c r="D52" i="1"/>
  <c r="D2" i="1"/>
  <c r="E21" i="5"/>
  <c r="D21" i="5"/>
  <c r="D22" i="5"/>
  <c r="E17" i="8" l="1"/>
  <c r="E21" i="8"/>
  <c r="E18" i="8"/>
  <c r="B18" i="8"/>
  <c r="E19" i="8"/>
  <c r="E20" i="8"/>
  <c r="E27" i="8"/>
  <c r="N18" i="8"/>
  <c r="G16" i="6"/>
  <c r="G30" i="6"/>
  <c r="G6" i="6"/>
  <c r="H25" i="6"/>
  <c r="G22" i="6"/>
  <c r="H41" i="6"/>
  <c r="G48" i="6"/>
  <c r="H2" i="6"/>
  <c r="H37" i="6"/>
  <c r="H17" i="6"/>
  <c r="G38" i="6"/>
  <c r="G14" i="6"/>
  <c r="H49" i="6"/>
  <c r="H33" i="6"/>
  <c r="H9" i="6"/>
  <c r="G36" i="6"/>
  <c r="G24" i="6"/>
  <c r="G8" i="6"/>
  <c r="H45" i="6"/>
  <c r="H29" i="6"/>
  <c r="H21" i="6"/>
  <c r="H13" i="6"/>
  <c r="H5" i="6"/>
  <c r="H52" i="6"/>
  <c r="H44" i="6"/>
  <c r="H40" i="6"/>
  <c r="H32" i="6"/>
  <c r="H20" i="6"/>
  <c r="H12" i="6"/>
  <c r="H4" i="6"/>
  <c r="G46" i="6"/>
  <c r="G34" i="6"/>
  <c r="H51" i="6"/>
  <c r="H47" i="6"/>
  <c r="H43" i="6"/>
  <c r="H39" i="6"/>
  <c r="H35" i="6"/>
  <c r="H31" i="6"/>
  <c r="H27" i="6"/>
  <c r="H23" i="6"/>
  <c r="H19" i="6"/>
  <c r="H15" i="6"/>
  <c r="H11" i="6"/>
  <c r="H7" i="6"/>
  <c r="H3" i="6"/>
  <c r="G26" i="6"/>
  <c r="G18" i="6"/>
  <c r="G10" i="6"/>
  <c r="H50" i="6"/>
  <c r="H42" i="6"/>
  <c r="D6" i="6"/>
  <c r="D26" i="6"/>
  <c r="E20" i="6"/>
  <c r="D42" i="6"/>
  <c r="E46" i="6"/>
  <c r="D34" i="6"/>
  <c r="E36" i="6"/>
  <c r="D18" i="6"/>
  <c r="E48" i="6"/>
  <c r="D14" i="6"/>
  <c r="E8" i="6"/>
  <c r="E10" i="6"/>
  <c r="E44" i="6"/>
  <c r="E38" i="6"/>
  <c r="E30" i="6"/>
  <c r="E22" i="6"/>
  <c r="D50" i="6"/>
  <c r="E40" i="6"/>
  <c r="E32" i="6"/>
  <c r="E24" i="6"/>
  <c r="D16" i="6"/>
  <c r="E12" i="6"/>
  <c r="E4" i="6"/>
  <c r="E51" i="6"/>
  <c r="E49" i="6"/>
  <c r="E47" i="6"/>
  <c r="E45" i="6"/>
  <c r="E43" i="6"/>
  <c r="E41" i="6"/>
  <c r="E39" i="6"/>
  <c r="E37" i="6"/>
  <c r="E35" i="6"/>
  <c r="E33" i="6"/>
  <c r="E31" i="6"/>
  <c r="E29" i="6"/>
  <c r="E27" i="6"/>
  <c r="E25" i="6"/>
  <c r="E23" i="6"/>
  <c r="E21" i="6"/>
  <c r="E19" i="6"/>
  <c r="E17" i="6"/>
  <c r="E15" i="6"/>
  <c r="E13" i="6"/>
  <c r="E11" i="6"/>
  <c r="E9" i="6"/>
  <c r="E7" i="6"/>
  <c r="E5" i="6"/>
  <c r="E3" i="6"/>
  <c r="E10" i="5"/>
  <c r="D10" i="5"/>
  <c r="J4" i="5"/>
  <c r="I4" i="5"/>
  <c r="E4" i="5"/>
  <c r="D4" i="5"/>
  <c r="I9" i="5"/>
  <c r="J9" i="5"/>
  <c r="E9" i="5"/>
  <c r="D9" i="5"/>
  <c r="K23" i="5"/>
  <c r="K24" i="5"/>
  <c r="K22" i="5"/>
  <c r="I24" i="5"/>
  <c r="M24" i="5" s="1"/>
  <c r="J24" i="5"/>
  <c r="L24" i="5" s="1"/>
  <c r="E24" i="5"/>
  <c r="I22" i="5"/>
  <c r="M22" i="5" s="1"/>
  <c r="J22" i="5"/>
  <c r="L22" i="5" s="1"/>
  <c r="E22" i="5"/>
  <c r="I23" i="5"/>
  <c r="M23" i="5" s="1"/>
  <c r="J3" i="5"/>
  <c r="J5" i="5"/>
  <c r="J6" i="5"/>
  <c r="J18" i="5"/>
  <c r="J19" i="5"/>
  <c r="J8" i="5"/>
  <c r="J13" i="5"/>
  <c r="J14" i="5"/>
  <c r="J15" i="5"/>
  <c r="J12" i="5"/>
  <c r="J23" i="5"/>
  <c r="L23" i="5" s="1"/>
  <c r="J16" i="5"/>
  <c r="J2" i="5"/>
  <c r="E6" i="5"/>
  <c r="D6" i="5"/>
  <c r="I6" i="5"/>
  <c r="I16" i="5"/>
  <c r="E16" i="5"/>
  <c r="D16" i="5"/>
  <c r="E23" i="5"/>
  <c r="E17" i="5"/>
  <c r="D17" i="5"/>
  <c r="E7" i="5"/>
  <c r="D7" i="5"/>
  <c r="E11" i="5"/>
  <c r="D11" i="5"/>
  <c r="E5" i="5"/>
  <c r="D5" i="5"/>
  <c r="I5" i="5"/>
  <c r="I3" i="5"/>
  <c r="I18" i="5"/>
  <c r="I19" i="5"/>
  <c r="I8" i="5"/>
  <c r="I13" i="5"/>
  <c r="I14" i="5"/>
  <c r="I15" i="5"/>
  <c r="I12" i="5"/>
  <c r="I2" i="5"/>
  <c r="E12" i="5"/>
  <c r="D12" i="5"/>
  <c r="E15" i="5"/>
  <c r="D15" i="5"/>
  <c r="E3" i="5"/>
  <c r="D3" i="5"/>
  <c r="O18" i="8" l="1"/>
  <c r="O19" i="8" s="1"/>
  <c r="P18" i="8"/>
  <c r="P19" i="8" s="1"/>
  <c r="P20" i="8" s="1"/>
  <c r="T18" i="8"/>
  <c r="V18" i="8"/>
  <c r="U18" i="8"/>
  <c r="R18" i="8"/>
  <c r="X18" i="8"/>
  <c r="Q18" i="8"/>
  <c r="S18" i="8"/>
  <c r="W18" i="8"/>
  <c r="Y18" i="8"/>
  <c r="L9" i="3"/>
  <c r="L10" i="3" s="1"/>
  <c r="K9" i="3"/>
  <c r="K10" i="3" s="1"/>
  <c r="J9" i="3"/>
  <c r="I9" i="3"/>
  <c r="H9" i="3"/>
  <c r="H10" i="3" s="1"/>
  <c r="G9" i="3"/>
  <c r="G10" i="3" s="1"/>
  <c r="F9" i="3"/>
  <c r="E9" i="3"/>
  <c r="D9" i="3"/>
  <c r="D10" i="3" s="1"/>
  <c r="C9" i="3"/>
  <c r="C10" i="3" s="1"/>
  <c r="B9" i="3"/>
  <c r="E10" i="3" s="1"/>
  <c r="X19" i="8" l="1"/>
  <c r="X20" i="8" s="1"/>
  <c r="W19" i="8"/>
  <c r="W20" i="8" s="1"/>
  <c r="R19" i="8"/>
  <c r="R20" i="8" s="1"/>
  <c r="T19" i="8"/>
  <c r="T20" i="8" s="1"/>
  <c r="Y19" i="8"/>
  <c r="Y20" i="8" s="1"/>
  <c r="S19" i="8"/>
  <c r="S20" i="8" s="1"/>
  <c r="V19" i="8"/>
  <c r="V20" i="8" s="1"/>
  <c r="Q19" i="8"/>
  <c r="Q20" i="8" s="1"/>
  <c r="U19" i="8"/>
  <c r="U20" i="8" s="1"/>
  <c r="O20" i="8"/>
  <c r="F10" i="3"/>
  <c r="J10" i="3"/>
  <c r="I10" i="3"/>
  <c r="B19" i="8" l="1"/>
  <c r="B22" i="8" s="1"/>
  <c r="L5" i="1"/>
  <c r="M4" i="1"/>
  <c r="M2" i="1" s="1"/>
  <c r="L2" i="1" s="1"/>
  <c r="L3" i="1"/>
  <c r="E25" i="8" l="1"/>
  <c r="G24" i="8"/>
  <c r="J24" i="8" s="1"/>
  <c r="G27" i="8"/>
  <c r="J27" i="8" s="1"/>
  <c r="G25" i="8"/>
  <c r="J25" i="8" s="1"/>
  <c r="G26" i="8"/>
  <c r="J26" i="8" s="1"/>
  <c r="E26" i="8"/>
  <c r="I27" i="1"/>
  <c r="I39" i="1"/>
  <c r="H21" i="1"/>
  <c r="G31" i="1"/>
  <c r="H14" i="1"/>
  <c r="G6" i="1"/>
  <c r="G49" i="1"/>
  <c r="H31" i="1"/>
  <c r="G13" i="1"/>
  <c r="B3" i="1"/>
  <c r="E3" i="1" s="1"/>
  <c r="B3" i="6" s="1"/>
  <c r="B7" i="1"/>
  <c r="E7" i="1" s="1"/>
  <c r="B7" i="6" s="1"/>
  <c r="B13" i="1"/>
  <c r="E13" i="1" s="1"/>
  <c r="B13" i="6" s="1"/>
  <c r="B15" i="1"/>
  <c r="E15" i="1" s="1"/>
  <c r="B15" i="6" s="1"/>
  <c r="B20" i="1"/>
  <c r="E20" i="1" s="1"/>
  <c r="B20" i="6" s="1"/>
  <c r="B22" i="1"/>
  <c r="E22" i="1" s="1"/>
  <c r="B22" i="6" s="1"/>
  <c r="B27" i="1"/>
  <c r="E27" i="1" s="1"/>
  <c r="B27" i="6" s="1"/>
  <c r="B29" i="1"/>
  <c r="E29" i="1" s="1"/>
  <c r="B29" i="6" s="1"/>
  <c r="B34" i="1"/>
  <c r="E34" i="1" s="1"/>
  <c r="B34" i="6" s="1"/>
  <c r="B36" i="1"/>
  <c r="E36" i="1" s="1"/>
  <c r="B36" i="6" s="1"/>
  <c r="B44" i="1"/>
  <c r="E44" i="1" s="1"/>
  <c r="B44" i="6" s="1"/>
  <c r="B46" i="1"/>
  <c r="E46" i="1" s="1"/>
  <c r="B46" i="6" s="1"/>
  <c r="I40" i="1"/>
  <c r="H44" i="1"/>
  <c r="G34" i="1"/>
  <c r="G45" i="1"/>
  <c r="B6" i="1"/>
  <c r="E6" i="1" s="1"/>
  <c r="B6" i="6" s="1"/>
  <c r="B8" i="1"/>
  <c r="E8" i="1" s="1"/>
  <c r="B8" i="6" s="1"/>
  <c r="B14" i="1"/>
  <c r="E14" i="1" s="1"/>
  <c r="B14" i="6" s="1"/>
  <c r="B16" i="1"/>
  <c r="E16" i="1" s="1"/>
  <c r="B16" i="6" s="1"/>
  <c r="B21" i="1"/>
  <c r="E21" i="1" s="1"/>
  <c r="B21" i="6" s="1"/>
  <c r="B23" i="1"/>
  <c r="E23" i="1" s="1"/>
  <c r="B23" i="6" s="1"/>
  <c r="B26" i="1"/>
  <c r="E26" i="1" s="1"/>
  <c r="B26" i="6" s="1"/>
  <c r="B31" i="1"/>
  <c r="E31" i="1" s="1"/>
  <c r="B31" i="6" s="1"/>
  <c r="B33" i="1"/>
  <c r="E33" i="1" s="1"/>
  <c r="B33" i="6" s="1"/>
  <c r="B35" i="1"/>
  <c r="E35" i="1" s="1"/>
  <c r="B35" i="6" s="1"/>
  <c r="B39" i="1"/>
  <c r="E39" i="1" s="1"/>
  <c r="B39" i="6" s="1"/>
  <c r="B40" i="1"/>
  <c r="E40" i="1" s="1"/>
  <c r="B40" i="6" s="1"/>
  <c r="B42" i="1"/>
  <c r="E42" i="1" s="1"/>
  <c r="B42" i="6" s="1"/>
  <c r="B45" i="1"/>
  <c r="E45" i="1" s="1"/>
  <c r="B45" i="6" s="1"/>
  <c r="B49" i="1"/>
  <c r="E49" i="1" s="1"/>
  <c r="B49" i="6" s="1"/>
  <c r="I13" i="1"/>
  <c r="G26" i="1"/>
  <c r="G3" i="1"/>
  <c r="I6" i="1"/>
  <c r="I44" i="1"/>
  <c r="I49" i="1"/>
  <c r="H16" i="1"/>
  <c r="I45" i="1"/>
  <c r="H7" i="1"/>
  <c r="H39" i="1"/>
  <c r="G21" i="1"/>
  <c r="B48" i="1"/>
  <c r="E48" i="1" s="1"/>
  <c r="B48" i="6" s="1"/>
  <c r="B52" i="1"/>
  <c r="E52" i="1" s="1"/>
  <c r="B52" i="6" s="1"/>
  <c r="L4" i="1"/>
  <c r="B2" i="1" s="1"/>
  <c r="I25" i="8" l="1"/>
  <c r="I27" i="8"/>
  <c r="I26" i="8"/>
  <c r="G28" i="8"/>
  <c r="I24" i="8" s="1"/>
  <c r="H2" i="1"/>
  <c r="G2" i="1"/>
  <c r="G52" i="1"/>
  <c r="G16" i="1"/>
  <c r="I46" i="1"/>
  <c r="I22" i="1"/>
  <c r="I3" i="1"/>
  <c r="G22" i="1"/>
  <c r="H8" i="1"/>
  <c r="H49" i="1"/>
  <c r="I23" i="1"/>
  <c r="I29" i="1"/>
  <c r="H48" i="1"/>
  <c r="G48" i="1"/>
  <c r="B12" i="1"/>
  <c r="B4" i="1"/>
  <c r="H20" i="1"/>
  <c r="H28" i="1"/>
  <c r="I8" i="1"/>
  <c r="B41" i="1"/>
  <c r="B32" i="1"/>
  <c r="B25" i="1"/>
  <c r="B19" i="1"/>
  <c r="B11" i="1"/>
  <c r="G40" i="1"/>
  <c r="H15" i="1"/>
  <c r="I48" i="1"/>
  <c r="I26" i="1"/>
  <c r="B51" i="1"/>
  <c r="G38" i="1"/>
  <c r="H46" i="1"/>
  <c r="H3" i="1"/>
  <c r="I36" i="1"/>
  <c r="I14" i="1"/>
  <c r="G27" i="1"/>
  <c r="G11" i="1"/>
  <c r="H45" i="1"/>
  <c r="H29" i="1"/>
  <c r="H13" i="1"/>
  <c r="I35" i="1"/>
  <c r="G8" i="1"/>
  <c r="I16" i="1"/>
  <c r="H35" i="1"/>
  <c r="G35" i="1"/>
  <c r="G46" i="1"/>
  <c r="H42" i="1"/>
  <c r="H52" i="1"/>
  <c r="H26" i="1"/>
  <c r="G44" i="1"/>
  <c r="I20" i="1"/>
  <c r="G15" i="1"/>
  <c r="H33" i="1"/>
  <c r="I7" i="1"/>
  <c r="G20" i="1"/>
  <c r="H27" i="1"/>
  <c r="H6" i="1"/>
  <c r="E2" i="1"/>
  <c r="B2" i="6" s="1"/>
  <c r="G37" i="1"/>
  <c r="H23" i="1"/>
  <c r="G36" i="1"/>
  <c r="G14" i="1"/>
  <c r="H22" i="1"/>
  <c r="I33" i="1"/>
  <c r="I12" i="1"/>
  <c r="G32" i="1"/>
  <c r="H34" i="1"/>
  <c r="I34" i="1"/>
  <c r="B43" i="1"/>
  <c r="G43" i="1" s="1"/>
  <c r="B37" i="1"/>
  <c r="B28" i="1"/>
  <c r="B18" i="1"/>
  <c r="B10" i="1"/>
  <c r="G42" i="1"/>
  <c r="I2" i="1"/>
  <c r="B50" i="1"/>
  <c r="B38" i="1"/>
  <c r="B30" i="1"/>
  <c r="B24" i="1"/>
  <c r="B17" i="1"/>
  <c r="B9" i="1"/>
  <c r="G29" i="1"/>
  <c r="H36" i="1"/>
  <c r="I42" i="1"/>
  <c r="I21" i="1"/>
  <c r="B47" i="1"/>
  <c r="G33" i="1"/>
  <c r="H40" i="1"/>
  <c r="H19" i="1"/>
  <c r="I52" i="1"/>
  <c r="I9" i="1"/>
  <c r="G39" i="1"/>
  <c r="G23" i="1"/>
  <c r="G7" i="1"/>
  <c r="H41" i="1"/>
  <c r="H25" i="1"/>
  <c r="I31" i="1"/>
  <c r="I15" i="1"/>
  <c r="B5" i="1"/>
  <c r="E24" i="8" l="1"/>
  <c r="E2" i="6"/>
  <c r="D2" i="6"/>
  <c r="E10" i="1"/>
  <c r="B10" i="6" s="1"/>
  <c r="I10" i="1"/>
  <c r="G10" i="1"/>
  <c r="E19" i="1"/>
  <c r="B19" i="6" s="1"/>
  <c r="G19" i="1"/>
  <c r="E4" i="1"/>
  <c r="B4" i="6" s="1"/>
  <c r="G4" i="1"/>
  <c r="H4" i="1"/>
  <c r="E12" i="1"/>
  <c r="B12" i="6" s="1"/>
  <c r="H12" i="1"/>
  <c r="E32" i="1"/>
  <c r="B32" i="6" s="1"/>
  <c r="I32" i="1"/>
  <c r="H32" i="1"/>
  <c r="E47" i="1"/>
  <c r="B47" i="6" s="1"/>
  <c r="G47" i="1"/>
  <c r="E24" i="1"/>
  <c r="B24" i="6" s="1"/>
  <c r="I24" i="1"/>
  <c r="E43" i="1"/>
  <c r="B43" i="6" s="1"/>
  <c r="I43" i="1"/>
  <c r="H43" i="1"/>
  <c r="E30" i="1"/>
  <c r="B30" i="6" s="1"/>
  <c r="H30" i="1"/>
  <c r="G30" i="1"/>
  <c r="E18" i="1"/>
  <c r="B18" i="6" s="1"/>
  <c r="H18" i="1"/>
  <c r="I19" i="1"/>
  <c r="H24" i="1"/>
  <c r="E51" i="1"/>
  <c r="B51" i="6" s="1"/>
  <c r="H51" i="1"/>
  <c r="G51" i="1"/>
  <c r="H47" i="1"/>
  <c r="E25" i="1"/>
  <c r="B25" i="6" s="1"/>
  <c r="G25" i="1"/>
  <c r="I25" i="1"/>
  <c r="I47" i="1"/>
  <c r="I30" i="1"/>
  <c r="G12" i="1"/>
  <c r="E9" i="1"/>
  <c r="B9" i="6" s="1"/>
  <c r="G9" i="1"/>
  <c r="E38" i="1"/>
  <c r="B38" i="6" s="1"/>
  <c r="I38" i="1"/>
  <c r="H38" i="1"/>
  <c r="G18" i="1"/>
  <c r="E28" i="1"/>
  <c r="B28" i="6" s="1"/>
  <c r="G28" i="1"/>
  <c r="I28" i="1"/>
  <c r="I4" i="1"/>
  <c r="E5" i="1"/>
  <c r="B5" i="6" s="1"/>
  <c r="I5" i="1"/>
  <c r="H5" i="1"/>
  <c r="G5" i="1"/>
  <c r="H9" i="1"/>
  <c r="H10" i="1"/>
  <c r="E17" i="1"/>
  <c r="B17" i="6" s="1"/>
  <c r="I17" i="1"/>
  <c r="H17" i="1"/>
  <c r="E50" i="1"/>
  <c r="B50" i="6" s="1"/>
  <c r="I50" i="1"/>
  <c r="H50" i="1"/>
  <c r="G50" i="1"/>
  <c r="E37" i="1"/>
  <c r="B37" i="6" s="1"/>
  <c r="I37" i="1"/>
  <c r="H37" i="1"/>
  <c r="I18" i="1"/>
  <c r="I51" i="1"/>
  <c r="G17" i="1"/>
  <c r="E11" i="1"/>
  <c r="B11" i="6" s="1"/>
  <c r="H11" i="1"/>
  <c r="I11" i="1"/>
  <c r="E41" i="1"/>
  <c r="B41" i="6" s="1"/>
  <c r="G41" i="1"/>
  <c r="I41" i="1"/>
  <c r="G24" i="1"/>
  <c r="H4" i="8"/>
  <c r="F1" i="8"/>
  <c r="B24" i="8" l="1"/>
  <c r="B25" i="8" l="1"/>
  <c r="B27" i="8" s="1"/>
  <c r="B28" i="8" s="1"/>
</calcChain>
</file>

<file path=xl/sharedStrings.xml><?xml version="1.0" encoding="utf-8"?>
<sst xmlns="http://schemas.openxmlformats.org/spreadsheetml/2006/main" count="1075" uniqueCount="284">
  <si>
    <t>ノーツ数</t>
    <rPh sb="3" eb="4">
      <t>スウ</t>
    </rPh>
    <phoneticPr fontId="1"/>
  </si>
  <si>
    <t>カットイン</t>
    <phoneticPr fontId="1"/>
  </si>
  <si>
    <t>スコアノーツ</t>
    <phoneticPr fontId="1"/>
  </si>
  <si>
    <t>回復</t>
    <rPh sb="0" eb="2">
      <t>カイフク</t>
    </rPh>
    <phoneticPr fontId="1"/>
  </si>
  <si>
    <t>JP</t>
    <phoneticPr fontId="1"/>
  </si>
  <si>
    <t>P</t>
    <phoneticPr fontId="1"/>
  </si>
  <si>
    <t>G</t>
    <phoneticPr fontId="1"/>
  </si>
  <si>
    <t>B</t>
    <phoneticPr fontId="1"/>
  </si>
  <si>
    <t>カットイン逃がした数</t>
    <rPh sb="5" eb="6">
      <t>ノ</t>
    </rPh>
    <rPh sb="9" eb="10">
      <t>カズ</t>
    </rPh>
    <phoneticPr fontId="1"/>
  </si>
  <si>
    <t>曲名</t>
    <rPh sb="0" eb="2">
      <t>キョクメイ</t>
    </rPh>
    <phoneticPr fontId="1"/>
  </si>
  <si>
    <t>属性</t>
    <rPh sb="0" eb="2">
      <t>ゾクセイ</t>
    </rPh>
    <phoneticPr fontId="1"/>
  </si>
  <si>
    <t>難易度</t>
    <rPh sb="0" eb="3">
      <t>ナンイド</t>
    </rPh>
    <phoneticPr fontId="1"/>
  </si>
  <si>
    <t>Score</t>
    <phoneticPr fontId="1"/>
  </si>
  <si>
    <t>Sランク目標</t>
    <rPh sb="4" eb="6">
      <t>モクヒョウ</t>
    </rPh>
    <phoneticPr fontId="1"/>
  </si>
  <si>
    <t>音也</t>
    <rPh sb="0" eb="2">
      <t>オトヤ</t>
    </rPh>
    <phoneticPr fontId="1"/>
  </si>
  <si>
    <t>真斗</t>
    <rPh sb="0" eb="2">
      <t>マサト</t>
    </rPh>
    <phoneticPr fontId="1"/>
  </si>
  <si>
    <t>那月</t>
    <rPh sb="0" eb="2">
      <t>ナツキ</t>
    </rPh>
    <phoneticPr fontId="1"/>
  </si>
  <si>
    <t>トキヤ</t>
    <phoneticPr fontId="1"/>
  </si>
  <si>
    <t>レン</t>
    <phoneticPr fontId="1"/>
  </si>
  <si>
    <t>翔</t>
    <rPh sb="0" eb="1">
      <t>ショウ</t>
    </rPh>
    <phoneticPr fontId="1"/>
  </si>
  <si>
    <t>セシル</t>
    <phoneticPr fontId="1"/>
  </si>
  <si>
    <t>嶺二</t>
    <rPh sb="0" eb="2">
      <t>レイジ</t>
    </rPh>
    <phoneticPr fontId="1"/>
  </si>
  <si>
    <t>蘭丸</t>
    <rPh sb="0" eb="2">
      <t>ランマル</t>
    </rPh>
    <phoneticPr fontId="1"/>
  </si>
  <si>
    <t>藍</t>
    <rPh sb="0" eb="1">
      <t>アイ</t>
    </rPh>
    <phoneticPr fontId="1"/>
  </si>
  <si>
    <t>カミュ</t>
    <phoneticPr fontId="1"/>
  </si>
  <si>
    <t>Welcome to UTA☆PRI world!!</t>
  </si>
  <si>
    <t>シャイン</t>
  </si>
  <si>
    <t>○</t>
  </si>
  <si>
    <t>RAINBOW☆DREAM</t>
  </si>
  <si>
    <t>ドリーム</t>
  </si>
  <si>
    <t>QUARTET★NIGHT</t>
  </si>
  <si>
    <t>スター</t>
  </si>
  <si>
    <t>ガムシャラROman☆Tic</t>
  </si>
  <si>
    <t>Dream more than Love</t>
  </si>
  <si>
    <t>Triangle Beat</t>
  </si>
  <si>
    <t>NorthWind and SunShine</t>
  </si>
  <si>
    <t>永遠のトライスター</t>
  </si>
  <si>
    <t>無限のトリニティ</t>
  </si>
  <si>
    <t>TRUST☆MY DREAM</t>
  </si>
  <si>
    <t>BELIEVE☆MY VOICE</t>
  </si>
  <si>
    <t>騎士のKissは雪より優しく</t>
  </si>
  <si>
    <t>悪魔のKissは炎より激しく</t>
  </si>
  <si>
    <t>サザンクロス恋唄</t>
  </si>
  <si>
    <t>オレサマ愛歌</t>
  </si>
  <si>
    <t>DESTINY SONG</t>
  </si>
  <si>
    <t>溺愛テンプテーション</t>
  </si>
  <si>
    <t>BRIGHT ROAD</t>
  </si>
  <si>
    <t>WinterBlossom</t>
  </si>
  <si>
    <t>絶対零度Emotion</t>
  </si>
  <si>
    <t>Hyper×Super×Lover☆</t>
  </si>
  <si>
    <t>恋色センチメンタル</t>
  </si>
  <si>
    <t>Beautiful Love</t>
  </si>
  <si>
    <t>Baby! My strawberry!</t>
  </si>
  <si>
    <t>Still Still Still</t>
  </si>
  <si>
    <t>RISE AGAIN</t>
  </si>
  <si>
    <t>月明かりのDEAREST</t>
  </si>
  <si>
    <t>マジLOVE1000%</t>
  </si>
  <si>
    <t>AMAZING LOVE</t>
  </si>
  <si>
    <t>熱情 SERENADE</t>
  </si>
  <si>
    <t>虹色☆OVER DRIVE！</t>
  </si>
  <si>
    <t>星屑☆Shall we dance？</t>
  </si>
  <si>
    <t>愛しき人へ</t>
  </si>
  <si>
    <t>BLUE×PRISM HEART</t>
  </si>
  <si>
    <t>RED HOT×LOVE MINDS</t>
  </si>
  <si>
    <t>Not Bad</t>
  </si>
  <si>
    <t>アンドロメダでクチヅケを</t>
  </si>
  <si>
    <t>コズミックRUNNER</t>
  </si>
  <si>
    <t>A.I</t>
  </si>
  <si>
    <t>情熱のデジャヴキス</t>
  </si>
  <si>
    <t>純潔なる愛-Aspiration-</t>
  </si>
  <si>
    <t>愛のREINCARNATION</t>
  </si>
  <si>
    <t>未来地図</t>
  </si>
  <si>
    <t>ポワゾンKISS</t>
  </si>
  <si>
    <t>Shining☆Romance</t>
  </si>
  <si>
    <t>FORCE LIVE</t>
  </si>
  <si>
    <t>GO!×2ジェットコースター</t>
  </si>
  <si>
    <t>DOUBLE WISH</t>
  </si>
  <si>
    <t>ROULETTE</t>
  </si>
  <si>
    <t>マジLOVE1000% -RAINBOW STAR ver.-</t>
  </si>
  <si>
    <t>マジLOVEレボリューションズ</t>
  </si>
  <si>
    <t>エボリューション・イヴ</t>
  </si>
  <si>
    <t>Shining Star Xmas</t>
  </si>
  <si>
    <t>EMOTIONAL LIFE</t>
  </si>
  <si>
    <t>GOLDEN☆STAR</t>
  </si>
  <si>
    <t>Innocent Wind</t>
  </si>
  <si>
    <t>Lost Alice</t>
  </si>
  <si>
    <t>Code:T.V.U</t>
  </si>
  <si>
    <t>トロワ</t>
  </si>
  <si>
    <t>リコリスの森</t>
  </si>
  <si>
    <t>Saintly Territory</t>
  </si>
  <si>
    <t>ONLY ONE</t>
  </si>
  <si>
    <t>ORIGINAL RESONANCE</t>
  </si>
  <si>
    <t>マジLOVE2000％</t>
  </si>
  <si>
    <t>NEVER…</t>
  </si>
  <si>
    <t>木漏れ日ダイヤモンド</t>
  </si>
  <si>
    <t>The New World</t>
  </si>
  <si>
    <t>Mellow×2 Chu</t>
  </si>
  <si>
    <t>天空のミラクルスター</t>
  </si>
  <si>
    <t>Starlight Memory</t>
  </si>
  <si>
    <t>すべてを歌にっ！</t>
  </si>
  <si>
    <t>GREEN AMBITION</t>
  </si>
  <si>
    <t>静炎ブレイブハート</t>
  </si>
  <si>
    <t>SECRET LOVER</t>
  </si>
  <si>
    <t>DAY DREAM</t>
  </si>
  <si>
    <t>NIGHT DREAM</t>
  </si>
  <si>
    <t>KILLER KISS</t>
  </si>
  <si>
    <t>Fiction</t>
  </si>
  <si>
    <t>Non-Fiction</t>
  </si>
  <si>
    <t>ハルハナ</t>
  </si>
  <si>
    <t>雪月花</t>
  </si>
  <si>
    <t>BRAND NEW MELODY</t>
  </si>
  <si>
    <t>男気全開Go! Fight!!</t>
  </si>
  <si>
    <t>世界の果てまでBelieve Heart</t>
  </si>
  <si>
    <t>七色のコンパス</t>
  </si>
  <si>
    <t>AURORA</t>
  </si>
  <si>
    <t>WILD SOUL</t>
  </si>
  <si>
    <t>Knocking on the mind</t>
  </si>
  <si>
    <t>二人のモノグラム</t>
  </si>
  <si>
    <t>キスはウインクで</t>
  </si>
  <si>
    <t>オリオンでSHOUT OUT</t>
  </si>
  <si>
    <t>No.1</t>
  </si>
  <si>
    <t>Dear... Burning my Lady!</t>
  </si>
  <si>
    <t>Over the Rainbow</t>
  </si>
  <si>
    <t>Changing our Song!</t>
  </si>
  <si>
    <t>My Little Little Girl</t>
  </si>
  <si>
    <t>Eternity Love</t>
  </si>
  <si>
    <t>Double face</t>
  </si>
  <si>
    <t>Top Star Revolution</t>
  </si>
  <si>
    <t>倍率</t>
    <rPh sb="0" eb="2">
      <t>バイリツ</t>
    </rPh>
    <phoneticPr fontId="1"/>
  </si>
  <si>
    <t>合計</t>
    <rPh sb="0" eb="2">
      <t>ゴウケイ</t>
    </rPh>
    <phoneticPr fontId="1"/>
  </si>
  <si>
    <t>PRO</t>
    <phoneticPr fontId="1"/>
  </si>
  <si>
    <t>HARD</t>
    <phoneticPr fontId="1"/>
  </si>
  <si>
    <t>=スコア/Sﾗﾝｸﾎﾞｰﾀﾞｰ/4*1000</t>
    <phoneticPr fontId="1"/>
  </si>
  <si>
    <t>Mostフォルティシモ</t>
    <phoneticPr fontId="1"/>
  </si>
  <si>
    <t>愛と夢とアナタと</t>
    <phoneticPr fontId="1"/>
  </si>
  <si>
    <t>Hurray×2ドリーマーズ</t>
    <phoneticPr fontId="1"/>
  </si>
  <si>
    <t>ムネノコドウ</t>
    <phoneticPr fontId="1"/>
  </si>
  <si>
    <t>スター</t>
    <phoneticPr fontId="1"/>
  </si>
  <si>
    <t>ユニット</t>
    <phoneticPr fontId="1"/>
  </si>
  <si>
    <t>フルコン</t>
    <phoneticPr fontId="1"/>
  </si>
  <si>
    <t>ポイント</t>
    <phoneticPr fontId="1"/>
  </si>
  <si>
    <t>ブーケ</t>
    <phoneticPr fontId="1"/>
  </si>
  <si>
    <t>曲</t>
    <rPh sb="0" eb="1">
      <t>キョク</t>
    </rPh>
    <phoneticPr fontId="1"/>
  </si>
  <si>
    <t>雪月花</t>
    <rPh sb="0" eb="3">
      <t>セツゲツカ</t>
    </rPh>
    <phoneticPr fontId="1"/>
  </si>
  <si>
    <t>Dream</t>
    <phoneticPr fontId="1"/>
  </si>
  <si>
    <t>Perfect</t>
    <phoneticPr fontId="1"/>
  </si>
  <si>
    <t>FORCE LIVE</t>
    <phoneticPr fontId="1"/>
  </si>
  <si>
    <t>Star</t>
    <phoneticPr fontId="1"/>
  </si>
  <si>
    <t>×</t>
    <phoneticPr fontId="1"/>
  </si>
  <si>
    <t>ハルハナ</t>
    <phoneticPr fontId="1"/>
  </si>
  <si>
    <t>Dream more than Love</t>
    <phoneticPr fontId="1"/>
  </si>
  <si>
    <t>Full</t>
    <phoneticPr fontId="1"/>
  </si>
  <si>
    <t>Welcome to UTA☆PRI world!!</t>
    <phoneticPr fontId="1"/>
  </si>
  <si>
    <t>Shine</t>
    <phoneticPr fontId="1"/>
  </si>
  <si>
    <t>A.I</t>
    <phoneticPr fontId="1"/>
  </si>
  <si>
    <t>マジLOVE1000%</t>
    <phoneticPr fontId="1"/>
  </si>
  <si>
    <t>Triangle Beat</t>
    <phoneticPr fontId="1"/>
  </si>
  <si>
    <t>スコア</t>
    <phoneticPr fontId="1"/>
  </si>
  <si>
    <t>=(スコア/Sﾗﾝｸﾎﾞｰﾀﾞｰ*300+90)*ｾﾄﾘﾎﾞｰﾅｽ</t>
    <phoneticPr fontId="1"/>
  </si>
  <si>
    <t>=(スコア/Sﾗﾝｸﾎﾞｰﾀﾞｰ*200+70)*ｾﾄﾘﾎﾞｰﾅｽ</t>
    <phoneticPr fontId="1"/>
  </si>
  <si>
    <t>溺愛テンプテーション</t>
    <rPh sb="0" eb="2">
      <t>デキアイ</t>
    </rPh>
    <phoneticPr fontId="1"/>
  </si>
  <si>
    <t>RAINBOW☆DREAM</t>
    <phoneticPr fontId="1"/>
  </si>
  <si>
    <t>QUARTET★NIGHT</t>
    <phoneticPr fontId="1"/>
  </si>
  <si>
    <t>Top Star Revolution</t>
    <phoneticPr fontId="1"/>
  </si>
  <si>
    <t>サザンクロス恋唄</t>
    <rPh sb="6" eb="8">
      <t>コイウタ</t>
    </rPh>
    <phoneticPr fontId="1"/>
  </si>
  <si>
    <t>ポイント</t>
    <phoneticPr fontId="1"/>
  </si>
  <si>
    <t>ブーケ</t>
    <phoneticPr fontId="1"/>
  </si>
  <si>
    <t>ROULETTE</t>
    <phoneticPr fontId="1"/>
  </si>
  <si>
    <t>ポワゾンKISS</t>
    <phoneticPr fontId="1"/>
  </si>
  <si>
    <t>悪魔のKissは炎より激しく</t>
    <rPh sb="0" eb="2">
      <t>アクマ</t>
    </rPh>
    <rPh sb="8" eb="9">
      <t>ホノオ</t>
    </rPh>
    <rPh sb="11" eb="12">
      <t>ハゲ</t>
    </rPh>
    <phoneticPr fontId="1"/>
  </si>
  <si>
    <t>ガムシャラRoman☆Tic</t>
    <phoneticPr fontId="1"/>
  </si>
  <si>
    <t>ノーツ</t>
    <phoneticPr fontId="1"/>
  </si>
  <si>
    <t>スコアノーツ</t>
  </si>
  <si>
    <t>MISS</t>
    <phoneticPr fontId="1"/>
  </si>
  <si>
    <t>カットイン
ボーナス</t>
    <phoneticPr fontId="1"/>
  </si>
  <si>
    <t>コンボ
ボーナス</t>
    <phoneticPr fontId="1"/>
  </si>
  <si>
    <t>素の合計</t>
    <rPh sb="0" eb="1">
      <t>ス</t>
    </rPh>
    <rPh sb="2" eb="4">
      <t>ゴウケイ</t>
    </rPh>
    <phoneticPr fontId="1"/>
  </si>
  <si>
    <t>スコア
ノーツ</t>
    <phoneticPr fontId="1"/>
  </si>
  <si>
    <t>回復
ノーツ</t>
    <rPh sb="0" eb="2">
      <t>カイフク</t>
    </rPh>
    <phoneticPr fontId="1"/>
  </si>
  <si>
    <t>カットイン
上昇</t>
    <rPh sb="6" eb="8">
      <t>ジョウショウ</t>
    </rPh>
    <phoneticPr fontId="1"/>
  </si>
  <si>
    <t>JP上昇</t>
    <rPh sb="2" eb="4">
      <t>ジョウショウ</t>
    </rPh>
    <phoneticPr fontId="1"/>
  </si>
  <si>
    <t>ボーナス1</t>
    <phoneticPr fontId="1"/>
  </si>
  <si>
    <t>ボーナス2</t>
    <phoneticPr fontId="1"/>
  </si>
  <si>
    <t>パターン1</t>
    <phoneticPr fontId="1"/>
  </si>
  <si>
    <t>パターン2</t>
    <phoneticPr fontId="1"/>
  </si>
  <si>
    <t>回復ノーツ</t>
    <rPh sb="0" eb="2">
      <t>カイフク</t>
    </rPh>
    <phoneticPr fontId="1"/>
  </si>
  <si>
    <t>曲1</t>
    <rPh sb="0" eb="1">
      <t>キョク</t>
    </rPh>
    <phoneticPr fontId="1"/>
  </si>
  <si>
    <t>曲2</t>
    <rPh sb="0" eb="1">
      <t>キョク</t>
    </rPh>
    <phoneticPr fontId="1"/>
  </si>
  <si>
    <t>差</t>
    <rPh sb="0" eb="1">
      <t>サ</t>
    </rPh>
    <phoneticPr fontId="1"/>
  </si>
  <si>
    <t>商</t>
    <rPh sb="0" eb="1">
      <t>ショウ</t>
    </rPh>
    <phoneticPr fontId="1"/>
  </si>
  <si>
    <t>Name</t>
  </si>
  <si>
    <t>Attribute</t>
  </si>
  <si>
    <t>Dance</t>
  </si>
  <si>
    <t>Vocal</t>
  </si>
  <si>
    <t>Act</t>
  </si>
  <si>
    <t>Skill</t>
  </si>
  <si>
    <t>SkillLevel</t>
  </si>
  <si>
    <t>SubSkill</t>
  </si>
  <si>
    <t>SubSkillLevel</t>
  </si>
  <si>
    <t>補正</t>
    <rPh sb="0" eb="2">
      <t>ホセイ</t>
    </rPh>
    <phoneticPr fontId="1"/>
  </si>
  <si>
    <t>Bad補正</t>
    <rPh sb="3" eb="5">
      <t>ホセイ</t>
    </rPh>
    <phoneticPr fontId="1"/>
  </si>
  <si>
    <t>選択</t>
    <rPh sb="0" eb="2">
      <t>センタク</t>
    </rPh>
    <phoneticPr fontId="1"/>
  </si>
  <si>
    <t>メインスキル</t>
    <phoneticPr fontId="1"/>
  </si>
  <si>
    <t>フレンドスキル</t>
    <phoneticPr fontId="1"/>
  </si>
  <si>
    <t>基本合計</t>
    <rPh sb="0" eb="2">
      <t>キホン</t>
    </rPh>
    <rPh sb="2" eb="4">
      <t>ゴウケイ</t>
    </rPh>
    <phoneticPr fontId="1"/>
  </si>
  <si>
    <t>Dance</t>
    <phoneticPr fontId="1"/>
  </si>
  <si>
    <t>累計</t>
    <rPh sb="0" eb="2">
      <t>ルイケイ</t>
    </rPh>
    <phoneticPr fontId="1"/>
  </si>
  <si>
    <t>SL</t>
    <phoneticPr fontId="1"/>
  </si>
  <si>
    <t>怪盗</t>
    <rPh sb="0" eb="2">
      <t>カイトウ</t>
    </rPh>
    <phoneticPr fontId="1"/>
  </si>
  <si>
    <t>陰陽師</t>
    <rPh sb="0" eb="3">
      <t>オンミョウジ</t>
    </rPh>
    <phoneticPr fontId="1"/>
  </si>
  <si>
    <t>TNS</t>
    <phoneticPr fontId="1"/>
  </si>
  <si>
    <t>生徒会</t>
    <rPh sb="0" eb="3">
      <t>セイトカイ</t>
    </rPh>
    <phoneticPr fontId="1"/>
  </si>
  <si>
    <t>SSS</t>
    <phoneticPr fontId="1"/>
  </si>
  <si>
    <t>ヴィラン</t>
    <phoneticPr fontId="1"/>
  </si>
  <si>
    <t>執事</t>
    <rPh sb="0" eb="2">
      <t>シツジ</t>
    </rPh>
    <phoneticPr fontId="1"/>
  </si>
  <si>
    <t>探偵</t>
    <rPh sb="0" eb="2">
      <t>タンテイ</t>
    </rPh>
    <phoneticPr fontId="1"/>
  </si>
  <si>
    <t>書斎</t>
    <rPh sb="0" eb="2">
      <t>ショサイ</t>
    </rPh>
    <phoneticPr fontId="1"/>
  </si>
  <si>
    <t>不良</t>
    <rPh sb="0" eb="2">
      <t>フリョウ</t>
    </rPh>
    <phoneticPr fontId="1"/>
  </si>
  <si>
    <t>教授</t>
    <rPh sb="0" eb="2">
      <t>キョウジュ</t>
    </rPh>
    <phoneticPr fontId="1"/>
  </si>
  <si>
    <t>遊園地</t>
    <rPh sb="0" eb="3">
      <t>ユウエンチ</t>
    </rPh>
    <phoneticPr fontId="1"/>
  </si>
  <si>
    <t>ヒーロー</t>
    <phoneticPr fontId="1"/>
  </si>
  <si>
    <t>警部</t>
    <rPh sb="0" eb="2">
      <t>ケイブ</t>
    </rPh>
    <phoneticPr fontId="1"/>
  </si>
  <si>
    <t>水着</t>
    <rPh sb="0" eb="2">
      <t>ミズギ</t>
    </rPh>
    <phoneticPr fontId="1"/>
  </si>
  <si>
    <t>秋</t>
    <rPh sb="0" eb="1">
      <t>アキ</t>
    </rPh>
    <phoneticPr fontId="1"/>
  </si>
  <si>
    <t>北国</t>
    <rPh sb="0" eb="2">
      <t>キタグニ</t>
    </rPh>
    <phoneticPr fontId="1"/>
  </si>
  <si>
    <t>宝石</t>
    <rPh sb="0" eb="2">
      <t>ホウセキ</t>
    </rPh>
    <phoneticPr fontId="1"/>
  </si>
  <si>
    <t>ハロウィン</t>
    <phoneticPr fontId="1"/>
  </si>
  <si>
    <t>サーカス</t>
    <phoneticPr fontId="1"/>
  </si>
  <si>
    <t>喫茶店</t>
    <rPh sb="0" eb="3">
      <t>キッサテン</t>
    </rPh>
    <phoneticPr fontId="1"/>
  </si>
  <si>
    <t>マフィア</t>
    <phoneticPr fontId="1"/>
  </si>
  <si>
    <t>口紅</t>
    <rPh sb="0" eb="2">
      <t>クチベニ</t>
    </rPh>
    <phoneticPr fontId="1"/>
  </si>
  <si>
    <t>新年</t>
    <rPh sb="0" eb="2">
      <t>シンネン</t>
    </rPh>
    <phoneticPr fontId="1"/>
  </si>
  <si>
    <t>Type</t>
    <phoneticPr fontId="1"/>
  </si>
  <si>
    <t>Selected</t>
    <phoneticPr fontId="1"/>
  </si>
  <si>
    <t>歌唱ボーナス</t>
    <rPh sb="0" eb="2">
      <t>カショウ</t>
    </rPh>
    <phoneticPr fontId="1"/>
  </si>
  <si>
    <t>イベントボーナス</t>
    <phoneticPr fontId="1"/>
  </si>
  <si>
    <t>属性ボーナス</t>
    <rPh sb="0" eb="2">
      <t>ゾクセイ</t>
    </rPh>
    <phoneticPr fontId="1"/>
  </si>
  <si>
    <t>MV</t>
    <phoneticPr fontId="1"/>
  </si>
  <si>
    <t>イベント</t>
    <phoneticPr fontId="1"/>
  </si>
  <si>
    <t>曲の列</t>
    <rPh sb="0" eb="1">
      <t>キョク</t>
    </rPh>
    <rPh sb="2" eb="3">
      <t>レツ</t>
    </rPh>
    <phoneticPr fontId="1"/>
  </si>
  <si>
    <t>シート名</t>
    <rPh sb="3" eb="4">
      <t>メイ</t>
    </rPh>
    <phoneticPr fontId="1"/>
  </si>
  <si>
    <r>
      <rPr>
        <sz val="10"/>
        <color rgb="FF24292E"/>
        <rFont val="游ゴシック"/>
        <family val="2"/>
        <charset val="128"/>
      </rPr>
      <t>抽出用</t>
    </r>
    <r>
      <rPr>
        <sz val="10"/>
        <color rgb="FF24292E"/>
        <rFont val="Segoe UI"/>
        <family val="2"/>
      </rPr>
      <t>ID</t>
    </r>
    <rPh sb="0" eb="3">
      <t>チュウシュツヨウ</t>
    </rPh>
    <phoneticPr fontId="1"/>
  </si>
  <si>
    <t>No.</t>
    <phoneticPr fontId="1"/>
  </si>
  <si>
    <t>Just Perfect</t>
    <phoneticPr fontId="1"/>
  </si>
  <si>
    <t>Good</t>
    <phoneticPr fontId="1"/>
  </si>
  <si>
    <t>Bad</t>
    <phoneticPr fontId="1"/>
  </si>
  <si>
    <t>miss</t>
    <phoneticPr fontId="1"/>
  </si>
  <si>
    <t>カットインボーナス逃がした数</t>
    <rPh sb="9" eb="10">
      <t>ノ</t>
    </rPh>
    <rPh sb="13" eb="14">
      <t>カズ</t>
    </rPh>
    <phoneticPr fontId="1"/>
  </si>
  <si>
    <t>推定Score</t>
    <rPh sb="0" eb="2">
      <t>スイテイ</t>
    </rPh>
    <phoneticPr fontId="1"/>
  </si>
  <si>
    <t>スキル</t>
    <phoneticPr fontId="1"/>
  </si>
  <si>
    <t>サブスキル</t>
    <phoneticPr fontId="1"/>
  </si>
  <si>
    <t>カットインボーナス</t>
    <phoneticPr fontId="1"/>
  </si>
  <si>
    <t>フルコンボーナス</t>
    <phoneticPr fontId="1"/>
  </si>
  <si>
    <t>補正Score</t>
    <rPh sb="0" eb="2">
      <t>ホセイ</t>
    </rPh>
    <phoneticPr fontId="1"/>
  </si>
  <si>
    <r>
      <rPr>
        <sz val="10"/>
        <color rgb="FF24292E"/>
        <rFont val="游ゴシック"/>
        <family val="2"/>
        <charset val="128"/>
      </rPr>
      <t>属性ボーナス</t>
    </r>
    <rPh sb="0" eb="2">
      <t>ゾクセイ</t>
    </rPh>
    <phoneticPr fontId="1"/>
  </si>
  <si>
    <t>B合計</t>
    <rPh sb="1" eb="3">
      <t>ゴウケイ</t>
    </rPh>
    <phoneticPr fontId="1"/>
  </si>
  <si>
    <t>G合計</t>
    <rPh sb="1" eb="3">
      <t>ゴウケイ</t>
    </rPh>
    <phoneticPr fontId="1"/>
  </si>
  <si>
    <t>P合計</t>
    <rPh sb="1" eb="3">
      <t>ゴウケイ</t>
    </rPh>
    <phoneticPr fontId="1"/>
  </si>
  <si>
    <t>JP合計</t>
    <rPh sb="2" eb="4">
      <t>ゴウケイ</t>
    </rPh>
    <phoneticPr fontId="1"/>
  </si>
  <si>
    <t>ノーツ合計</t>
    <rPh sb="3" eb="5">
      <t>ゴウケイ</t>
    </rPh>
    <phoneticPr fontId="1"/>
  </si>
  <si>
    <t>ID</t>
    <phoneticPr fontId="1"/>
  </si>
  <si>
    <t>Name</t>
    <phoneticPr fontId="1"/>
  </si>
  <si>
    <t>Character</t>
    <phoneticPr fontId="1"/>
  </si>
  <si>
    <t>ホワイトデー</t>
    <phoneticPr fontId="1"/>
  </si>
  <si>
    <t>高校生</t>
    <rPh sb="0" eb="3">
      <t>コウコウセイ</t>
    </rPh>
    <phoneticPr fontId="1"/>
  </si>
  <si>
    <t>警察</t>
    <rPh sb="0" eb="2">
      <t>ケイサツ</t>
    </rPh>
    <phoneticPr fontId="1"/>
  </si>
  <si>
    <t>ダークヒーロー</t>
    <phoneticPr fontId="1"/>
  </si>
  <si>
    <t>MAXカットイン</t>
    <phoneticPr fontId="1"/>
  </si>
  <si>
    <t>推定イベントPt</t>
    <rPh sb="0" eb="2">
      <t>スイテイ</t>
    </rPh>
    <phoneticPr fontId="1"/>
  </si>
  <si>
    <t>3倍時</t>
    <rPh sb="1" eb="2">
      <t>バイ</t>
    </rPh>
    <rPh sb="2" eb="3">
      <t>ジ</t>
    </rPh>
    <phoneticPr fontId="1"/>
  </si>
  <si>
    <t>アイドル</t>
    <phoneticPr fontId="1"/>
  </si>
  <si>
    <t>フルコンボ</t>
  </si>
  <si>
    <t>フルコンボ</t>
    <phoneticPr fontId="1"/>
  </si>
  <si>
    <t>Attribute</t>
    <phoneticPr fontId="1"/>
  </si>
  <si>
    <t>レア</t>
    <phoneticPr fontId="1"/>
  </si>
  <si>
    <t>UR</t>
    <phoneticPr fontId="1"/>
  </si>
  <si>
    <t>SR</t>
    <phoneticPr fontId="1"/>
  </si>
  <si>
    <t>UR</t>
  </si>
  <si>
    <t>Rarity</t>
    <phoneticPr fontId="1"/>
  </si>
  <si>
    <t>スキル値</t>
    <rPh sb="3" eb="4">
      <t>チ</t>
    </rPh>
    <phoneticPr fontId="1"/>
  </si>
  <si>
    <t>○</t>
    <phoneticPr fontId="1"/>
  </si>
  <si>
    <t>雪月花</t>
    <rPh sb="0" eb="3">
      <t>セツゲツカ</t>
    </rPh>
    <phoneticPr fontId="1"/>
  </si>
  <si>
    <t>ブロマイド一覧(成田)</t>
    <rPh sb="8" eb="10">
      <t>ナリタ</t>
    </rPh>
    <phoneticPr fontId="1"/>
  </si>
  <si>
    <t>JP上昇分</t>
    <rPh sb="2" eb="4">
      <t>ジョウショウ</t>
    </rPh>
    <rPh sb="4" eb="5">
      <t>ブン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</si>
</sst>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_ "/>
  </numFmts>
  <fonts count="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rgb="FF24292E"/>
      <name val="Segoe UI"/>
      <family val="2"/>
    </font>
    <font>
      <sz val="10"/>
      <color rgb="FF24292E"/>
      <name val="游ゴシック"/>
      <family val="2"/>
      <charset val="128"/>
    </font>
    <font>
      <sz val="10"/>
      <color rgb="FF24292E"/>
      <name val="ＭＳ ゴシック"/>
      <family val="2"/>
      <charset val="128"/>
    </font>
  </fonts>
  <fills count="3">
    <fill>
      <patternFill patternType="none"/>
    </fill>
    <fill>
      <patternFill patternType="gray125"/>
    </fill>
    <fill>
      <patternFill patternType="solid">
        <fgColor rgb="FFF6F8FA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DFE2E5"/>
      </left>
      <right style="medium">
        <color rgb="FFDFE2E5"/>
      </right>
      <top/>
      <bottom style="medium">
        <color rgb="FFDFE2E5"/>
      </bottom>
      <diagonal/>
    </border>
    <border>
      <left style="medium">
        <color rgb="FFDFE2E5"/>
      </left>
      <right/>
      <top/>
      <bottom style="medium">
        <color rgb="FFDFE2E5"/>
      </bottom>
      <diagonal/>
    </border>
    <border>
      <left/>
      <right style="medium">
        <color rgb="FFDFE2E5"/>
      </right>
      <top/>
      <bottom style="medium">
        <color rgb="FFDFE2E5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rgb="FFDFE2E5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NumberFormat="1">
      <alignment vertical="center"/>
    </xf>
    <xf numFmtId="0" fontId="0" fillId="0" borderId="0" xfId="0" quotePrefix="1">
      <alignment vertical="center"/>
    </xf>
    <xf numFmtId="176" fontId="0" fillId="0" borderId="0" xfId="0" quotePrefix="1" applyNumberFormat="1">
      <alignment vertical="center"/>
    </xf>
    <xf numFmtId="176" fontId="0" fillId="0" borderId="0" xfId="0" applyNumberFormat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2" fillId="2" borderId="5" xfId="0" applyFont="1" applyFill="1" applyBorder="1" applyAlignment="1">
      <alignment horizontal="left" vertical="center"/>
    </xf>
    <xf numFmtId="9" fontId="0" fillId="0" borderId="0" xfId="0" applyNumberFormat="1">
      <alignment vertical="center"/>
    </xf>
    <xf numFmtId="0" fontId="2" fillId="2" borderId="0" xfId="0" applyFont="1" applyFill="1" applyBorder="1" applyAlignment="1">
      <alignment horizontal="left" vertical="center"/>
    </xf>
    <xf numFmtId="0" fontId="2" fillId="0" borderId="5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0" fillId="0" borderId="0" xfId="0" applyFill="1" applyBorder="1">
      <alignment vertical="center"/>
    </xf>
    <xf numFmtId="0" fontId="4" fillId="0" borderId="0" xfId="0" applyFont="1" applyFill="1" applyBorder="1" applyAlignment="1">
      <alignment horizontal="left" vertical="center"/>
    </xf>
    <xf numFmtId="0" fontId="2" fillId="0" borderId="3" xfId="0" applyFont="1" applyFill="1" applyBorder="1" applyAlignment="1">
      <alignment horizontal="left" vertical="center"/>
    </xf>
    <xf numFmtId="0" fontId="2" fillId="0" borderId="4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6" xfId="0" applyFont="1" applyFill="1" applyBorder="1" applyAlignment="1">
      <alignment horizontal="left" vertical="center"/>
    </xf>
    <xf numFmtId="0" fontId="2" fillId="0" borderId="7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スキル比較!$A$2:$A$52</c:f>
              <c:numCache>
                <c:formatCode>General</c:formatCode>
                <c:ptCount val="51"/>
                <c:pt idx="0">
                  <c:v>300</c:v>
                </c:pt>
                <c:pt idx="1">
                  <c:v>310</c:v>
                </c:pt>
                <c:pt idx="2">
                  <c:v>320</c:v>
                </c:pt>
                <c:pt idx="3">
                  <c:v>330</c:v>
                </c:pt>
                <c:pt idx="4">
                  <c:v>340</c:v>
                </c:pt>
                <c:pt idx="5">
                  <c:v>350</c:v>
                </c:pt>
                <c:pt idx="6">
                  <c:v>360</c:v>
                </c:pt>
                <c:pt idx="7">
                  <c:v>370</c:v>
                </c:pt>
                <c:pt idx="8">
                  <c:v>380</c:v>
                </c:pt>
                <c:pt idx="9">
                  <c:v>390</c:v>
                </c:pt>
                <c:pt idx="10">
                  <c:v>400</c:v>
                </c:pt>
                <c:pt idx="11">
                  <c:v>410</c:v>
                </c:pt>
                <c:pt idx="12">
                  <c:v>420</c:v>
                </c:pt>
                <c:pt idx="13">
                  <c:v>430</c:v>
                </c:pt>
                <c:pt idx="14">
                  <c:v>440</c:v>
                </c:pt>
                <c:pt idx="15">
                  <c:v>450</c:v>
                </c:pt>
                <c:pt idx="16">
                  <c:v>460</c:v>
                </c:pt>
                <c:pt idx="17">
                  <c:v>470</c:v>
                </c:pt>
                <c:pt idx="18">
                  <c:v>480</c:v>
                </c:pt>
                <c:pt idx="19">
                  <c:v>490</c:v>
                </c:pt>
                <c:pt idx="20">
                  <c:v>500</c:v>
                </c:pt>
                <c:pt idx="21">
                  <c:v>510</c:v>
                </c:pt>
                <c:pt idx="22">
                  <c:v>520</c:v>
                </c:pt>
                <c:pt idx="23">
                  <c:v>530</c:v>
                </c:pt>
                <c:pt idx="24">
                  <c:v>540</c:v>
                </c:pt>
                <c:pt idx="25">
                  <c:v>550</c:v>
                </c:pt>
                <c:pt idx="26">
                  <c:v>560</c:v>
                </c:pt>
                <c:pt idx="27">
                  <c:v>570</c:v>
                </c:pt>
                <c:pt idx="28">
                  <c:v>580</c:v>
                </c:pt>
                <c:pt idx="29">
                  <c:v>590</c:v>
                </c:pt>
                <c:pt idx="30">
                  <c:v>600</c:v>
                </c:pt>
                <c:pt idx="31">
                  <c:v>610</c:v>
                </c:pt>
                <c:pt idx="32">
                  <c:v>620</c:v>
                </c:pt>
                <c:pt idx="33">
                  <c:v>630</c:v>
                </c:pt>
                <c:pt idx="34">
                  <c:v>640</c:v>
                </c:pt>
                <c:pt idx="35">
                  <c:v>650</c:v>
                </c:pt>
                <c:pt idx="36">
                  <c:v>660</c:v>
                </c:pt>
                <c:pt idx="37">
                  <c:v>670</c:v>
                </c:pt>
                <c:pt idx="38">
                  <c:v>680</c:v>
                </c:pt>
                <c:pt idx="39">
                  <c:v>690</c:v>
                </c:pt>
                <c:pt idx="40">
                  <c:v>700</c:v>
                </c:pt>
                <c:pt idx="41">
                  <c:v>710</c:v>
                </c:pt>
                <c:pt idx="42">
                  <c:v>720</c:v>
                </c:pt>
                <c:pt idx="43">
                  <c:v>730</c:v>
                </c:pt>
                <c:pt idx="44">
                  <c:v>740</c:v>
                </c:pt>
                <c:pt idx="45">
                  <c:v>750</c:v>
                </c:pt>
                <c:pt idx="46">
                  <c:v>760</c:v>
                </c:pt>
                <c:pt idx="47">
                  <c:v>770</c:v>
                </c:pt>
                <c:pt idx="48">
                  <c:v>780</c:v>
                </c:pt>
                <c:pt idx="49">
                  <c:v>790</c:v>
                </c:pt>
                <c:pt idx="50">
                  <c:v>800</c:v>
                </c:pt>
              </c:numCache>
            </c:numRef>
          </c:cat>
          <c:val>
            <c:numRef>
              <c:f>スキル比較!$F$2:$F$52</c:f>
              <c:numCache>
                <c:formatCode>General</c:formatCode>
                <c:ptCount val="51"/>
                <c:pt idx="0">
                  <c:v>1.4400000000000004</c:v>
                </c:pt>
                <c:pt idx="1">
                  <c:v>1.4400000000000004</c:v>
                </c:pt>
                <c:pt idx="2">
                  <c:v>1.4400000000000004</c:v>
                </c:pt>
                <c:pt idx="3">
                  <c:v>1.4400000000000004</c:v>
                </c:pt>
                <c:pt idx="4">
                  <c:v>1.4400000000000004</c:v>
                </c:pt>
                <c:pt idx="5">
                  <c:v>1.6800000000000004</c:v>
                </c:pt>
                <c:pt idx="6">
                  <c:v>1.6800000000000004</c:v>
                </c:pt>
                <c:pt idx="7">
                  <c:v>1.6800000000000004</c:v>
                </c:pt>
                <c:pt idx="8">
                  <c:v>1.6800000000000004</c:v>
                </c:pt>
                <c:pt idx="9">
                  <c:v>1.6800000000000004</c:v>
                </c:pt>
                <c:pt idx="10">
                  <c:v>1.92</c:v>
                </c:pt>
                <c:pt idx="11">
                  <c:v>1.92</c:v>
                </c:pt>
                <c:pt idx="12">
                  <c:v>1.92</c:v>
                </c:pt>
                <c:pt idx="13">
                  <c:v>1.92</c:v>
                </c:pt>
                <c:pt idx="14">
                  <c:v>1.92</c:v>
                </c:pt>
                <c:pt idx="15">
                  <c:v>2.16</c:v>
                </c:pt>
                <c:pt idx="16">
                  <c:v>2.16</c:v>
                </c:pt>
                <c:pt idx="17">
                  <c:v>2.16</c:v>
                </c:pt>
                <c:pt idx="18">
                  <c:v>2.16</c:v>
                </c:pt>
                <c:pt idx="19">
                  <c:v>2.16</c:v>
                </c:pt>
                <c:pt idx="20">
                  <c:v>2.4</c:v>
                </c:pt>
                <c:pt idx="21">
                  <c:v>2.4</c:v>
                </c:pt>
                <c:pt idx="22">
                  <c:v>2.4</c:v>
                </c:pt>
                <c:pt idx="23">
                  <c:v>2.4</c:v>
                </c:pt>
                <c:pt idx="24">
                  <c:v>2.4</c:v>
                </c:pt>
                <c:pt idx="25">
                  <c:v>2.64</c:v>
                </c:pt>
                <c:pt idx="26">
                  <c:v>2.64</c:v>
                </c:pt>
                <c:pt idx="27">
                  <c:v>2.64</c:v>
                </c:pt>
                <c:pt idx="28">
                  <c:v>2.64</c:v>
                </c:pt>
                <c:pt idx="29">
                  <c:v>2.64</c:v>
                </c:pt>
                <c:pt idx="30">
                  <c:v>2.8800000000000008</c:v>
                </c:pt>
                <c:pt idx="31">
                  <c:v>2.8800000000000008</c:v>
                </c:pt>
                <c:pt idx="32">
                  <c:v>2.8800000000000008</c:v>
                </c:pt>
                <c:pt idx="33">
                  <c:v>2.8800000000000008</c:v>
                </c:pt>
                <c:pt idx="34">
                  <c:v>2.8800000000000008</c:v>
                </c:pt>
                <c:pt idx="35">
                  <c:v>3.12</c:v>
                </c:pt>
                <c:pt idx="36">
                  <c:v>3.12</c:v>
                </c:pt>
                <c:pt idx="37">
                  <c:v>3.12</c:v>
                </c:pt>
                <c:pt idx="38">
                  <c:v>3.12</c:v>
                </c:pt>
                <c:pt idx="39">
                  <c:v>3.12</c:v>
                </c:pt>
                <c:pt idx="40">
                  <c:v>3.3600000000000008</c:v>
                </c:pt>
                <c:pt idx="41">
                  <c:v>3.3600000000000008</c:v>
                </c:pt>
                <c:pt idx="42">
                  <c:v>3.3600000000000008</c:v>
                </c:pt>
                <c:pt idx="43">
                  <c:v>3.3600000000000008</c:v>
                </c:pt>
                <c:pt idx="44">
                  <c:v>3.3600000000000008</c:v>
                </c:pt>
                <c:pt idx="45">
                  <c:v>3.6</c:v>
                </c:pt>
                <c:pt idx="46">
                  <c:v>3.6</c:v>
                </c:pt>
                <c:pt idx="47">
                  <c:v>3.6</c:v>
                </c:pt>
                <c:pt idx="48">
                  <c:v>3.6</c:v>
                </c:pt>
                <c:pt idx="49">
                  <c:v>3.6</c:v>
                </c:pt>
                <c:pt idx="50">
                  <c:v>3.84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40-4628-BB95-34A49A8063E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スキル比較!$A$2:$A$52</c:f>
              <c:numCache>
                <c:formatCode>General</c:formatCode>
                <c:ptCount val="51"/>
                <c:pt idx="0">
                  <c:v>300</c:v>
                </c:pt>
                <c:pt idx="1">
                  <c:v>310</c:v>
                </c:pt>
                <c:pt idx="2">
                  <c:v>320</c:v>
                </c:pt>
                <c:pt idx="3">
                  <c:v>330</c:v>
                </c:pt>
                <c:pt idx="4">
                  <c:v>340</c:v>
                </c:pt>
                <c:pt idx="5">
                  <c:v>350</c:v>
                </c:pt>
                <c:pt idx="6">
                  <c:v>360</c:v>
                </c:pt>
                <c:pt idx="7">
                  <c:v>370</c:v>
                </c:pt>
                <c:pt idx="8">
                  <c:v>380</c:v>
                </c:pt>
                <c:pt idx="9">
                  <c:v>390</c:v>
                </c:pt>
                <c:pt idx="10">
                  <c:v>400</c:v>
                </c:pt>
                <c:pt idx="11">
                  <c:v>410</c:v>
                </c:pt>
                <c:pt idx="12">
                  <c:v>420</c:v>
                </c:pt>
                <c:pt idx="13">
                  <c:v>430</c:v>
                </c:pt>
                <c:pt idx="14">
                  <c:v>440</c:v>
                </c:pt>
                <c:pt idx="15">
                  <c:v>450</c:v>
                </c:pt>
                <c:pt idx="16">
                  <c:v>460</c:v>
                </c:pt>
                <c:pt idx="17">
                  <c:v>470</c:v>
                </c:pt>
                <c:pt idx="18">
                  <c:v>480</c:v>
                </c:pt>
                <c:pt idx="19">
                  <c:v>490</c:v>
                </c:pt>
                <c:pt idx="20">
                  <c:v>500</c:v>
                </c:pt>
                <c:pt idx="21">
                  <c:v>510</c:v>
                </c:pt>
                <c:pt idx="22">
                  <c:v>520</c:v>
                </c:pt>
                <c:pt idx="23">
                  <c:v>530</c:v>
                </c:pt>
                <c:pt idx="24">
                  <c:v>540</c:v>
                </c:pt>
                <c:pt idx="25">
                  <c:v>550</c:v>
                </c:pt>
                <c:pt idx="26">
                  <c:v>560</c:v>
                </c:pt>
                <c:pt idx="27">
                  <c:v>570</c:v>
                </c:pt>
                <c:pt idx="28">
                  <c:v>580</c:v>
                </c:pt>
                <c:pt idx="29">
                  <c:v>590</c:v>
                </c:pt>
                <c:pt idx="30">
                  <c:v>600</c:v>
                </c:pt>
                <c:pt idx="31">
                  <c:v>610</c:v>
                </c:pt>
                <c:pt idx="32">
                  <c:v>620</c:v>
                </c:pt>
                <c:pt idx="33">
                  <c:v>630</c:v>
                </c:pt>
                <c:pt idx="34">
                  <c:v>640</c:v>
                </c:pt>
                <c:pt idx="35">
                  <c:v>650</c:v>
                </c:pt>
                <c:pt idx="36">
                  <c:v>660</c:v>
                </c:pt>
                <c:pt idx="37">
                  <c:v>670</c:v>
                </c:pt>
                <c:pt idx="38">
                  <c:v>680</c:v>
                </c:pt>
                <c:pt idx="39">
                  <c:v>690</c:v>
                </c:pt>
                <c:pt idx="40">
                  <c:v>700</c:v>
                </c:pt>
                <c:pt idx="41">
                  <c:v>710</c:v>
                </c:pt>
                <c:pt idx="42">
                  <c:v>720</c:v>
                </c:pt>
                <c:pt idx="43">
                  <c:v>730</c:v>
                </c:pt>
                <c:pt idx="44">
                  <c:v>740</c:v>
                </c:pt>
                <c:pt idx="45">
                  <c:v>750</c:v>
                </c:pt>
                <c:pt idx="46">
                  <c:v>760</c:v>
                </c:pt>
                <c:pt idx="47">
                  <c:v>770</c:v>
                </c:pt>
                <c:pt idx="48">
                  <c:v>780</c:v>
                </c:pt>
                <c:pt idx="49">
                  <c:v>790</c:v>
                </c:pt>
                <c:pt idx="50">
                  <c:v>800</c:v>
                </c:pt>
              </c:numCache>
            </c:numRef>
          </c:cat>
          <c:val>
            <c:numRef>
              <c:f>スキル比較!$G$2:$G$52</c:f>
              <c:numCache>
                <c:formatCode>General</c:formatCode>
                <c:ptCount val="51"/>
                <c:pt idx="0">
                  <c:v>2.6159999999999997</c:v>
                </c:pt>
                <c:pt idx="1">
                  <c:v>2.6159999999999997</c:v>
                </c:pt>
                <c:pt idx="2">
                  <c:v>2.6159999999999997</c:v>
                </c:pt>
                <c:pt idx="3">
                  <c:v>2.6159999999999997</c:v>
                </c:pt>
                <c:pt idx="4">
                  <c:v>2.6159999999999997</c:v>
                </c:pt>
                <c:pt idx="5">
                  <c:v>2.6159999999999997</c:v>
                </c:pt>
                <c:pt idx="6">
                  <c:v>2.6160000000000068</c:v>
                </c:pt>
                <c:pt idx="7">
                  <c:v>2.6159999999999997</c:v>
                </c:pt>
                <c:pt idx="8">
                  <c:v>2.6160000000000068</c:v>
                </c:pt>
                <c:pt idx="9">
                  <c:v>2.6159999999999997</c:v>
                </c:pt>
                <c:pt idx="10">
                  <c:v>2.6159999999999997</c:v>
                </c:pt>
                <c:pt idx="11">
                  <c:v>2.6159999999999997</c:v>
                </c:pt>
                <c:pt idx="12">
                  <c:v>2.6159999999999997</c:v>
                </c:pt>
                <c:pt idx="13">
                  <c:v>2.6159999999999997</c:v>
                </c:pt>
                <c:pt idx="14">
                  <c:v>2.6159999999999997</c:v>
                </c:pt>
                <c:pt idx="15">
                  <c:v>2.6159999999999997</c:v>
                </c:pt>
                <c:pt idx="16">
                  <c:v>2.6159999999999997</c:v>
                </c:pt>
                <c:pt idx="17">
                  <c:v>2.6159999999999997</c:v>
                </c:pt>
                <c:pt idx="18">
                  <c:v>2.6159999999999997</c:v>
                </c:pt>
                <c:pt idx="19">
                  <c:v>2.6160000000000068</c:v>
                </c:pt>
                <c:pt idx="20">
                  <c:v>2.6159999999999997</c:v>
                </c:pt>
                <c:pt idx="21">
                  <c:v>2.6160000000000068</c:v>
                </c:pt>
                <c:pt idx="22">
                  <c:v>2.6159999999999997</c:v>
                </c:pt>
                <c:pt idx="23">
                  <c:v>2.6159999999999997</c:v>
                </c:pt>
                <c:pt idx="24">
                  <c:v>2.6159999999999997</c:v>
                </c:pt>
                <c:pt idx="25">
                  <c:v>2.6159999999999997</c:v>
                </c:pt>
                <c:pt idx="26">
                  <c:v>2.6159999999999997</c:v>
                </c:pt>
                <c:pt idx="27">
                  <c:v>2.6159999999999997</c:v>
                </c:pt>
                <c:pt idx="28">
                  <c:v>2.6160000000000068</c:v>
                </c:pt>
                <c:pt idx="29">
                  <c:v>2.6159999999999997</c:v>
                </c:pt>
                <c:pt idx="30">
                  <c:v>2.6159999999999997</c:v>
                </c:pt>
                <c:pt idx="31">
                  <c:v>2.6159999999999997</c:v>
                </c:pt>
                <c:pt idx="32">
                  <c:v>2.6159999999999997</c:v>
                </c:pt>
                <c:pt idx="33">
                  <c:v>2.6160000000000139</c:v>
                </c:pt>
                <c:pt idx="34">
                  <c:v>2.6159999999999997</c:v>
                </c:pt>
                <c:pt idx="35">
                  <c:v>2.6159999999999997</c:v>
                </c:pt>
                <c:pt idx="36">
                  <c:v>2.6159999999999997</c:v>
                </c:pt>
                <c:pt idx="37">
                  <c:v>2.6159999999999997</c:v>
                </c:pt>
                <c:pt idx="38">
                  <c:v>2.6159999999999997</c:v>
                </c:pt>
                <c:pt idx="39">
                  <c:v>2.6159999999999997</c:v>
                </c:pt>
                <c:pt idx="40">
                  <c:v>2.6159999999999997</c:v>
                </c:pt>
                <c:pt idx="41">
                  <c:v>2.6159999999999997</c:v>
                </c:pt>
                <c:pt idx="42">
                  <c:v>2.6159999999999997</c:v>
                </c:pt>
                <c:pt idx="43">
                  <c:v>2.6159999999999997</c:v>
                </c:pt>
                <c:pt idx="44">
                  <c:v>2.6159999999999997</c:v>
                </c:pt>
                <c:pt idx="45">
                  <c:v>2.6159999999999997</c:v>
                </c:pt>
                <c:pt idx="46">
                  <c:v>2.6160000000000139</c:v>
                </c:pt>
                <c:pt idx="47">
                  <c:v>2.6159999999999997</c:v>
                </c:pt>
                <c:pt idx="48">
                  <c:v>2.6159999999999997</c:v>
                </c:pt>
                <c:pt idx="49">
                  <c:v>2.6159999999999997</c:v>
                </c:pt>
                <c:pt idx="50">
                  <c:v>2.6159999999999997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40-4628-BB95-34A49A8063EF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スキル比較!$A$2:$A$52</c:f>
              <c:numCache>
                <c:formatCode>General</c:formatCode>
                <c:ptCount val="51"/>
                <c:pt idx="0">
                  <c:v>300</c:v>
                </c:pt>
                <c:pt idx="1">
                  <c:v>310</c:v>
                </c:pt>
                <c:pt idx="2">
                  <c:v>320</c:v>
                </c:pt>
                <c:pt idx="3">
                  <c:v>330</c:v>
                </c:pt>
                <c:pt idx="4">
                  <c:v>340</c:v>
                </c:pt>
                <c:pt idx="5">
                  <c:v>350</c:v>
                </c:pt>
                <c:pt idx="6">
                  <c:v>360</c:v>
                </c:pt>
                <c:pt idx="7">
                  <c:v>370</c:v>
                </c:pt>
                <c:pt idx="8">
                  <c:v>380</c:v>
                </c:pt>
                <c:pt idx="9">
                  <c:v>390</c:v>
                </c:pt>
                <c:pt idx="10">
                  <c:v>400</c:v>
                </c:pt>
                <c:pt idx="11">
                  <c:v>410</c:v>
                </c:pt>
                <c:pt idx="12">
                  <c:v>420</c:v>
                </c:pt>
                <c:pt idx="13">
                  <c:v>430</c:v>
                </c:pt>
                <c:pt idx="14">
                  <c:v>440</c:v>
                </c:pt>
                <c:pt idx="15">
                  <c:v>450</c:v>
                </c:pt>
                <c:pt idx="16">
                  <c:v>460</c:v>
                </c:pt>
                <c:pt idx="17">
                  <c:v>470</c:v>
                </c:pt>
                <c:pt idx="18">
                  <c:v>480</c:v>
                </c:pt>
                <c:pt idx="19">
                  <c:v>490</c:v>
                </c:pt>
                <c:pt idx="20">
                  <c:v>500</c:v>
                </c:pt>
                <c:pt idx="21">
                  <c:v>510</c:v>
                </c:pt>
                <c:pt idx="22">
                  <c:v>520</c:v>
                </c:pt>
                <c:pt idx="23">
                  <c:v>530</c:v>
                </c:pt>
                <c:pt idx="24">
                  <c:v>540</c:v>
                </c:pt>
                <c:pt idx="25">
                  <c:v>550</c:v>
                </c:pt>
                <c:pt idx="26">
                  <c:v>560</c:v>
                </c:pt>
                <c:pt idx="27">
                  <c:v>570</c:v>
                </c:pt>
                <c:pt idx="28">
                  <c:v>580</c:v>
                </c:pt>
                <c:pt idx="29">
                  <c:v>590</c:v>
                </c:pt>
                <c:pt idx="30">
                  <c:v>600</c:v>
                </c:pt>
                <c:pt idx="31">
                  <c:v>610</c:v>
                </c:pt>
                <c:pt idx="32">
                  <c:v>620</c:v>
                </c:pt>
                <c:pt idx="33">
                  <c:v>630</c:v>
                </c:pt>
                <c:pt idx="34">
                  <c:v>640</c:v>
                </c:pt>
                <c:pt idx="35">
                  <c:v>650</c:v>
                </c:pt>
                <c:pt idx="36">
                  <c:v>660</c:v>
                </c:pt>
                <c:pt idx="37">
                  <c:v>670</c:v>
                </c:pt>
                <c:pt idx="38">
                  <c:v>680</c:v>
                </c:pt>
                <c:pt idx="39">
                  <c:v>690</c:v>
                </c:pt>
                <c:pt idx="40">
                  <c:v>700</c:v>
                </c:pt>
                <c:pt idx="41">
                  <c:v>710</c:v>
                </c:pt>
                <c:pt idx="42">
                  <c:v>720</c:v>
                </c:pt>
                <c:pt idx="43">
                  <c:v>730</c:v>
                </c:pt>
                <c:pt idx="44">
                  <c:v>740</c:v>
                </c:pt>
                <c:pt idx="45">
                  <c:v>750</c:v>
                </c:pt>
                <c:pt idx="46">
                  <c:v>760</c:v>
                </c:pt>
                <c:pt idx="47">
                  <c:v>770</c:v>
                </c:pt>
                <c:pt idx="48">
                  <c:v>780</c:v>
                </c:pt>
                <c:pt idx="49">
                  <c:v>790</c:v>
                </c:pt>
                <c:pt idx="50">
                  <c:v>800</c:v>
                </c:pt>
              </c:numCache>
            </c:numRef>
          </c:cat>
          <c:val>
            <c:numRef>
              <c:f>スキル比較!$H$2:$H$52</c:f>
              <c:numCache>
                <c:formatCode>General</c:formatCode>
                <c:ptCount val="51"/>
                <c:pt idx="0">
                  <c:v>1.3079999999999998</c:v>
                </c:pt>
                <c:pt idx="1">
                  <c:v>1.3079999999999998</c:v>
                </c:pt>
                <c:pt idx="2">
                  <c:v>1.3079999999999998</c:v>
                </c:pt>
                <c:pt idx="3">
                  <c:v>1.3079999999999998</c:v>
                </c:pt>
                <c:pt idx="4">
                  <c:v>1.3079999999999998</c:v>
                </c:pt>
                <c:pt idx="5">
                  <c:v>1.3079999999999998</c:v>
                </c:pt>
                <c:pt idx="6">
                  <c:v>1.3079999999999998</c:v>
                </c:pt>
                <c:pt idx="7">
                  <c:v>1.3079999999999998</c:v>
                </c:pt>
                <c:pt idx="8">
                  <c:v>1.3080000000000069</c:v>
                </c:pt>
                <c:pt idx="9">
                  <c:v>1.3079999999999998</c:v>
                </c:pt>
                <c:pt idx="10">
                  <c:v>1.3079999999999998</c:v>
                </c:pt>
                <c:pt idx="11">
                  <c:v>1.3079999999999998</c:v>
                </c:pt>
                <c:pt idx="12">
                  <c:v>1.3079999999999998</c:v>
                </c:pt>
                <c:pt idx="13">
                  <c:v>1.3079999999999998</c:v>
                </c:pt>
                <c:pt idx="14">
                  <c:v>1.3079999999999998</c:v>
                </c:pt>
                <c:pt idx="15">
                  <c:v>1.3079999999999998</c:v>
                </c:pt>
                <c:pt idx="16">
                  <c:v>1.3079999999999998</c:v>
                </c:pt>
                <c:pt idx="17">
                  <c:v>1.3079999999999998</c:v>
                </c:pt>
                <c:pt idx="18">
                  <c:v>1.3079999999999998</c:v>
                </c:pt>
                <c:pt idx="19">
                  <c:v>1.3079999999999998</c:v>
                </c:pt>
                <c:pt idx="20">
                  <c:v>1.3079999999999998</c:v>
                </c:pt>
                <c:pt idx="21">
                  <c:v>1.3080000000000069</c:v>
                </c:pt>
                <c:pt idx="22">
                  <c:v>1.3079999999999998</c:v>
                </c:pt>
                <c:pt idx="23">
                  <c:v>1.3079999999999998</c:v>
                </c:pt>
                <c:pt idx="24">
                  <c:v>1.3079999999999998</c:v>
                </c:pt>
                <c:pt idx="25">
                  <c:v>1.3079999999999998</c:v>
                </c:pt>
                <c:pt idx="26">
                  <c:v>1.3079999999999998</c:v>
                </c:pt>
                <c:pt idx="27">
                  <c:v>1.3079999999999998</c:v>
                </c:pt>
                <c:pt idx="28">
                  <c:v>1.3079999999999998</c:v>
                </c:pt>
                <c:pt idx="29">
                  <c:v>1.3080000000000069</c:v>
                </c:pt>
                <c:pt idx="30">
                  <c:v>1.3080000000000069</c:v>
                </c:pt>
                <c:pt idx="31">
                  <c:v>1.3079999999999927</c:v>
                </c:pt>
                <c:pt idx="32">
                  <c:v>1.3079999999999927</c:v>
                </c:pt>
                <c:pt idx="33">
                  <c:v>1.3080000000000069</c:v>
                </c:pt>
                <c:pt idx="34">
                  <c:v>1.3080000000000069</c:v>
                </c:pt>
                <c:pt idx="35">
                  <c:v>1.3080000000000069</c:v>
                </c:pt>
                <c:pt idx="36">
                  <c:v>1.3079999999999927</c:v>
                </c:pt>
                <c:pt idx="37">
                  <c:v>1.3079999999999927</c:v>
                </c:pt>
                <c:pt idx="38">
                  <c:v>1.3080000000000069</c:v>
                </c:pt>
                <c:pt idx="39">
                  <c:v>1.3080000000000069</c:v>
                </c:pt>
                <c:pt idx="40">
                  <c:v>1.3079999999999927</c:v>
                </c:pt>
                <c:pt idx="41">
                  <c:v>1.3079999999999927</c:v>
                </c:pt>
                <c:pt idx="42">
                  <c:v>1.3080000000000069</c:v>
                </c:pt>
                <c:pt idx="43">
                  <c:v>1.3080000000000069</c:v>
                </c:pt>
                <c:pt idx="44">
                  <c:v>1.3079999999999927</c:v>
                </c:pt>
                <c:pt idx="45">
                  <c:v>1.3079999999999927</c:v>
                </c:pt>
                <c:pt idx="46">
                  <c:v>1.3080000000000069</c:v>
                </c:pt>
                <c:pt idx="47">
                  <c:v>1.3080000000000069</c:v>
                </c:pt>
                <c:pt idx="48">
                  <c:v>1.3080000000000069</c:v>
                </c:pt>
                <c:pt idx="49">
                  <c:v>1.3079999999999927</c:v>
                </c:pt>
                <c:pt idx="50">
                  <c:v>1.3079999999999927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40-4628-BB95-34A49A8063EF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スキル比較!$A$2:$A$52</c:f>
              <c:numCache>
                <c:formatCode>General</c:formatCode>
                <c:ptCount val="51"/>
                <c:pt idx="0">
                  <c:v>300</c:v>
                </c:pt>
                <c:pt idx="1">
                  <c:v>310</c:v>
                </c:pt>
                <c:pt idx="2">
                  <c:v>320</c:v>
                </c:pt>
                <c:pt idx="3">
                  <c:v>330</c:v>
                </c:pt>
                <c:pt idx="4">
                  <c:v>340</c:v>
                </c:pt>
                <c:pt idx="5">
                  <c:v>350</c:v>
                </c:pt>
                <c:pt idx="6">
                  <c:v>360</c:v>
                </c:pt>
                <c:pt idx="7">
                  <c:v>370</c:v>
                </c:pt>
                <c:pt idx="8">
                  <c:v>380</c:v>
                </c:pt>
                <c:pt idx="9">
                  <c:v>390</c:v>
                </c:pt>
                <c:pt idx="10">
                  <c:v>400</c:v>
                </c:pt>
                <c:pt idx="11">
                  <c:v>410</c:v>
                </c:pt>
                <c:pt idx="12">
                  <c:v>420</c:v>
                </c:pt>
                <c:pt idx="13">
                  <c:v>430</c:v>
                </c:pt>
                <c:pt idx="14">
                  <c:v>440</c:v>
                </c:pt>
                <c:pt idx="15">
                  <c:v>450</c:v>
                </c:pt>
                <c:pt idx="16">
                  <c:v>460</c:v>
                </c:pt>
                <c:pt idx="17">
                  <c:v>470</c:v>
                </c:pt>
                <c:pt idx="18">
                  <c:v>480</c:v>
                </c:pt>
                <c:pt idx="19">
                  <c:v>490</c:v>
                </c:pt>
                <c:pt idx="20">
                  <c:v>500</c:v>
                </c:pt>
                <c:pt idx="21">
                  <c:v>510</c:v>
                </c:pt>
                <c:pt idx="22">
                  <c:v>520</c:v>
                </c:pt>
                <c:pt idx="23">
                  <c:v>530</c:v>
                </c:pt>
                <c:pt idx="24">
                  <c:v>540</c:v>
                </c:pt>
                <c:pt idx="25">
                  <c:v>550</c:v>
                </c:pt>
                <c:pt idx="26">
                  <c:v>560</c:v>
                </c:pt>
                <c:pt idx="27">
                  <c:v>570</c:v>
                </c:pt>
                <c:pt idx="28">
                  <c:v>580</c:v>
                </c:pt>
                <c:pt idx="29">
                  <c:v>590</c:v>
                </c:pt>
                <c:pt idx="30">
                  <c:v>600</c:v>
                </c:pt>
                <c:pt idx="31">
                  <c:v>610</c:v>
                </c:pt>
                <c:pt idx="32">
                  <c:v>620</c:v>
                </c:pt>
                <c:pt idx="33">
                  <c:v>630</c:v>
                </c:pt>
                <c:pt idx="34">
                  <c:v>640</c:v>
                </c:pt>
                <c:pt idx="35">
                  <c:v>650</c:v>
                </c:pt>
                <c:pt idx="36">
                  <c:v>660</c:v>
                </c:pt>
                <c:pt idx="37">
                  <c:v>670</c:v>
                </c:pt>
                <c:pt idx="38">
                  <c:v>680</c:v>
                </c:pt>
                <c:pt idx="39">
                  <c:v>690</c:v>
                </c:pt>
                <c:pt idx="40">
                  <c:v>700</c:v>
                </c:pt>
                <c:pt idx="41">
                  <c:v>710</c:v>
                </c:pt>
                <c:pt idx="42">
                  <c:v>720</c:v>
                </c:pt>
                <c:pt idx="43">
                  <c:v>730</c:v>
                </c:pt>
                <c:pt idx="44">
                  <c:v>740</c:v>
                </c:pt>
                <c:pt idx="45">
                  <c:v>750</c:v>
                </c:pt>
                <c:pt idx="46">
                  <c:v>760</c:v>
                </c:pt>
                <c:pt idx="47">
                  <c:v>770</c:v>
                </c:pt>
                <c:pt idx="48">
                  <c:v>780</c:v>
                </c:pt>
                <c:pt idx="49">
                  <c:v>790</c:v>
                </c:pt>
                <c:pt idx="50">
                  <c:v>800</c:v>
                </c:pt>
              </c:numCache>
            </c:numRef>
          </c:cat>
          <c:val>
            <c:numRef>
              <c:f>スキル比較!$I$2:$I$52</c:f>
              <c:numCache>
                <c:formatCode>General</c:formatCode>
                <c:ptCount val="51"/>
                <c:pt idx="0">
                  <c:v>1.633499999999998</c:v>
                </c:pt>
                <c:pt idx="1">
                  <c:v>1.6879499999999936</c:v>
                </c:pt>
                <c:pt idx="2">
                  <c:v>1.7423999999999964</c:v>
                </c:pt>
                <c:pt idx="3">
                  <c:v>1.7968499999999921</c:v>
                </c:pt>
                <c:pt idx="4">
                  <c:v>1.8512999999999948</c:v>
                </c:pt>
                <c:pt idx="5">
                  <c:v>1.9057499999999905</c:v>
                </c:pt>
                <c:pt idx="6">
                  <c:v>1.9601999999999933</c:v>
                </c:pt>
                <c:pt idx="7">
                  <c:v>2.0146499999999889</c:v>
                </c:pt>
                <c:pt idx="8">
                  <c:v>2.0690999999999917</c:v>
                </c:pt>
                <c:pt idx="9">
                  <c:v>2.1235499999999945</c:v>
                </c:pt>
                <c:pt idx="10">
                  <c:v>2.1779999999999902</c:v>
                </c:pt>
                <c:pt idx="11">
                  <c:v>2.2324499999999929</c:v>
                </c:pt>
                <c:pt idx="12">
                  <c:v>2.2868999999999886</c:v>
                </c:pt>
                <c:pt idx="13">
                  <c:v>2.3413499999999914</c:v>
                </c:pt>
                <c:pt idx="14">
                  <c:v>2.3957999999999871</c:v>
                </c:pt>
                <c:pt idx="15">
                  <c:v>2.4502499999999898</c:v>
                </c:pt>
                <c:pt idx="16">
                  <c:v>2.5046999999999855</c:v>
                </c:pt>
                <c:pt idx="17">
                  <c:v>2.5591499999999954</c:v>
                </c:pt>
                <c:pt idx="18">
                  <c:v>2.613599999999991</c:v>
                </c:pt>
                <c:pt idx="19">
                  <c:v>2.6680499999999938</c:v>
                </c:pt>
                <c:pt idx="20">
                  <c:v>2.7224999999999895</c:v>
                </c:pt>
                <c:pt idx="21">
                  <c:v>2.7769499999999923</c:v>
                </c:pt>
                <c:pt idx="22">
                  <c:v>2.8313999999999879</c:v>
                </c:pt>
                <c:pt idx="23">
                  <c:v>2.8858499999999836</c:v>
                </c:pt>
                <c:pt idx="24">
                  <c:v>2.9402999999999864</c:v>
                </c:pt>
                <c:pt idx="25">
                  <c:v>2.994749999999982</c:v>
                </c:pt>
                <c:pt idx="26">
                  <c:v>3.0491999999999848</c:v>
                </c:pt>
                <c:pt idx="27">
                  <c:v>3.1036499999999876</c:v>
                </c:pt>
                <c:pt idx="28">
                  <c:v>3.1580999999999833</c:v>
                </c:pt>
                <c:pt idx="29">
                  <c:v>3.2125499999999931</c:v>
                </c:pt>
                <c:pt idx="30">
                  <c:v>3.2669999999999959</c:v>
                </c:pt>
                <c:pt idx="31">
                  <c:v>3.3214499999999845</c:v>
                </c:pt>
                <c:pt idx="32">
                  <c:v>3.3758999999999872</c:v>
                </c:pt>
                <c:pt idx="33">
                  <c:v>3.43034999999999</c:v>
                </c:pt>
                <c:pt idx="34">
                  <c:v>3.4847999999999928</c:v>
                </c:pt>
                <c:pt idx="35">
                  <c:v>3.5392499999999814</c:v>
                </c:pt>
                <c:pt idx="36">
                  <c:v>3.5936999999999841</c:v>
                </c:pt>
                <c:pt idx="37">
                  <c:v>3.6481499999999727</c:v>
                </c:pt>
                <c:pt idx="38">
                  <c:v>3.7025999999999897</c:v>
                </c:pt>
                <c:pt idx="39">
                  <c:v>3.7570499999999925</c:v>
                </c:pt>
                <c:pt idx="40">
                  <c:v>3.811499999999981</c:v>
                </c:pt>
                <c:pt idx="41">
                  <c:v>3.8659499999999838</c:v>
                </c:pt>
                <c:pt idx="42">
                  <c:v>3.9203999999999866</c:v>
                </c:pt>
                <c:pt idx="43">
                  <c:v>3.9748499999999893</c:v>
                </c:pt>
                <c:pt idx="44">
                  <c:v>4.0292999999999779</c:v>
                </c:pt>
                <c:pt idx="45">
                  <c:v>4.0837499999999807</c:v>
                </c:pt>
                <c:pt idx="46">
                  <c:v>4.1381999999999834</c:v>
                </c:pt>
                <c:pt idx="47">
                  <c:v>4.1926499999999862</c:v>
                </c:pt>
                <c:pt idx="48">
                  <c:v>4.247099999999989</c:v>
                </c:pt>
                <c:pt idx="49">
                  <c:v>4.3015499999999776</c:v>
                </c:pt>
                <c:pt idx="50">
                  <c:v>4.3559999999999803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940-4628-BB95-34A49A8063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8971232"/>
        <c:axId val="648963360"/>
      </c:lineChart>
      <c:catAx>
        <c:axId val="648971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48963360"/>
        <c:crosses val="autoZero"/>
        <c:auto val="1"/>
        <c:lblAlgn val="ctr"/>
        <c:lblOffset val="100"/>
        <c:noMultiLvlLbl val="0"/>
      </c:catAx>
      <c:valAx>
        <c:axId val="64896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48971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差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系列1</c:v>
          </c:tx>
          <c:marker>
            <c:symbol val="none"/>
          </c:marker>
          <c:cat>
            <c:numRef>
              <c:f>スキル計算!$A$2:$A$52</c:f>
              <c:numCache>
                <c:formatCode>General</c:formatCode>
                <c:ptCount val="51"/>
                <c:pt idx="0">
                  <c:v>300</c:v>
                </c:pt>
                <c:pt idx="1">
                  <c:v>310</c:v>
                </c:pt>
                <c:pt idx="2">
                  <c:v>320</c:v>
                </c:pt>
                <c:pt idx="3">
                  <c:v>330</c:v>
                </c:pt>
                <c:pt idx="4">
                  <c:v>340</c:v>
                </c:pt>
                <c:pt idx="5">
                  <c:v>350</c:v>
                </c:pt>
                <c:pt idx="6">
                  <c:v>360</c:v>
                </c:pt>
                <c:pt idx="7">
                  <c:v>370</c:v>
                </c:pt>
                <c:pt idx="8">
                  <c:v>380</c:v>
                </c:pt>
                <c:pt idx="9">
                  <c:v>390</c:v>
                </c:pt>
                <c:pt idx="10">
                  <c:v>400</c:v>
                </c:pt>
                <c:pt idx="11">
                  <c:v>410</c:v>
                </c:pt>
                <c:pt idx="12">
                  <c:v>420</c:v>
                </c:pt>
                <c:pt idx="13">
                  <c:v>430</c:v>
                </c:pt>
                <c:pt idx="14">
                  <c:v>440</c:v>
                </c:pt>
                <c:pt idx="15">
                  <c:v>450</c:v>
                </c:pt>
                <c:pt idx="16">
                  <c:v>460</c:v>
                </c:pt>
                <c:pt idx="17">
                  <c:v>470</c:v>
                </c:pt>
                <c:pt idx="18">
                  <c:v>480</c:v>
                </c:pt>
                <c:pt idx="19">
                  <c:v>490</c:v>
                </c:pt>
                <c:pt idx="20">
                  <c:v>500</c:v>
                </c:pt>
                <c:pt idx="21">
                  <c:v>510</c:v>
                </c:pt>
                <c:pt idx="22">
                  <c:v>520</c:v>
                </c:pt>
                <c:pt idx="23">
                  <c:v>530</c:v>
                </c:pt>
                <c:pt idx="24">
                  <c:v>540</c:v>
                </c:pt>
                <c:pt idx="25">
                  <c:v>550</c:v>
                </c:pt>
                <c:pt idx="26">
                  <c:v>560</c:v>
                </c:pt>
                <c:pt idx="27">
                  <c:v>570</c:v>
                </c:pt>
                <c:pt idx="28">
                  <c:v>580</c:v>
                </c:pt>
                <c:pt idx="29">
                  <c:v>590</c:v>
                </c:pt>
                <c:pt idx="30">
                  <c:v>600</c:v>
                </c:pt>
                <c:pt idx="31">
                  <c:v>610</c:v>
                </c:pt>
                <c:pt idx="32">
                  <c:v>620</c:v>
                </c:pt>
                <c:pt idx="33">
                  <c:v>630</c:v>
                </c:pt>
                <c:pt idx="34">
                  <c:v>640</c:v>
                </c:pt>
                <c:pt idx="35">
                  <c:v>650</c:v>
                </c:pt>
                <c:pt idx="36">
                  <c:v>660</c:v>
                </c:pt>
                <c:pt idx="37">
                  <c:v>670</c:v>
                </c:pt>
                <c:pt idx="38">
                  <c:v>680</c:v>
                </c:pt>
                <c:pt idx="39">
                  <c:v>690</c:v>
                </c:pt>
                <c:pt idx="40">
                  <c:v>700</c:v>
                </c:pt>
                <c:pt idx="41">
                  <c:v>710</c:v>
                </c:pt>
                <c:pt idx="42">
                  <c:v>720</c:v>
                </c:pt>
                <c:pt idx="43">
                  <c:v>730</c:v>
                </c:pt>
                <c:pt idx="44">
                  <c:v>740</c:v>
                </c:pt>
                <c:pt idx="45">
                  <c:v>750</c:v>
                </c:pt>
                <c:pt idx="46">
                  <c:v>760</c:v>
                </c:pt>
                <c:pt idx="47">
                  <c:v>770</c:v>
                </c:pt>
                <c:pt idx="48">
                  <c:v>780</c:v>
                </c:pt>
                <c:pt idx="49">
                  <c:v>790</c:v>
                </c:pt>
                <c:pt idx="50">
                  <c:v>800</c:v>
                </c:pt>
              </c:numCache>
            </c:numRef>
          </c:cat>
          <c:val>
            <c:numRef>
              <c:f>スキル計算!$D$2:$D$52</c:f>
              <c:numCache>
                <c:formatCode>General</c:formatCode>
                <c:ptCount val="51"/>
                <c:pt idx="0">
                  <c:v>13.157680250783692</c:v>
                </c:pt>
                <c:pt idx="1">
                  <c:v>13.159529780564256</c:v>
                </c:pt>
                <c:pt idx="2">
                  <c:v>13.16137931034482</c:v>
                </c:pt>
                <c:pt idx="3">
                  <c:v>13.163228840125385</c:v>
                </c:pt>
                <c:pt idx="4">
                  <c:v>13.165078369905949</c:v>
                </c:pt>
                <c:pt idx="5">
                  <c:v>13.166927899686513</c:v>
                </c:pt>
                <c:pt idx="6">
                  <c:v>13.168777429467077</c:v>
                </c:pt>
                <c:pt idx="7">
                  <c:v>13.170626959247649</c:v>
                </c:pt>
                <c:pt idx="8">
                  <c:v>13.172476489028213</c:v>
                </c:pt>
                <c:pt idx="9">
                  <c:v>13.17432601880877</c:v>
                </c:pt>
                <c:pt idx="10">
                  <c:v>13.176175548589327</c:v>
                </c:pt>
                <c:pt idx="11">
                  <c:v>13.178025078369892</c:v>
                </c:pt>
                <c:pt idx="12">
                  <c:v>13.179874608150463</c:v>
                </c:pt>
                <c:pt idx="13">
                  <c:v>13.181724137931027</c:v>
                </c:pt>
                <c:pt idx="14">
                  <c:v>13.183573667711592</c:v>
                </c:pt>
                <c:pt idx="15">
                  <c:v>13.185423197492163</c:v>
                </c:pt>
                <c:pt idx="16">
                  <c:v>13.18727272727272</c:v>
                </c:pt>
                <c:pt idx="17">
                  <c:v>13.189122257053285</c:v>
                </c:pt>
                <c:pt idx="18">
                  <c:v>13.190971786833842</c:v>
                </c:pt>
                <c:pt idx="19">
                  <c:v>13.19282131661442</c:v>
                </c:pt>
                <c:pt idx="20">
                  <c:v>13.194670846394985</c:v>
                </c:pt>
                <c:pt idx="21">
                  <c:v>13.196520376175549</c:v>
                </c:pt>
                <c:pt idx="22">
                  <c:v>13.198369905956106</c:v>
                </c:pt>
                <c:pt idx="23">
                  <c:v>13.200219435736678</c:v>
                </c:pt>
                <c:pt idx="24">
                  <c:v>13.202068965517242</c:v>
                </c:pt>
                <c:pt idx="25">
                  <c:v>13.203918495297799</c:v>
                </c:pt>
                <c:pt idx="26">
                  <c:v>13.205768025078363</c:v>
                </c:pt>
                <c:pt idx="27">
                  <c:v>13.207617554858928</c:v>
                </c:pt>
                <c:pt idx="28">
                  <c:v>13.209467084639499</c:v>
                </c:pt>
                <c:pt idx="29">
                  <c:v>13.21131661442007</c:v>
                </c:pt>
                <c:pt idx="30">
                  <c:v>13.213166144200628</c:v>
                </c:pt>
                <c:pt idx="31">
                  <c:v>13.215015673981185</c:v>
                </c:pt>
                <c:pt idx="32">
                  <c:v>13.216865203761742</c:v>
                </c:pt>
                <c:pt idx="33">
                  <c:v>13.218714733542328</c:v>
                </c:pt>
                <c:pt idx="34">
                  <c:v>13.220564263322885</c:v>
                </c:pt>
                <c:pt idx="35">
                  <c:v>13.222413793103442</c:v>
                </c:pt>
                <c:pt idx="36">
                  <c:v>13.224263322883999</c:v>
                </c:pt>
                <c:pt idx="37">
                  <c:v>13.226112852664556</c:v>
                </c:pt>
                <c:pt idx="38">
                  <c:v>13.227962382445142</c:v>
                </c:pt>
                <c:pt idx="39">
                  <c:v>13.229811912225699</c:v>
                </c:pt>
                <c:pt idx="40">
                  <c:v>13.231661442006256</c:v>
                </c:pt>
                <c:pt idx="41">
                  <c:v>13.233510971786814</c:v>
                </c:pt>
                <c:pt idx="42">
                  <c:v>13.235360501567385</c:v>
                </c:pt>
                <c:pt idx="43">
                  <c:v>13.237210031347956</c:v>
                </c:pt>
                <c:pt idx="44">
                  <c:v>13.239059561128514</c:v>
                </c:pt>
                <c:pt idx="45">
                  <c:v>13.240909090909071</c:v>
                </c:pt>
                <c:pt idx="46">
                  <c:v>13.242758620689642</c:v>
                </c:pt>
                <c:pt idx="47">
                  <c:v>13.244608150470199</c:v>
                </c:pt>
                <c:pt idx="48">
                  <c:v>13.246457680250771</c:v>
                </c:pt>
                <c:pt idx="49">
                  <c:v>13.248307210031328</c:v>
                </c:pt>
                <c:pt idx="50">
                  <c:v>13.250156739811899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49AE-45E4-AFFD-4BD550B2519C}"/>
            </c:ext>
          </c:extLst>
        </c:ser>
        <c:ser>
          <c:idx val="1"/>
          <c:order val="1"/>
          <c:tx>
            <c:v>系列2</c:v>
          </c:tx>
          <c:marker>
            <c:symbol val="none"/>
          </c:marker>
          <c:cat>
            <c:numRef>
              <c:f>スキル計算!$A$2:$A$52</c:f>
              <c:numCache>
                <c:formatCode>General</c:formatCode>
                <c:ptCount val="51"/>
                <c:pt idx="0">
                  <c:v>300</c:v>
                </c:pt>
                <c:pt idx="1">
                  <c:v>310</c:v>
                </c:pt>
                <c:pt idx="2">
                  <c:v>320</c:v>
                </c:pt>
                <c:pt idx="3">
                  <c:v>330</c:v>
                </c:pt>
                <c:pt idx="4">
                  <c:v>340</c:v>
                </c:pt>
                <c:pt idx="5">
                  <c:v>350</c:v>
                </c:pt>
                <c:pt idx="6">
                  <c:v>360</c:v>
                </c:pt>
                <c:pt idx="7">
                  <c:v>370</c:v>
                </c:pt>
                <c:pt idx="8">
                  <c:v>380</c:v>
                </c:pt>
                <c:pt idx="9">
                  <c:v>390</c:v>
                </c:pt>
                <c:pt idx="10">
                  <c:v>400</c:v>
                </c:pt>
                <c:pt idx="11">
                  <c:v>410</c:v>
                </c:pt>
                <c:pt idx="12">
                  <c:v>420</c:v>
                </c:pt>
                <c:pt idx="13">
                  <c:v>430</c:v>
                </c:pt>
                <c:pt idx="14">
                  <c:v>440</c:v>
                </c:pt>
                <c:pt idx="15">
                  <c:v>450</c:v>
                </c:pt>
                <c:pt idx="16">
                  <c:v>460</c:v>
                </c:pt>
                <c:pt idx="17">
                  <c:v>470</c:v>
                </c:pt>
                <c:pt idx="18">
                  <c:v>480</c:v>
                </c:pt>
                <c:pt idx="19">
                  <c:v>490</c:v>
                </c:pt>
                <c:pt idx="20">
                  <c:v>500</c:v>
                </c:pt>
                <c:pt idx="21">
                  <c:v>510</c:v>
                </c:pt>
                <c:pt idx="22">
                  <c:v>520</c:v>
                </c:pt>
                <c:pt idx="23">
                  <c:v>530</c:v>
                </c:pt>
                <c:pt idx="24">
                  <c:v>540</c:v>
                </c:pt>
                <c:pt idx="25">
                  <c:v>550</c:v>
                </c:pt>
                <c:pt idx="26">
                  <c:v>560</c:v>
                </c:pt>
                <c:pt idx="27">
                  <c:v>570</c:v>
                </c:pt>
                <c:pt idx="28">
                  <c:v>580</c:v>
                </c:pt>
                <c:pt idx="29">
                  <c:v>590</c:v>
                </c:pt>
                <c:pt idx="30">
                  <c:v>600</c:v>
                </c:pt>
                <c:pt idx="31">
                  <c:v>610</c:v>
                </c:pt>
                <c:pt idx="32">
                  <c:v>620</c:v>
                </c:pt>
                <c:pt idx="33">
                  <c:v>630</c:v>
                </c:pt>
                <c:pt idx="34">
                  <c:v>640</c:v>
                </c:pt>
                <c:pt idx="35">
                  <c:v>650</c:v>
                </c:pt>
                <c:pt idx="36">
                  <c:v>660</c:v>
                </c:pt>
                <c:pt idx="37">
                  <c:v>670</c:v>
                </c:pt>
                <c:pt idx="38">
                  <c:v>680</c:v>
                </c:pt>
                <c:pt idx="39">
                  <c:v>690</c:v>
                </c:pt>
                <c:pt idx="40">
                  <c:v>700</c:v>
                </c:pt>
                <c:pt idx="41">
                  <c:v>710</c:v>
                </c:pt>
                <c:pt idx="42">
                  <c:v>720</c:v>
                </c:pt>
                <c:pt idx="43">
                  <c:v>730</c:v>
                </c:pt>
                <c:pt idx="44">
                  <c:v>740</c:v>
                </c:pt>
                <c:pt idx="45">
                  <c:v>750</c:v>
                </c:pt>
                <c:pt idx="46">
                  <c:v>760</c:v>
                </c:pt>
                <c:pt idx="47">
                  <c:v>770</c:v>
                </c:pt>
                <c:pt idx="48">
                  <c:v>780</c:v>
                </c:pt>
                <c:pt idx="49">
                  <c:v>790</c:v>
                </c:pt>
                <c:pt idx="50">
                  <c:v>800</c:v>
                </c:pt>
              </c:numCache>
            </c:numRef>
          </c:cat>
          <c:val>
            <c:numRef>
              <c:f>スキル計算!$G$2:$G$52</c:f>
              <c:numCache>
                <c:formatCode>General</c:formatCode>
                <c:ptCount val="51"/>
                <c:pt idx="0">
                  <c:v>12.80087021943573</c:v>
                </c:pt>
                <c:pt idx="1">
                  <c:v>12.858288714733533</c:v>
                </c:pt>
                <c:pt idx="2">
                  <c:v>12.915707210031336</c:v>
                </c:pt>
                <c:pt idx="3">
                  <c:v>12.973125705329139</c:v>
                </c:pt>
                <c:pt idx="4">
                  <c:v>13.030544200626949</c:v>
                </c:pt>
                <c:pt idx="5">
                  <c:v>13.327962695924754</c:v>
                </c:pt>
                <c:pt idx="6">
                  <c:v>13.385381191222564</c:v>
                </c:pt>
                <c:pt idx="7">
                  <c:v>13.442799686520374</c:v>
                </c:pt>
                <c:pt idx="8">
                  <c:v>13.500218181818184</c:v>
                </c:pt>
                <c:pt idx="9">
                  <c:v>13.55763667711598</c:v>
                </c:pt>
                <c:pt idx="10">
                  <c:v>13.855055172413785</c:v>
                </c:pt>
                <c:pt idx="11">
                  <c:v>13.912473667711595</c:v>
                </c:pt>
                <c:pt idx="12">
                  <c:v>13.969892163009398</c:v>
                </c:pt>
                <c:pt idx="13">
                  <c:v>14.027310658307208</c:v>
                </c:pt>
                <c:pt idx="14">
                  <c:v>14.084729153605011</c:v>
                </c:pt>
                <c:pt idx="15">
                  <c:v>14.382147648902823</c:v>
                </c:pt>
                <c:pt idx="16">
                  <c:v>14.439566144200619</c:v>
                </c:pt>
                <c:pt idx="17">
                  <c:v>14.496984639498422</c:v>
                </c:pt>
                <c:pt idx="18">
                  <c:v>14.554403134796232</c:v>
                </c:pt>
                <c:pt idx="19">
                  <c:v>14.611821630094035</c:v>
                </c:pt>
                <c:pt idx="20">
                  <c:v>14.909240125391847</c:v>
                </c:pt>
                <c:pt idx="21">
                  <c:v>14.966658620689664</c:v>
                </c:pt>
                <c:pt idx="22">
                  <c:v>15.02407711598746</c:v>
                </c:pt>
                <c:pt idx="23">
                  <c:v>15.08149561128527</c:v>
                </c:pt>
                <c:pt idx="24">
                  <c:v>15.138914106583073</c:v>
                </c:pt>
                <c:pt idx="25">
                  <c:v>15.436332601880878</c:v>
                </c:pt>
                <c:pt idx="26">
                  <c:v>15.493751097178681</c:v>
                </c:pt>
                <c:pt idx="27">
                  <c:v>15.551169592476498</c:v>
                </c:pt>
                <c:pt idx="28">
                  <c:v>15.608588087774294</c:v>
                </c:pt>
                <c:pt idx="29">
                  <c:v>15.666006583072104</c:v>
                </c:pt>
                <c:pt idx="30">
                  <c:v>15.963425078369909</c:v>
                </c:pt>
                <c:pt idx="31">
                  <c:v>16.020843573667705</c:v>
                </c:pt>
                <c:pt idx="32">
                  <c:v>16.078262068965515</c:v>
                </c:pt>
                <c:pt idx="33">
                  <c:v>16.135680564263325</c:v>
                </c:pt>
                <c:pt idx="34">
                  <c:v>16.193099059561135</c:v>
                </c:pt>
                <c:pt idx="35">
                  <c:v>16.490517554858926</c:v>
                </c:pt>
                <c:pt idx="36">
                  <c:v>16.547936050156721</c:v>
                </c:pt>
                <c:pt idx="37">
                  <c:v>16.605354545454531</c:v>
                </c:pt>
                <c:pt idx="38">
                  <c:v>16.662773040752342</c:v>
                </c:pt>
                <c:pt idx="39">
                  <c:v>16.720191536050152</c:v>
                </c:pt>
                <c:pt idx="40">
                  <c:v>17.017610031347942</c:v>
                </c:pt>
                <c:pt idx="41">
                  <c:v>17.075028526645752</c:v>
                </c:pt>
                <c:pt idx="42">
                  <c:v>17.132447021943563</c:v>
                </c:pt>
                <c:pt idx="43">
                  <c:v>17.189865517241373</c:v>
                </c:pt>
                <c:pt idx="44">
                  <c:v>17.247284012539168</c:v>
                </c:pt>
                <c:pt idx="45">
                  <c:v>17.544702507836959</c:v>
                </c:pt>
                <c:pt idx="46">
                  <c:v>17.602121003134783</c:v>
                </c:pt>
                <c:pt idx="47">
                  <c:v>17.659539498432579</c:v>
                </c:pt>
                <c:pt idx="48">
                  <c:v>17.716957993730389</c:v>
                </c:pt>
                <c:pt idx="49">
                  <c:v>17.774376489028185</c:v>
                </c:pt>
                <c:pt idx="50">
                  <c:v>18.071794984326019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49AE-45E4-AFFD-4BD550B251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4836392"/>
        <c:axId val="434835080"/>
      </c:lineChart>
      <c:catAx>
        <c:axId val="434836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34835080"/>
        <c:crosses val="autoZero"/>
        <c:auto val="1"/>
        <c:lblAlgn val="ctr"/>
        <c:lblOffset val="100"/>
        <c:noMultiLvlLbl val="0"/>
      </c:catAx>
      <c:valAx>
        <c:axId val="434835080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34836392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割合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スキル計算!$A$2:$A$52</c:f>
              <c:numCache>
                <c:formatCode>General</c:formatCode>
                <c:ptCount val="51"/>
                <c:pt idx="0">
                  <c:v>300</c:v>
                </c:pt>
                <c:pt idx="1">
                  <c:v>310</c:v>
                </c:pt>
                <c:pt idx="2">
                  <c:v>320</c:v>
                </c:pt>
                <c:pt idx="3">
                  <c:v>330</c:v>
                </c:pt>
                <c:pt idx="4">
                  <c:v>340</c:v>
                </c:pt>
                <c:pt idx="5">
                  <c:v>350</c:v>
                </c:pt>
                <c:pt idx="6">
                  <c:v>360</c:v>
                </c:pt>
                <c:pt idx="7">
                  <c:v>370</c:v>
                </c:pt>
                <c:pt idx="8">
                  <c:v>380</c:v>
                </c:pt>
                <c:pt idx="9">
                  <c:v>390</c:v>
                </c:pt>
                <c:pt idx="10">
                  <c:v>400</c:v>
                </c:pt>
                <c:pt idx="11">
                  <c:v>410</c:v>
                </c:pt>
                <c:pt idx="12">
                  <c:v>420</c:v>
                </c:pt>
                <c:pt idx="13">
                  <c:v>430</c:v>
                </c:pt>
                <c:pt idx="14">
                  <c:v>440</c:v>
                </c:pt>
                <c:pt idx="15">
                  <c:v>450</c:v>
                </c:pt>
                <c:pt idx="16">
                  <c:v>460</c:v>
                </c:pt>
                <c:pt idx="17">
                  <c:v>470</c:v>
                </c:pt>
                <c:pt idx="18">
                  <c:v>480</c:v>
                </c:pt>
                <c:pt idx="19">
                  <c:v>490</c:v>
                </c:pt>
                <c:pt idx="20">
                  <c:v>500</c:v>
                </c:pt>
                <c:pt idx="21">
                  <c:v>510</c:v>
                </c:pt>
                <c:pt idx="22">
                  <c:v>520</c:v>
                </c:pt>
                <c:pt idx="23">
                  <c:v>530</c:v>
                </c:pt>
                <c:pt idx="24">
                  <c:v>540</c:v>
                </c:pt>
                <c:pt idx="25">
                  <c:v>550</c:v>
                </c:pt>
                <c:pt idx="26">
                  <c:v>560</c:v>
                </c:pt>
                <c:pt idx="27">
                  <c:v>570</c:v>
                </c:pt>
                <c:pt idx="28">
                  <c:v>580</c:v>
                </c:pt>
                <c:pt idx="29">
                  <c:v>590</c:v>
                </c:pt>
                <c:pt idx="30">
                  <c:v>600</c:v>
                </c:pt>
                <c:pt idx="31">
                  <c:v>610</c:v>
                </c:pt>
                <c:pt idx="32">
                  <c:v>620</c:v>
                </c:pt>
                <c:pt idx="33">
                  <c:v>630</c:v>
                </c:pt>
                <c:pt idx="34">
                  <c:v>640</c:v>
                </c:pt>
                <c:pt idx="35">
                  <c:v>650</c:v>
                </c:pt>
                <c:pt idx="36">
                  <c:v>660</c:v>
                </c:pt>
                <c:pt idx="37">
                  <c:v>670</c:v>
                </c:pt>
                <c:pt idx="38">
                  <c:v>680</c:v>
                </c:pt>
                <c:pt idx="39">
                  <c:v>690</c:v>
                </c:pt>
                <c:pt idx="40">
                  <c:v>700</c:v>
                </c:pt>
                <c:pt idx="41">
                  <c:v>710</c:v>
                </c:pt>
                <c:pt idx="42">
                  <c:v>720</c:v>
                </c:pt>
                <c:pt idx="43">
                  <c:v>730</c:v>
                </c:pt>
                <c:pt idx="44">
                  <c:v>740</c:v>
                </c:pt>
                <c:pt idx="45">
                  <c:v>750</c:v>
                </c:pt>
                <c:pt idx="46">
                  <c:v>760</c:v>
                </c:pt>
                <c:pt idx="47">
                  <c:v>770</c:v>
                </c:pt>
                <c:pt idx="48">
                  <c:v>780</c:v>
                </c:pt>
                <c:pt idx="49">
                  <c:v>790</c:v>
                </c:pt>
                <c:pt idx="50">
                  <c:v>800</c:v>
                </c:pt>
              </c:numCache>
            </c:numRef>
          </c:cat>
          <c:val>
            <c:numRef>
              <c:f>スキル計算!$E$2:$E$52</c:f>
              <c:numCache>
                <c:formatCode>General</c:formatCode>
                <c:ptCount val="51"/>
                <c:pt idx="0">
                  <c:v>1.3836058382152678</c:v>
                </c:pt>
                <c:pt idx="1">
                  <c:v>1.3718431698379274</c:v>
                </c:pt>
                <c:pt idx="2">
                  <c:v>1.3607834240774348</c:v>
                </c:pt>
                <c:pt idx="3">
                  <c:v>1.3503654202854773</c:v>
                </c:pt>
                <c:pt idx="4">
                  <c:v>1.3405348776488863</c:v>
                </c:pt>
                <c:pt idx="5">
                  <c:v>1.3295851789658701</c:v>
                </c:pt>
                <c:pt idx="6">
                  <c:v>1.3208766430182037</c:v>
                </c:pt>
                <c:pt idx="7">
                  <c:v>1.3126187267801483</c:v>
                </c:pt>
                <c:pt idx="8">
                  <c:v>1.3047773366272146</c:v>
                </c:pt>
                <c:pt idx="9">
                  <c:v>1.2973217336675416</c:v>
                </c:pt>
                <c:pt idx="10">
                  <c:v>1.2889512181708185</c:v>
                </c:pt>
                <c:pt idx="11">
                  <c:v>1.2822451291147974</c:v>
                </c:pt>
                <c:pt idx="12">
                  <c:v>1.2758450106352126</c:v>
                </c:pt>
                <c:pt idx="13">
                  <c:v>1.2697303895627383</c:v>
                </c:pt>
                <c:pt idx="14">
                  <c:v>1.2638825794177659</c:v>
                </c:pt>
                <c:pt idx="15">
                  <c:v>1.257276550194969</c:v>
                </c:pt>
                <c:pt idx="16">
                  <c:v>1.2519540070170561</c:v>
                </c:pt>
                <c:pt idx="17">
                  <c:v>1.2468486291793615</c:v>
                </c:pt>
                <c:pt idx="18">
                  <c:v>1.2419473915413397</c:v>
                </c:pt>
                <c:pt idx="19">
                  <c:v>1.2372382901746883</c:v>
                </c:pt>
                <c:pt idx="20">
                  <c:v>1.2318922820104568</c:v>
                </c:pt>
                <c:pt idx="21">
                  <c:v>1.2275654488045447</c:v>
                </c:pt>
                <c:pt idx="22">
                  <c:v>1.2233982719356145</c:v>
                </c:pt>
                <c:pt idx="23">
                  <c:v>1.2193820747172457</c:v>
                </c:pt>
                <c:pt idx="24">
                  <c:v>1.2155087980006078</c:v>
                </c:pt>
                <c:pt idx="25">
                  <c:v>1.2110938208680704</c:v>
                </c:pt>
                <c:pt idx="26">
                  <c:v>1.2075073542595594</c:v>
                </c:pt>
                <c:pt idx="27">
                  <c:v>1.2040416739511652</c:v>
                </c:pt>
                <c:pt idx="28">
                  <c:v>1.2006907791649879</c:v>
                </c:pt>
                <c:pt idx="29">
                  <c:v>1.1974490601467653</c:v>
                </c:pt>
                <c:pt idx="30">
                  <c:v>1.1937414390645253</c:v>
                </c:pt>
                <c:pt idx="31">
                  <c:v>1.1907203878479027</c:v>
                </c:pt>
                <c:pt idx="32">
                  <c:v>1.1877929128127556</c:v>
                </c:pt>
                <c:pt idx="33">
                  <c:v>1.1849547325247283</c:v>
                </c:pt>
                <c:pt idx="34">
                  <c:v>1.1822018228131599</c:v>
                </c:pt>
                <c:pt idx="35">
                  <c:v>1.1790441948964583</c:v>
                </c:pt>
                <c:pt idx="36">
                  <c:v>1.176464682717961</c:v>
                </c:pt>
                <c:pt idx="37">
                  <c:v>1.1739591326142911</c:v>
                </c:pt>
                <c:pt idx="38">
                  <c:v>1.1715244084860625</c:v>
                </c:pt>
                <c:pt idx="39">
                  <c:v>1.1691575490631083</c:v>
                </c:pt>
                <c:pt idx="40">
                  <c:v>1.1664359929812107</c:v>
                </c:pt>
                <c:pt idx="41">
                  <c:v>1.1642078542224445</c:v>
                </c:pt>
                <c:pt idx="42">
                  <c:v>1.1620391834178181</c:v>
                </c:pt>
                <c:pt idx="43">
                  <c:v>1.1599276311628361</c:v>
                </c:pt>
                <c:pt idx="44">
                  <c:v>1.1578709702018664</c:v>
                </c:pt>
                <c:pt idx="45">
                  <c:v>1.1555009875620559</c:v>
                </c:pt>
                <c:pt idx="46">
                  <c:v>1.1535570340989059</c:v>
                </c:pt>
                <c:pt idx="47">
                  <c:v>1.1516616071277934</c:v>
                </c:pt>
                <c:pt idx="48">
                  <c:v>1.1498129120136933</c:v>
                </c:pt>
                <c:pt idx="49">
                  <c:v>1.1480092415376084</c:v>
                </c:pt>
                <c:pt idx="50">
                  <c:v>1.1459268363415407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F2-4208-AC9F-D3EDB1382066}"/>
            </c:ext>
          </c:extLst>
        </c:ser>
        <c:ser>
          <c:idx val="1"/>
          <c:order val="1"/>
          <c:tx>
            <c:v>系列2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スキル計算!$A$2:$A$52</c:f>
              <c:numCache>
                <c:formatCode>General</c:formatCode>
                <c:ptCount val="51"/>
                <c:pt idx="0">
                  <c:v>300</c:v>
                </c:pt>
                <c:pt idx="1">
                  <c:v>310</c:v>
                </c:pt>
                <c:pt idx="2">
                  <c:v>320</c:v>
                </c:pt>
                <c:pt idx="3">
                  <c:v>330</c:v>
                </c:pt>
                <c:pt idx="4">
                  <c:v>340</c:v>
                </c:pt>
                <c:pt idx="5">
                  <c:v>350</c:v>
                </c:pt>
                <c:pt idx="6">
                  <c:v>360</c:v>
                </c:pt>
                <c:pt idx="7">
                  <c:v>370</c:v>
                </c:pt>
                <c:pt idx="8">
                  <c:v>380</c:v>
                </c:pt>
                <c:pt idx="9">
                  <c:v>390</c:v>
                </c:pt>
                <c:pt idx="10">
                  <c:v>400</c:v>
                </c:pt>
                <c:pt idx="11">
                  <c:v>410</c:v>
                </c:pt>
                <c:pt idx="12">
                  <c:v>420</c:v>
                </c:pt>
                <c:pt idx="13">
                  <c:v>430</c:v>
                </c:pt>
                <c:pt idx="14">
                  <c:v>440</c:v>
                </c:pt>
                <c:pt idx="15">
                  <c:v>450</c:v>
                </c:pt>
                <c:pt idx="16">
                  <c:v>460</c:v>
                </c:pt>
                <c:pt idx="17">
                  <c:v>470</c:v>
                </c:pt>
                <c:pt idx="18">
                  <c:v>480</c:v>
                </c:pt>
                <c:pt idx="19">
                  <c:v>490</c:v>
                </c:pt>
                <c:pt idx="20">
                  <c:v>500</c:v>
                </c:pt>
                <c:pt idx="21">
                  <c:v>510</c:v>
                </c:pt>
                <c:pt idx="22">
                  <c:v>520</c:v>
                </c:pt>
                <c:pt idx="23">
                  <c:v>530</c:v>
                </c:pt>
                <c:pt idx="24">
                  <c:v>540</c:v>
                </c:pt>
                <c:pt idx="25">
                  <c:v>550</c:v>
                </c:pt>
                <c:pt idx="26">
                  <c:v>560</c:v>
                </c:pt>
                <c:pt idx="27">
                  <c:v>570</c:v>
                </c:pt>
                <c:pt idx="28">
                  <c:v>580</c:v>
                </c:pt>
                <c:pt idx="29">
                  <c:v>590</c:v>
                </c:pt>
                <c:pt idx="30">
                  <c:v>600</c:v>
                </c:pt>
                <c:pt idx="31">
                  <c:v>610</c:v>
                </c:pt>
                <c:pt idx="32">
                  <c:v>620</c:v>
                </c:pt>
                <c:pt idx="33">
                  <c:v>630</c:v>
                </c:pt>
                <c:pt idx="34">
                  <c:v>640</c:v>
                </c:pt>
                <c:pt idx="35">
                  <c:v>650</c:v>
                </c:pt>
                <c:pt idx="36">
                  <c:v>660</c:v>
                </c:pt>
                <c:pt idx="37">
                  <c:v>670</c:v>
                </c:pt>
                <c:pt idx="38">
                  <c:v>680</c:v>
                </c:pt>
                <c:pt idx="39">
                  <c:v>690</c:v>
                </c:pt>
                <c:pt idx="40">
                  <c:v>700</c:v>
                </c:pt>
                <c:pt idx="41">
                  <c:v>710</c:v>
                </c:pt>
                <c:pt idx="42">
                  <c:v>720</c:v>
                </c:pt>
                <c:pt idx="43">
                  <c:v>730</c:v>
                </c:pt>
                <c:pt idx="44">
                  <c:v>740</c:v>
                </c:pt>
                <c:pt idx="45">
                  <c:v>750</c:v>
                </c:pt>
                <c:pt idx="46">
                  <c:v>760</c:v>
                </c:pt>
                <c:pt idx="47">
                  <c:v>770</c:v>
                </c:pt>
                <c:pt idx="48">
                  <c:v>780</c:v>
                </c:pt>
                <c:pt idx="49">
                  <c:v>790</c:v>
                </c:pt>
                <c:pt idx="50">
                  <c:v>800</c:v>
                </c:pt>
              </c:numCache>
            </c:numRef>
          </c:cat>
          <c:val>
            <c:numRef>
              <c:f>スキル計算!$H$2:$H$52</c:f>
              <c:numCache>
                <c:formatCode>General</c:formatCode>
                <c:ptCount val="51"/>
                <c:pt idx="0">
                  <c:v>1.3732032133946277</c:v>
                </c:pt>
                <c:pt idx="1">
                  <c:v>1.3633311306791052</c:v>
                </c:pt>
                <c:pt idx="2">
                  <c:v>1.354048991503052</c:v>
                </c:pt>
                <c:pt idx="3">
                  <c:v>1.3453054486379861</c:v>
                </c:pt>
                <c:pt idx="4">
                  <c:v>1.3370549456965066</c:v>
                </c:pt>
                <c:pt idx="5">
                  <c:v>1.3336160875075032</c:v>
                </c:pt>
                <c:pt idx="6">
                  <c:v>1.3261545124566902</c:v>
                </c:pt>
                <c:pt idx="7">
                  <c:v>1.3190790336226055</c:v>
                </c:pt>
                <c:pt idx="8">
                  <c:v>1.3123604391906105</c:v>
                </c:pt>
                <c:pt idx="9">
                  <c:v>1.3059723917200627</c:v>
                </c:pt>
                <c:pt idx="10">
                  <c:v>1.3038389292196004</c:v>
                </c:pt>
                <c:pt idx="11">
                  <c:v>1.2979754480126706</c:v>
                </c:pt>
                <c:pt idx="12">
                  <c:v>1.2923794927377437</c:v>
                </c:pt>
                <c:pt idx="13">
                  <c:v>1.2870331626418499</c:v>
                </c:pt>
                <c:pt idx="14">
                  <c:v>1.2819201191674341</c:v>
                </c:pt>
                <c:pt idx="15">
                  <c:v>1.2806272711981037</c:v>
                </c:pt>
                <c:pt idx="16">
                  <c:v>1.2758801326748304</c:v>
                </c:pt>
                <c:pt idx="17">
                  <c:v>1.2713266823787839</c:v>
                </c:pt>
                <c:pt idx="18">
                  <c:v>1.2669553032794614</c:v>
                </c:pt>
                <c:pt idx="19">
                  <c:v>1.2627552891583174</c:v>
                </c:pt>
                <c:pt idx="20">
                  <c:v>1.2620253097608409</c:v>
                </c:pt>
                <c:pt idx="21">
                  <c:v>1.2580903366216531</c:v>
                </c:pt>
                <c:pt idx="22">
                  <c:v>1.2543005605278852</c:v>
                </c:pt>
                <c:pt idx="23">
                  <c:v>1.2506480905980599</c:v>
                </c:pt>
                <c:pt idx="24">
                  <c:v>1.2471255975609381</c:v>
                </c:pt>
                <c:pt idx="25">
                  <c:v>1.2467838945144825</c:v>
                </c:pt>
                <c:pt idx="26">
                  <c:v>1.2434593195659756</c:v>
                </c:pt>
                <c:pt idx="27">
                  <c:v>1.2402467108369613</c:v>
                </c:pt>
                <c:pt idx="28">
                  <c:v>1.2371405057395062</c:v>
                </c:pt>
                <c:pt idx="29">
                  <c:v>1.2341355041559126</c:v>
                </c:pt>
                <c:pt idx="30">
                  <c:v>1.2340678163983858</c:v>
                </c:pt>
                <c:pt idx="31">
                  <c:v>1.2312143682157266</c:v>
                </c:pt>
                <c:pt idx="32">
                  <c:v>1.228449304759385</c:v>
                </c:pt>
                <c:pt idx="33">
                  <c:v>1.2257685821220559</c:v>
                </c:pt>
                <c:pt idx="34">
                  <c:v>1.2231683993875571</c:v>
                </c:pt>
                <c:pt idx="35">
                  <c:v>1.2232974618125785</c:v>
                </c:pt>
                <c:pt idx="36">
                  <c:v>1.2208157999754032</c:v>
                </c:pt>
                <c:pt idx="37">
                  <c:v>1.2184052945607593</c:v>
                </c:pt>
                <c:pt idx="38">
                  <c:v>1.216062928432992</c:v>
                </c:pt>
                <c:pt idx="39">
                  <c:v>1.2137858526537546</c:v>
                </c:pt>
                <c:pt idx="40">
                  <c:v>1.2140579878156974</c:v>
                </c:pt>
                <c:pt idx="41">
                  <c:v>1.2118752764194782</c:v>
                </c:pt>
                <c:pt idx="42">
                  <c:v>1.2097508205428937</c:v>
                </c:pt>
                <c:pt idx="43">
                  <c:v>1.2076823186811811</c:v>
                </c:pt>
                <c:pt idx="44">
                  <c:v>1.2056675889880655</c:v>
                </c:pt>
                <c:pt idx="45">
                  <c:v>1.2060446565805867</c:v>
                </c:pt>
                <c:pt idx="46">
                  <c:v>1.2041062268452549</c:v>
                </c:pt>
                <c:pt idx="47">
                  <c:v>1.2022161857143316</c:v>
                </c:pt>
                <c:pt idx="48">
                  <c:v>1.2003727436522325</c:v>
                </c:pt>
                <c:pt idx="49">
                  <c:v>1.1985741982910085</c:v>
                </c:pt>
                <c:pt idx="50">
                  <c:v>1.1990285791225332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F2-4208-AC9F-D3EDB13820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5446448"/>
        <c:axId val="645442184"/>
      </c:lineChart>
      <c:catAx>
        <c:axId val="645446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45442184"/>
        <c:crosses val="autoZero"/>
        <c:auto val="1"/>
        <c:lblAlgn val="ctr"/>
        <c:lblOffset val="100"/>
        <c:noMultiLvlLbl val="0"/>
      </c:catAx>
      <c:valAx>
        <c:axId val="645442184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45446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508000</xdr:colOff>
      <xdr:row>8</xdr:row>
      <xdr:rowOff>15874</xdr:rowOff>
    </xdr:from>
    <xdr:to>
      <xdr:col>17</xdr:col>
      <xdr:colOff>107950</xdr:colOff>
      <xdr:row>29</xdr:row>
      <xdr:rowOff>44449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B5052DFB-0F47-41D8-8930-F048C878D8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266700</xdr:colOff>
      <xdr:row>35</xdr:row>
      <xdr:rowOff>107950</xdr:rowOff>
    </xdr:from>
    <xdr:to>
      <xdr:col>18</xdr:col>
      <xdr:colOff>584200</xdr:colOff>
      <xdr:row>59</xdr:row>
      <xdr:rowOff>177800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E7622CAA-6A70-4147-8EB6-D654E9CB36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273050</xdr:colOff>
      <xdr:row>8</xdr:row>
      <xdr:rowOff>215900</xdr:rowOff>
    </xdr:from>
    <xdr:to>
      <xdr:col>19</xdr:col>
      <xdr:colOff>63500</xdr:colOff>
      <xdr:row>34</xdr:row>
      <xdr:rowOff>95250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827D8F86-5B9A-4F05-AF36-7B42251FB3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C97385-E438-4619-AF82-128506D83AC7}">
  <sheetPr codeName="Sheet1"/>
  <dimension ref="A1:M24"/>
  <sheetViews>
    <sheetView workbookViewId="0">
      <selection activeCell="C31" sqref="C31"/>
    </sheetView>
  </sheetViews>
  <sheetFormatPr defaultRowHeight="18" x14ac:dyDescent="0.55000000000000004"/>
  <cols>
    <col min="8" max="8" width="12.6640625" customWidth="1"/>
  </cols>
  <sheetData>
    <row r="1" spans="1:10" x14ac:dyDescent="0.55000000000000004">
      <c r="A1" t="s">
        <v>142</v>
      </c>
      <c r="B1" t="s">
        <v>138</v>
      </c>
      <c r="C1" t="s">
        <v>139</v>
      </c>
      <c r="D1" t="s">
        <v>140</v>
      </c>
      <c r="E1" t="s">
        <v>141</v>
      </c>
      <c r="F1" t="s">
        <v>171</v>
      </c>
      <c r="G1" t="s">
        <v>157</v>
      </c>
      <c r="H1" t="s">
        <v>13</v>
      </c>
    </row>
    <row r="2" spans="1:10" x14ac:dyDescent="0.55000000000000004">
      <c r="A2" t="s">
        <v>143</v>
      </c>
      <c r="B2" t="s">
        <v>144</v>
      </c>
      <c r="C2" t="s">
        <v>145</v>
      </c>
      <c r="D2">
        <v>898</v>
      </c>
      <c r="E2">
        <v>674</v>
      </c>
      <c r="F2">
        <v>584</v>
      </c>
      <c r="G2">
        <v>6718201</v>
      </c>
      <c r="H2">
        <v>2495000</v>
      </c>
      <c r="I2">
        <f>ROUNDUP((G2/H2)*300+90,0)</f>
        <v>898</v>
      </c>
      <c r="J2">
        <f>ROUNDUP(G2/H2*250,0)</f>
        <v>674</v>
      </c>
    </row>
    <row r="3" spans="1:10" x14ac:dyDescent="0.55000000000000004">
      <c r="A3" t="s">
        <v>143</v>
      </c>
      <c r="B3" t="s">
        <v>144</v>
      </c>
      <c r="C3" t="s">
        <v>145</v>
      </c>
      <c r="D3">
        <f>2694/3</f>
        <v>898</v>
      </c>
      <c r="E3">
        <f>2019/3</f>
        <v>673</v>
      </c>
      <c r="F3">
        <v>584</v>
      </c>
      <c r="G3">
        <v>6714129</v>
      </c>
      <c r="H3">
        <v>2495000</v>
      </c>
      <c r="I3">
        <f>ROUNDUP((G3/H3)*300+90,0)</f>
        <v>898</v>
      </c>
      <c r="J3">
        <f>ROUNDUP(G3/H3*250,0)</f>
        <v>673</v>
      </c>
    </row>
    <row r="4" spans="1:10" x14ac:dyDescent="0.55000000000000004">
      <c r="A4" t="s">
        <v>143</v>
      </c>
      <c r="B4" t="s">
        <v>144</v>
      </c>
      <c r="C4" t="s">
        <v>145</v>
      </c>
      <c r="D4">
        <f>2709/3</f>
        <v>903</v>
      </c>
      <c r="E4">
        <f>2031/3</f>
        <v>677</v>
      </c>
      <c r="F4">
        <v>584</v>
      </c>
      <c r="G4">
        <v>6755848</v>
      </c>
      <c r="H4">
        <v>2495000</v>
      </c>
      <c r="I4">
        <f>ROUNDUP((G4/H4)*300+90,0)</f>
        <v>903</v>
      </c>
      <c r="J4">
        <f>ROUNDUP(G4/H4*250,0)</f>
        <v>677</v>
      </c>
    </row>
    <row r="5" spans="1:10" x14ac:dyDescent="0.55000000000000004">
      <c r="A5" t="s">
        <v>143</v>
      </c>
      <c r="B5" t="s">
        <v>144</v>
      </c>
      <c r="C5" t="s">
        <v>148</v>
      </c>
      <c r="D5">
        <f>2661/3</f>
        <v>887</v>
      </c>
      <c r="E5">
        <f>1992/3</f>
        <v>664</v>
      </c>
      <c r="F5">
        <v>584</v>
      </c>
      <c r="G5">
        <v>6622832</v>
      </c>
      <c r="H5">
        <v>2495000</v>
      </c>
      <c r="I5">
        <f>ROUNDUP((G5/H5)*300+90,0)</f>
        <v>887</v>
      </c>
      <c r="J5">
        <f>ROUNDUP(G5/H5*250,0)</f>
        <v>664</v>
      </c>
    </row>
    <row r="6" spans="1:10" x14ac:dyDescent="0.55000000000000004">
      <c r="A6" t="s">
        <v>143</v>
      </c>
      <c r="B6" t="s">
        <v>144</v>
      </c>
      <c r="C6" t="s">
        <v>148</v>
      </c>
      <c r="D6">
        <f>2685/3</f>
        <v>895</v>
      </c>
      <c r="E6">
        <f>2013/3</f>
        <v>671</v>
      </c>
      <c r="F6">
        <v>584</v>
      </c>
      <c r="G6">
        <v>6690663</v>
      </c>
      <c r="H6">
        <v>2495000</v>
      </c>
      <c r="I6">
        <f>ROUNDUP((G6/H6)*300+90,0)</f>
        <v>895</v>
      </c>
      <c r="J6">
        <f>ROUNDUP(G6/H6*250,0)</f>
        <v>671</v>
      </c>
    </row>
    <row r="7" spans="1:10" x14ac:dyDescent="0.55000000000000004">
      <c r="A7" t="s">
        <v>161</v>
      </c>
      <c r="B7" t="s">
        <v>144</v>
      </c>
      <c r="C7" t="s">
        <v>151</v>
      </c>
      <c r="D7">
        <f>2661/3</f>
        <v>887</v>
      </c>
      <c r="E7">
        <f>1995/3</f>
        <v>665</v>
      </c>
      <c r="F7">
        <v>528</v>
      </c>
      <c r="G7">
        <v>5811728</v>
      </c>
    </row>
    <row r="8" spans="1:10" x14ac:dyDescent="0.55000000000000004">
      <c r="A8" t="s">
        <v>150</v>
      </c>
      <c r="B8" t="s">
        <v>144</v>
      </c>
      <c r="C8" t="s">
        <v>151</v>
      </c>
      <c r="D8">
        <v>882</v>
      </c>
      <c r="E8">
        <v>660</v>
      </c>
      <c r="F8">
        <v>541</v>
      </c>
      <c r="G8">
        <v>5775274</v>
      </c>
      <c r="H8">
        <v>2189000</v>
      </c>
      <c r="I8">
        <f>ROUNDUP((G8/H8)*300+90,0)</f>
        <v>882</v>
      </c>
      <c r="J8">
        <f>ROUNDUP(G8/H8*250,0)</f>
        <v>660</v>
      </c>
    </row>
    <row r="9" spans="1:10" x14ac:dyDescent="0.55000000000000004">
      <c r="A9" t="s">
        <v>167</v>
      </c>
      <c r="B9" t="s">
        <v>144</v>
      </c>
      <c r="C9" t="s">
        <v>145</v>
      </c>
      <c r="D9">
        <f>2598/3</f>
        <v>866</v>
      </c>
      <c r="E9">
        <f>1938/3</f>
        <v>646</v>
      </c>
      <c r="F9">
        <v>541</v>
      </c>
      <c r="G9">
        <v>5906824</v>
      </c>
      <c r="H9">
        <v>2286000</v>
      </c>
      <c r="I9">
        <f>ROUNDUP((G9/H9)*300+90,0)</f>
        <v>866</v>
      </c>
      <c r="J9">
        <f>ROUNDUP(G9/H9*250,0)</f>
        <v>646</v>
      </c>
    </row>
    <row r="10" spans="1:10" x14ac:dyDescent="0.55000000000000004">
      <c r="A10" t="s">
        <v>168</v>
      </c>
      <c r="B10" t="s">
        <v>144</v>
      </c>
      <c r="C10" t="s">
        <v>148</v>
      </c>
      <c r="D10">
        <f>2580/3</f>
        <v>860</v>
      </c>
      <c r="E10">
        <f>1926/3</f>
        <v>642</v>
      </c>
      <c r="F10">
        <v>497</v>
      </c>
    </row>
    <row r="11" spans="1:10" x14ac:dyDescent="0.55000000000000004">
      <c r="A11" t="s">
        <v>160</v>
      </c>
      <c r="B11" t="s">
        <v>144</v>
      </c>
      <c r="C11" t="s">
        <v>148</v>
      </c>
      <c r="D11">
        <f>2559/3</f>
        <v>853</v>
      </c>
      <c r="E11">
        <f>1908/3</f>
        <v>636</v>
      </c>
      <c r="F11">
        <v>643</v>
      </c>
      <c r="G11">
        <v>6572076</v>
      </c>
    </row>
    <row r="12" spans="1:10" x14ac:dyDescent="0.55000000000000004">
      <c r="A12" t="s">
        <v>156</v>
      </c>
      <c r="B12" t="s">
        <v>153</v>
      </c>
      <c r="C12" t="s">
        <v>145</v>
      </c>
      <c r="D12">
        <f>2664/3</f>
        <v>888</v>
      </c>
      <c r="E12">
        <f>1995/3</f>
        <v>665</v>
      </c>
      <c r="F12">
        <v>396</v>
      </c>
      <c r="G12">
        <v>4302056</v>
      </c>
      <c r="H12">
        <v>1619000</v>
      </c>
      <c r="I12">
        <f>ROUNDUP((G12/H12)*300+90,0)</f>
        <v>888</v>
      </c>
      <c r="J12">
        <f>ROUNDUP(G12/H12*250,0)</f>
        <v>665</v>
      </c>
    </row>
    <row r="13" spans="1:10" x14ac:dyDescent="0.55000000000000004">
      <c r="A13" t="s">
        <v>152</v>
      </c>
      <c r="B13" t="s">
        <v>153</v>
      </c>
      <c r="C13" t="s">
        <v>148</v>
      </c>
      <c r="D13">
        <v>861</v>
      </c>
      <c r="E13">
        <v>643</v>
      </c>
      <c r="F13">
        <v>444</v>
      </c>
      <c r="G13">
        <v>4854378</v>
      </c>
      <c r="H13">
        <v>1889000</v>
      </c>
      <c r="I13">
        <f>ROUNDUP((G13/H13)*300+90,0)</f>
        <v>861</v>
      </c>
      <c r="J13">
        <f>ROUNDUP(G13/H13*250,0)</f>
        <v>643</v>
      </c>
    </row>
    <row r="14" spans="1:10" x14ac:dyDescent="0.55000000000000004">
      <c r="A14" t="s">
        <v>154</v>
      </c>
      <c r="B14" t="s">
        <v>153</v>
      </c>
      <c r="C14" t="s">
        <v>145</v>
      </c>
      <c r="D14">
        <v>886</v>
      </c>
      <c r="E14">
        <v>663</v>
      </c>
      <c r="F14">
        <v>324</v>
      </c>
      <c r="G14">
        <v>4208677</v>
      </c>
      <c r="H14">
        <v>1588000</v>
      </c>
      <c r="I14">
        <f>ROUNDUP((G14/H14)*300+90,0)</f>
        <v>886</v>
      </c>
      <c r="J14">
        <f>ROUNDUP(G14/H14*250,0)</f>
        <v>663</v>
      </c>
    </row>
    <row r="15" spans="1:10" x14ac:dyDescent="0.55000000000000004">
      <c r="A15" t="s">
        <v>155</v>
      </c>
      <c r="B15" t="s">
        <v>153</v>
      </c>
      <c r="C15" t="s">
        <v>151</v>
      </c>
      <c r="D15">
        <f>2649/3</f>
        <v>883</v>
      </c>
      <c r="E15">
        <f>1983/3</f>
        <v>661</v>
      </c>
      <c r="F15">
        <v>434</v>
      </c>
      <c r="G15">
        <v>4763304</v>
      </c>
      <c r="H15">
        <v>1804000</v>
      </c>
      <c r="I15">
        <f>ROUNDUP((G15/H15)*300+90,0)</f>
        <v>883</v>
      </c>
      <c r="J15">
        <f>ROUNDUP(G15/H15*250,0)</f>
        <v>661</v>
      </c>
    </row>
    <row r="16" spans="1:10" x14ac:dyDescent="0.55000000000000004">
      <c r="A16" t="s">
        <v>164</v>
      </c>
      <c r="B16" t="s">
        <v>153</v>
      </c>
      <c r="C16" t="s">
        <v>151</v>
      </c>
      <c r="D16">
        <f>2559/3</f>
        <v>853</v>
      </c>
      <c r="E16">
        <f>1908/3</f>
        <v>636</v>
      </c>
      <c r="F16">
        <v>469</v>
      </c>
      <c r="G16">
        <v>5006208</v>
      </c>
      <c r="H16">
        <v>1969000</v>
      </c>
      <c r="I16">
        <f>ROUNDUP((G16/H16)*300+90,0)</f>
        <v>853</v>
      </c>
      <c r="J16">
        <f>ROUNDUP(G16/H16*250,0)</f>
        <v>636</v>
      </c>
    </row>
    <row r="17" spans="1:13" x14ac:dyDescent="0.55000000000000004">
      <c r="A17" t="s">
        <v>162</v>
      </c>
      <c r="B17" t="s">
        <v>147</v>
      </c>
      <c r="C17" t="s">
        <v>151</v>
      </c>
      <c r="D17">
        <f>2622/3</f>
        <v>874</v>
      </c>
      <c r="E17">
        <f>1959/3</f>
        <v>653</v>
      </c>
      <c r="F17">
        <v>522</v>
      </c>
      <c r="G17">
        <v>5641672</v>
      </c>
    </row>
    <row r="18" spans="1:13" x14ac:dyDescent="0.55000000000000004">
      <c r="A18" t="s">
        <v>146</v>
      </c>
      <c r="B18" t="s">
        <v>147</v>
      </c>
      <c r="C18" t="s">
        <v>148</v>
      </c>
      <c r="D18">
        <v>822</v>
      </c>
      <c r="E18">
        <v>610</v>
      </c>
      <c r="G18">
        <v>5134248</v>
      </c>
      <c r="H18">
        <v>2105000</v>
      </c>
      <c r="I18">
        <f>ROUNDUP((G18/H18)*300+90,0)</f>
        <v>822</v>
      </c>
      <c r="J18">
        <f>ROUNDUP(G18/H18*250,0)</f>
        <v>610</v>
      </c>
    </row>
    <row r="19" spans="1:13" x14ac:dyDescent="0.55000000000000004">
      <c r="A19" t="s">
        <v>149</v>
      </c>
      <c r="B19" t="s">
        <v>147</v>
      </c>
      <c r="C19" t="s">
        <v>148</v>
      </c>
      <c r="D19">
        <v>812</v>
      </c>
      <c r="E19">
        <v>602</v>
      </c>
      <c r="G19">
        <v>7153606</v>
      </c>
      <c r="H19">
        <v>2974000</v>
      </c>
      <c r="I19">
        <f>ROUNDUP((G19/H19)*300+90,0)</f>
        <v>812</v>
      </c>
      <c r="J19">
        <f>ROUNDUP(G19/H19*250,0)</f>
        <v>602</v>
      </c>
    </row>
    <row r="20" spans="1:13" x14ac:dyDescent="0.55000000000000004">
      <c r="A20" t="s">
        <v>169</v>
      </c>
      <c r="B20" t="s">
        <v>147</v>
      </c>
      <c r="C20" t="s">
        <v>148</v>
      </c>
      <c r="D20">
        <v>891</v>
      </c>
      <c r="E20">
        <v>668</v>
      </c>
    </row>
    <row r="21" spans="1:13" x14ac:dyDescent="0.55000000000000004">
      <c r="A21" t="s">
        <v>170</v>
      </c>
      <c r="C21" t="s">
        <v>145</v>
      </c>
      <c r="D21">
        <f>2646/3</f>
        <v>882</v>
      </c>
      <c r="E21">
        <f>1980/3</f>
        <v>660</v>
      </c>
    </row>
    <row r="22" spans="1:13" x14ac:dyDescent="0.55000000000000004">
      <c r="A22" t="s">
        <v>163</v>
      </c>
      <c r="B22" t="s">
        <v>147</v>
      </c>
      <c r="C22" t="s">
        <v>148</v>
      </c>
      <c r="D22">
        <f>5328/3</f>
        <v>1776</v>
      </c>
      <c r="E22">
        <f>1896/3</f>
        <v>632</v>
      </c>
      <c r="G22">
        <v>6260760</v>
      </c>
      <c r="H22">
        <v>2974000</v>
      </c>
      <c r="I22">
        <f>ROUNDUP((G22/H22)*300+90,0)</f>
        <v>722</v>
      </c>
      <c r="J22">
        <f>ROUNDUP(G22/H22*250,0)</f>
        <v>527</v>
      </c>
      <c r="K22">
        <f>ROUNDUP((G22/H22)*800+90,0)</f>
        <v>1775</v>
      </c>
      <c r="L22">
        <f>J22*1.2</f>
        <v>632.4</v>
      </c>
      <c r="M22">
        <f>I22*2.46</f>
        <v>1776.12</v>
      </c>
    </row>
    <row r="23" spans="1:13" x14ac:dyDescent="0.55000000000000004">
      <c r="A23" t="s">
        <v>163</v>
      </c>
      <c r="B23" t="s">
        <v>147</v>
      </c>
      <c r="C23" t="s">
        <v>148</v>
      </c>
      <c r="D23">
        <v>1743</v>
      </c>
      <c r="E23">
        <f>1857/3</f>
        <v>619</v>
      </c>
      <c r="G23">
        <v>6133082</v>
      </c>
      <c r="H23">
        <v>2974000</v>
      </c>
      <c r="I23">
        <f>ROUNDUP((G23/H23)*300+90,0)</f>
        <v>709</v>
      </c>
      <c r="J23">
        <f>ROUNDUP(G23/H23*250,0)</f>
        <v>516</v>
      </c>
      <c r="K23">
        <f>ROUNDUP((G23/H23)*800+90,0)</f>
        <v>1740</v>
      </c>
      <c r="L23">
        <f>J23*1.2</f>
        <v>619.19999999999993</v>
      </c>
      <c r="M23">
        <f>I23*2.46</f>
        <v>1744.1399999999999</v>
      </c>
    </row>
    <row r="24" spans="1:13" x14ac:dyDescent="0.55000000000000004">
      <c r="A24" t="s">
        <v>163</v>
      </c>
      <c r="B24" t="s">
        <v>147</v>
      </c>
      <c r="C24" t="s">
        <v>148</v>
      </c>
      <c r="D24">
        <v>1722</v>
      </c>
      <c r="E24">
        <f>1833/3</f>
        <v>611</v>
      </c>
      <c r="G24">
        <v>6052739</v>
      </c>
      <c r="H24">
        <v>2974000</v>
      </c>
      <c r="I24">
        <f>ROUNDUP((G24/H24)*300+90,0)</f>
        <v>701</v>
      </c>
      <c r="J24">
        <f>ROUNDUP(G24/H24*250,0)</f>
        <v>509</v>
      </c>
      <c r="K24">
        <f>ROUNDUP((G24/H24)*800+90,0)</f>
        <v>1719</v>
      </c>
      <c r="L24">
        <f>J24*1.2</f>
        <v>610.79999999999995</v>
      </c>
      <c r="M24">
        <f>I24*2.46</f>
        <v>1724.46</v>
      </c>
    </row>
  </sheetData>
  <autoFilter ref="A1:M1" xr:uid="{DC56ED4D-D86A-4E54-BF81-353FF7C235D0}"/>
  <phoneticPr fontId="1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28464-D19F-43E7-90A7-80ADEDC45884}">
  <dimension ref="A1:F12"/>
  <sheetViews>
    <sheetView workbookViewId="0">
      <selection activeCell="B5" sqref="B5"/>
    </sheetView>
  </sheetViews>
  <sheetFormatPr defaultRowHeight="18" x14ac:dyDescent="0.55000000000000004"/>
  <sheetData>
    <row r="1" spans="1:6" x14ac:dyDescent="0.55000000000000004">
      <c r="A1" t="s">
        <v>201</v>
      </c>
      <c r="B1" t="s">
        <v>274</v>
      </c>
      <c r="C1" t="s">
        <v>270</v>
      </c>
      <c r="D1" t="s">
        <v>10</v>
      </c>
      <c r="E1" t="s">
        <v>249</v>
      </c>
      <c r="F1" t="s">
        <v>250</v>
      </c>
    </row>
    <row r="2" spans="1:6" x14ac:dyDescent="0.55000000000000004">
      <c r="A2" t="s">
        <v>27</v>
      </c>
      <c r="B2" t="s">
        <v>275</v>
      </c>
      <c r="C2" t="s">
        <v>14</v>
      </c>
      <c r="D2" t="s">
        <v>147</v>
      </c>
      <c r="E2" t="s">
        <v>2</v>
      </c>
      <c r="F2" t="s">
        <v>272</v>
      </c>
    </row>
    <row r="3" spans="1:6" x14ac:dyDescent="0.55000000000000004">
      <c r="B3" t="s">
        <v>276</v>
      </c>
      <c r="C3" t="s">
        <v>15</v>
      </c>
      <c r="D3" t="s">
        <v>153</v>
      </c>
      <c r="E3" t="s">
        <v>3</v>
      </c>
      <c r="F3" s="11">
        <v>0.8</v>
      </c>
    </row>
    <row r="4" spans="1:6" x14ac:dyDescent="0.55000000000000004">
      <c r="C4" t="s">
        <v>16</v>
      </c>
      <c r="D4" t="s">
        <v>144</v>
      </c>
      <c r="E4" t="s">
        <v>1</v>
      </c>
      <c r="F4" s="11">
        <v>0.6</v>
      </c>
    </row>
    <row r="5" spans="1:6" x14ac:dyDescent="0.55000000000000004">
      <c r="C5" t="s">
        <v>17</v>
      </c>
      <c r="E5" t="s">
        <v>4</v>
      </c>
    </row>
    <row r="6" spans="1:6" x14ac:dyDescent="0.55000000000000004">
      <c r="C6" t="s">
        <v>18</v>
      </c>
      <c r="E6" t="s">
        <v>199</v>
      </c>
    </row>
    <row r="7" spans="1:6" x14ac:dyDescent="0.55000000000000004">
      <c r="C7" t="s">
        <v>19</v>
      </c>
      <c r="E7" t="s">
        <v>200</v>
      </c>
    </row>
    <row r="8" spans="1:6" x14ac:dyDescent="0.55000000000000004">
      <c r="C8" t="s">
        <v>20</v>
      </c>
    </row>
    <row r="9" spans="1:6" x14ac:dyDescent="0.55000000000000004">
      <c r="C9" t="s">
        <v>21</v>
      </c>
    </row>
    <row r="10" spans="1:6" x14ac:dyDescent="0.55000000000000004">
      <c r="C10" t="s">
        <v>22</v>
      </c>
    </row>
    <row r="11" spans="1:6" x14ac:dyDescent="0.55000000000000004">
      <c r="C11" t="s">
        <v>23</v>
      </c>
    </row>
    <row r="12" spans="1:6" x14ac:dyDescent="0.55000000000000004">
      <c r="C12" t="s">
        <v>24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3DE7F-6C83-4E29-8C45-23A5F342CF4F}">
  <sheetPr codeName="Sheet2"/>
  <dimension ref="A1:S105"/>
  <sheetViews>
    <sheetView workbookViewId="0">
      <selection activeCell="J89" sqref="J89"/>
    </sheetView>
  </sheetViews>
  <sheetFormatPr defaultRowHeight="18" x14ac:dyDescent="0.55000000000000004"/>
  <cols>
    <col min="2" max="2" width="36" bestFit="1" customWidth="1"/>
    <col min="6" max="6" width="9.1640625" customWidth="1"/>
    <col min="7" max="7" width="11.6640625" bestFit="1" customWidth="1"/>
    <col min="8" max="8" width="11.6640625" style="5" customWidth="1"/>
    <col min="9" max="9" width="9.1640625" bestFit="1" customWidth="1"/>
  </cols>
  <sheetData>
    <row r="1" spans="1:19" x14ac:dyDescent="0.55000000000000004">
      <c r="B1" t="s">
        <v>9</v>
      </c>
      <c r="C1" t="s">
        <v>10</v>
      </c>
      <c r="D1" t="s">
        <v>11</v>
      </c>
      <c r="E1" t="s">
        <v>0</v>
      </c>
      <c r="F1" t="s">
        <v>12</v>
      </c>
      <c r="G1" t="s">
        <v>13</v>
      </c>
      <c r="H1" s="4"/>
      <c r="I1" t="s">
        <v>14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  <c r="R1" t="s">
        <v>23</v>
      </c>
      <c r="S1" t="s">
        <v>24</v>
      </c>
    </row>
    <row r="2" spans="1:19" x14ac:dyDescent="0.55000000000000004">
      <c r="A2" s="1">
        <v>1</v>
      </c>
      <c r="B2" t="s">
        <v>25</v>
      </c>
      <c r="C2" t="s">
        <v>26</v>
      </c>
      <c r="D2">
        <v>9</v>
      </c>
      <c r="E2">
        <v>444</v>
      </c>
      <c r="F2">
        <v>1889000</v>
      </c>
      <c r="G2">
        <v>43324</v>
      </c>
      <c r="H2" s="5">
        <f>F2/(G2*E2*0.09)</f>
        <v>1.0911336042902842</v>
      </c>
      <c r="I2" t="s">
        <v>27</v>
      </c>
      <c r="J2" t="s">
        <v>27</v>
      </c>
      <c r="K2" t="s">
        <v>27</v>
      </c>
      <c r="L2" t="s">
        <v>27</v>
      </c>
      <c r="M2" t="s">
        <v>27</v>
      </c>
      <c r="N2" t="s">
        <v>27</v>
      </c>
    </row>
    <row r="3" spans="1:19" x14ac:dyDescent="0.55000000000000004">
      <c r="A3">
        <v>2</v>
      </c>
      <c r="B3" t="s">
        <v>28</v>
      </c>
      <c r="C3" t="s">
        <v>29</v>
      </c>
      <c r="D3">
        <v>10</v>
      </c>
      <c r="E3">
        <v>528</v>
      </c>
      <c r="F3">
        <v>2188000</v>
      </c>
      <c r="G3">
        <v>43649</v>
      </c>
      <c r="H3" s="5">
        <f t="shared" ref="H3:H50" si="0">F3/(G3*E3*0.09)</f>
        <v>1.0548642819714322</v>
      </c>
      <c r="I3" t="s">
        <v>27</v>
      </c>
      <c r="J3" t="s">
        <v>27</v>
      </c>
      <c r="K3" t="s">
        <v>27</v>
      </c>
      <c r="L3" t="s">
        <v>27</v>
      </c>
      <c r="M3" t="s">
        <v>27</v>
      </c>
      <c r="N3" t="s">
        <v>27</v>
      </c>
      <c r="O3" t="s">
        <v>27</v>
      </c>
    </row>
    <row r="4" spans="1:19" x14ac:dyDescent="0.55000000000000004">
      <c r="A4">
        <v>3</v>
      </c>
      <c r="B4" t="s">
        <v>30</v>
      </c>
      <c r="C4" t="s">
        <v>31</v>
      </c>
      <c r="D4">
        <v>10</v>
      </c>
      <c r="E4">
        <v>522</v>
      </c>
      <c r="F4">
        <v>2161000</v>
      </c>
      <c r="G4">
        <v>43696</v>
      </c>
      <c r="H4" s="5">
        <f t="shared" si="0"/>
        <v>1.0526889680456435</v>
      </c>
      <c r="P4" t="s">
        <v>27</v>
      </c>
      <c r="Q4" t="s">
        <v>27</v>
      </c>
      <c r="R4" t="s">
        <v>27</v>
      </c>
      <c r="S4" t="s">
        <v>27</v>
      </c>
    </row>
    <row r="5" spans="1:19" x14ac:dyDescent="0.55000000000000004">
      <c r="A5">
        <v>4</v>
      </c>
      <c r="B5" t="s">
        <v>32</v>
      </c>
      <c r="C5" t="s">
        <v>31</v>
      </c>
      <c r="D5">
        <v>11</v>
      </c>
      <c r="E5">
        <v>575</v>
      </c>
      <c r="F5">
        <v>2374000</v>
      </c>
      <c r="G5">
        <v>43674</v>
      </c>
      <c r="H5" s="5">
        <f t="shared" si="0"/>
        <v>1.0503822900413449</v>
      </c>
      <c r="I5" t="s">
        <v>27</v>
      </c>
      <c r="L5" t="s">
        <v>27</v>
      </c>
      <c r="P5" t="s">
        <v>27</v>
      </c>
    </row>
    <row r="6" spans="1:19" x14ac:dyDescent="0.55000000000000004">
      <c r="A6">
        <v>5</v>
      </c>
      <c r="B6" t="s">
        <v>33</v>
      </c>
      <c r="C6" t="s">
        <v>29</v>
      </c>
      <c r="D6">
        <v>11</v>
      </c>
      <c r="E6">
        <v>541</v>
      </c>
      <c r="F6">
        <v>2189000</v>
      </c>
      <c r="G6">
        <v>43877</v>
      </c>
      <c r="H6" s="5">
        <f t="shared" si="0"/>
        <v>1.0246347038026113</v>
      </c>
      <c r="J6" t="s">
        <v>27</v>
      </c>
      <c r="M6" t="s">
        <v>27</v>
      </c>
      <c r="Q6" t="s">
        <v>27</v>
      </c>
    </row>
    <row r="7" spans="1:19" x14ac:dyDescent="0.55000000000000004">
      <c r="A7">
        <v>6</v>
      </c>
      <c r="B7" t="s">
        <v>34</v>
      </c>
      <c r="C7" t="s">
        <v>26</v>
      </c>
      <c r="D7">
        <v>10</v>
      </c>
      <c r="E7">
        <v>396</v>
      </c>
      <c r="F7">
        <v>1619000</v>
      </c>
      <c r="G7">
        <v>43804</v>
      </c>
      <c r="H7" s="5">
        <f t="shared" si="0"/>
        <v>1.0370397016974193</v>
      </c>
      <c r="K7" t="s">
        <v>27</v>
      </c>
      <c r="N7" t="s">
        <v>27</v>
      </c>
      <c r="R7" t="s">
        <v>27</v>
      </c>
    </row>
    <row r="8" spans="1:19" x14ac:dyDescent="0.55000000000000004">
      <c r="A8">
        <v>7</v>
      </c>
      <c r="B8" t="s">
        <v>35</v>
      </c>
      <c r="C8" t="s">
        <v>26</v>
      </c>
      <c r="D8">
        <v>10</v>
      </c>
      <c r="E8">
        <v>409</v>
      </c>
      <c r="F8">
        <v>1717000</v>
      </c>
      <c r="G8">
        <v>43694</v>
      </c>
      <c r="H8" s="5">
        <f t="shared" si="0"/>
        <v>1.0675363537785385</v>
      </c>
      <c r="O8" t="s">
        <v>27</v>
      </c>
      <c r="S8" t="s">
        <v>27</v>
      </c>
    </row>
    <row r="9" spans="1:19" x14ac:dyDescent="0.55000000000000004">
      <c r="A9">
        <v>8</v>
      </c>
      <c r="B9" t="s">
        <v>36</v>
      </c>
      <c r="C9" t="s">
        <v>31</v>
      </c>
      <c r="D9">
        <v>10</v>
      </c>
      <c r="E9">
        <v>462</v>
      </c>
      <c r="F9">
        <v>1915000</v>
      </c>
      <c r="G9">
        <v>43752</v>
      </c>
      <c r="H9" s="5">
        <f t="shared" si="0"/>
        <v>1.0526557884392955</v>
      </c>
      <c r="I9" t="s">
        <v>27</v>
      </c>
      <c r="J9" t="s">
        <v>27</v>
      </c>
      <c r="K9" t="s">
        <v>27</v>
      </c>
    </row>
    <row r="10" spans="1:19" x14ac:dyDescent="0.55000000000000004">
      <c r="A10">
        <v>9</v>
      </c>
      <c r="B10" t="s">
        <v>37</v>
      </c>
      <c r="C10" t="s">
        <v>29</v>
      </c>
      <c r="D10">
        <v>12</v>
      </c>
      <c r="E10">
        <v>562</v>
      </c>
      <c r="F10">
        <v>2317000</v>
      </c>
      <c r="G10">
        <v>43753</v>
      </c>
      <c r="H10" s="5">
        <f t="shared" si="0"/>
        <v>1.0469823785319468</v>
      </c>
      <c r="L10" t="s">
        <v>27</v>
      </c>
      <c r="M10" t="s">
        <v>27</v>
      </c>
      <c r="N10" t="s">
        <v>27</v>
      </c>
    </row>
    <row r="11" spans="1:19" x14ac:dyDescent="0.55000000000000004">
      <c r="A11">
        <v>10</v>
      </c>
      <c r="B11" t="s">
        <v>38</v>
      </c>
      <c r="C11" t="s">
        <v>31</v>
      </c>
      <c r="D11">
        <v>11</v>
      </c>
      <c r="E11">
        <v>539</v>
      </c>
      <c r="F11">
        <v>2173000</v>
      </c>
      <c r="G11">
        <v>43938</v>
      </c>
      <c r="H11" s="5">
        <f t="shared" si="0"/>
        <v>1.019502199736686</v>
      </c>
      <c r="I11" t="s">
        <v>27</v>
      </c>
    </row>
    <row r="12" spans="1:19" x14ac:dyDescent="0.55000000000000004">
      <c r="A12">
        <v>11</v>
      </c>
      <c r="B12" t="s">
        <v>39</v>
      </c>
      <c r="C12" t="s">
        <v>31</v>
      </c>
      <c r="D12">
        <v>10</v>
      </c>
      <c r="E12">
        <v>524</v>
      </c>
      <c r="F12">
        <v>2170000</v>
      </c>
      <c r="G12">
        <v>43690</v>
      </c>
      <c r="H12" s="5">
        <f t="shared" si="0"/>
        <v>1.0531831270938687</v>
      </c>
      <c r="L12" t="s">
        <v>27</v>
      </c>
    </row>
    <row r="13" spans="1:19" x14ac:dyDescent="0.55000000000000004">
      <c r="A13">
        <v>12</v>
      </c>
      <c r="B13" t="s">
        <v>40</v>
      </c>
      <c r="C13" t="s">
        <v>26</v>
      </c>
      <c r="D13">
        <v>9</v>
      </c>
      <c r="E13">
        <v>565</v>
      </c>
      <c r="F13">
        <v>2416000</v>
      </c>
      <c r="G13">
        <v>43331</v>
      </c>
      <c r="H13" s="5">
        <f t="shared" si="0"/>
        <v>1.096496527938752</v>
      </c>
      <c r="J13" t="s">
        <v>27</v>
      </c>
    </row>
    <row r="14" spans="1:19" x14ac:dyDescent="0.55000000000000004">
      <c r="A14">
        <v>13</v>
      </c>
      <c r="B14" t="s">
        <v>41</v>
      </c>
      <c r="C14" t="s">
        <v>31</v>
      </c>
      <c r="D14">
        <v>11</v>
      </c>
      <c r="E14">
        <v>430</v>
      </c>
      <c r="F14">
        <v>1748000</v>
      </c>
      <c r="G14">
        <v>43931</v>
      </c>
      <c r="H14" s="5">
        <f t="shared" si="0"/>
        <v>1.0281568517978363</v>
      </c>
      <c r="M14" t="s">
        <v>27</v>
      </c>
    </row>
    <row r="15" spans="1:19" x14ac:dyDescent="0.55000000000000004">
      <c r="A15">
        <v>14</v>
      </c>
      <c r="B15" t="s">
        <v>42</v>
      </c>
      <c r="C15" t="s">
        <v>26</v>
      </c>
      <c r="D15">
        <v>10</v>
      </c>
      <c r="E15">
        <v>469</v>
      </c>
      <c r="F15">
        <v>1969000</v>
      </c>
      <c r="G15">
        <v>43570</v>
      </c>
      <c r="H15" s="5">
        <f t="shared" si="0"/>
        <v>1.0706383707113363</v>
      </c>
      <c r="K15" t="s">
        <v>27</v>
      </c>
    </row>
    <row r="16" spans="1:19" x14ac:dyDescent="0.55000000000000004">
      <c r="A16">
        <v>15</v>
      </c>
      <c r="B16" t="s">
        <v>43</v>
      </c>
      <c r="C16" t="s">
        <v>29</v>
      </c>
      <c r="D16">
        <v>11</v>
      </c>
      <c r="E16">
        <v>572</v>
      </c>
      <c r="F16">
        <v>2299000</v>
      </c>
      <c r="G16">
        <v>44000</v>
      </c>
      <c r="H16" s="5">
        <f t="shared" si="0"/>
        <v>1.0149572649572649</v>
      </c>
      <c r="N16" t="s">
        <v>27</v>
      </c>
    </row>
    <row r="17" spans="1:19" x14ac:dyDescent="0.55000000000000004">
      <c r="A17">
        <v>16</v>
      </c>
      <c r="B17" t="s">
        <v>44</v>
      </c>
      <c r="C17" t="s">
        <v>26</v>
      </c>
      <c r="D17">
        <v>11</v>
      </c>
      <c r="E17">
        <v>621</v>
      </c>
      <c r="F17">
        <v>2581000</v>
      </c>
      <c r="G17">
        <v>43605</v>
      </c>
      <c r="H17" s="5">
        <f t="shared" si="0"/>
        <v>1.0590527788451398</v>
      </c>
      <c r="O17" t="s">
        <v>27</v>
      </c>
    </row>
    <row r="18" spans="1:19" x14ac:dyDescent="0.55000000000000004">
      <c r="A18">
        <v>17</v>
      </c>
      <c r="B18" t="s">
        <v>45</v>
      </c>
      <c r="C18" t="s">
        <v>29</v>
      </c>
      <c r="D18">
        <v>12</v>
      </c>
      <c r="E18">
        <v>643</v>
      </c>
      <c r="F18">
        <v>2586000</v>
      </c>
      <c r="G18">
        <v>43910</v>
      </c>
      <c r="H18" s="5">
        <f t="shared" si="0"/>
        <v>1.0176808470221443</v>
      </c>
      <c r="P18" t="s">
        <v>27</v>
      </c>
    </row>
    <row r="19" spans="1:19" x14ac:dyDescent="0.55000000000000004">
      <c r="A19">
        <v>18</v>
      </c>
      <c r="B19" t="s">
        <v>46</v>
      </c>
      <c r="C19" t="s">
        <v>26</v>
      </c>
      <c r="D19">
        <v>11</v>
      </c>
      <c r="E19">
        <v>470</v>
      </c>
      <c r="F19">
        <v>1912000</v>
      </c>
      <c r="G19">
        <v>43943</v>
      </c>
      <c r="H19" s="5">
        <f t="shared" si="0"/>
        <v>1.0286267579927986</v>
      </c>
      <c r="Q19" t="s">
        <v>27</v>
      </c>
    </row>
    <row r="20" spans="1:19" x14ac:dyDescent="0.55000000000000004">
      <c r="A20">
        <v>19</v>
      </c>
      <c r="B20" t="s">
        <v>47</v>
      </c>
      <c r="C20" t="s">
        <v>29</v>
      </c>
      <c r="D20">
        <v>8</v>
      </c>
      <c r="E20">
        <v>507</v>
      </c>
      <c r="F20">
        <v>2087000</v>
      </c>
      <c r="G20">
        <v>43815</v>
      </c>
      <c r="H20" s="5">
        <f t="shared" si="0"/>
        <v>1.043876604582018</v>
      </c>
      <c r="R20" t="s">
        <v>27</v>
      </c>
    </row>
    <row r="21" spans="1:19" x14ac:dyDescent="0.55000000000000004">
      <c r="A21">
        <v>20</v>
      </c>
      <c r="B21" t="s">
        <v>48</v>
      </c>
      <c r="C21" t="s">
        <v>26</v>
      </c>
      <c r="D21">
        <v>10</v>
      </c>
      <c r="E21">
        <v>452</v>
      </c>
      <c r="F21">
        <v>1910000</v>
      </c>
      <c r="G21">
        <v>43581</v>
      </c>
      <c r="H21" s="5">
        <f t="shared" si="0"/>
        <v>1.0773460699780382</v>
      </c>
      <c r="S21" t="s">
        <v>27</v>
      </c>
    </row>
    <row r="22" spans="1:19" x14ac:dyDescent="0.55000000000000004">
      <c r="A22">
        <v>21</v>
      </c>
      <c r="B22" t="s">
        <v>49</v>
      </c>
      <c r="C22" t="s">
        <v>31</v>
      </c>
      <c r="D22">
        <v>11</v>
      </c>
      <c r="E22">
        <v>666</v>
      </c>
      <c r="F22">
        <v>2686000</v>
      </c>
      <c r="G22">
        <v>43956</v>
      </c>
      <c r="H22" s="5">
        <f t="shared" si="0"/>
        <v>1.0194621472566083</v>
      </c>
      <c r="I22" t="s">
        <v>27</v>
      </c>
      <c r="P22" t="s">
        <v>27</v>
      </c>
    </row>
    <row r="23" spans="1:19" x14ac:dyDescent="0.55000000000000004">
      <c r="A23">
        <v>22</v>
      </c>
      <c r="B23" t="s">
        <v>50</v>
      </c>
      <c r="C23" t="s">
        <v>29</v>
      </c>
      <c r="D23">
        <v>10</v>
      </c>
      <c r="E23">
        <v>549</v>
      </c>
      <c r="F23">
        <v>2278000</v>
      </c>
      <c r="G23">
        <v>43544</v>
      </c>
      <c r="H23" s="5">
        <f t="shared" si="0"/>
        <v>1.05879173995941</v>
      </c>
      <c r="O23" t="s">
        <v>27</v>
      </c>
      <c r="Q23" t="s">
        <v>27</v>
      </c>
    </row>
    <row r="24" spans="1:19" x14ac:dyDescent="0.55000000000000004">
      <c r="A24">
        <v>23</v>
      </c>
      <c r="B24" t="s">
        <v>51</v>
      </c>
      <c r="C24" t="s">
        <v>29</v>
      </c>
      <c r="D24">
        <v>12</v>
      </c>
      <c r="E24">
        <v>565</v>
      </c>
      <c r="F24">
        <v>2360000</v>
      </c>
      <c r="G24">
        <v>43600</v>
      </c>
      <c r="H24" s="5">
        <f t="shared" si="0"/>
        <v>1.0644727702452799</v>
      </c>
      <c r="J24" t="s">
        <v>27</v>
      </c>
      <c r="N24" t="s">
        <v>27</v>
      </c>
      <c r="R24" t="s">
        <v>27</v>
      </c>
    </row>
    <row r="25" spans="1:19" x14ac:dyDescent="0.55000000000000004">
      <c r="A25">
        <v>24</v>
      </c>
      <c r="B25" t="s">
        <v>52</v>
      </c>
      <c r="C25" t="s">
        <v>29</v>
      </c>
      <c r="D25">
        <v>11</v>
      </c>
      <c r="E25">
        <v>576</v>
      </c>
      <c r="F25">
        <v>2377000</v>
      </c>
      <c r="G25">
        <v>43683</v>
      </c>
      <c r="H25" s="5">
        <f t="shared" si="0"/>
        <v>1.0496674554584193</v>
      </c>
      <c r="M25" t="s">
        <v>27</v>
      </c>
      <c r="S25" t="s">
        <v>27</v>
      </c>
    </row>
    <row r="26" spans="1:19" x14ac:dyDescent="0.55000000000000004">
      <c r="A26">
        <v>25</v>
      </c>
      <c r="B26" t="s">
        <v>53</v>
      </c>
      <c r="C26" t="s">
        <v>26</v>
      </c>
      <c r="D26">
        <v>9</v>
      </c>
      <c r="E26">
        <v>597</v>
      </c>
      <c r="F26">
        <v>2484000</v>
      </c>
      <c r="G26">
        <v>43505</v>
      </c>
      <c r="H26" s="5">
        <f t="shared" si="0"/>
        <v>1.0626630451418106</v>
      </c>
      <c r="K26" t="s">
        <v>27</v>
      </c>
      <c r="L26" t="s">
        <v>27</v>
      </c>
    </row>
    <row r="27" spans="1:19" x14ac:dyDescent="0.55000000000000004">
      <c r="A27">
        <v>26</v>
      </c>
      <c r="B27" t="s">
        <v>54</v>
      </c>
      <c r="C27" t="s">
        <v>26</v>
      </c>
      <c r="D27">
        <v>10</v>
      </c>
      <c r="E27">
        <v>533</v>
      </c>
      <c r="F27">
        <v>2235000</v>
      </c>
      <c r="G27">
        <v>43499</v>
      </c>
      <c r="H27" s="5">
        <f t="shared" si="0"/>
        <v>1.0710963415791506</v>
      </c>
      <c r="P27" t="s">
        <v>27</v>
      </c>
      <c r="Q27" t="s">
        <v>27</v>
      </c>
    </row>
    <row r="28" spans="1:19" x14ac:dyDescent="0.55000000000000004">
      <c r="A28">
        <v>27</v>
      </c>
      <c r="B28" t="s">
        <v>55</v>
      </c>
      <c r="C28" t="s">
        <v>31</v>
      </c>
      <c r="D28">
        <v>12</v>
      </c>
      <c r="E28">
        <v>539</v>
      </c>
      <c r="F28">
        <v>2204000</v>
      </c>
      <c r="G28">
        <v>43747</v>
      </c>
      <c r="H28" s="5">
        <f t="shared" si="0"/>
        <v>1.0385610704326438</v>
      </c>
      <c r="R28" t="s">
        <v>27</v>
      </c>
      <c r="S28" t="s">
        <v>27</v>
      </c>
    </row>
    <row r="29" spans="1:19" x14ac:dyDescent="0.55000000000000004">
      <c r="A29">
        <v>28</v>
      </c>
      <c r="B29" t="s">
        <v>56</v>
      </c>
      <c r="C29" t="s">
        <v>26</v>
      </c>
      <c r="D29">
        <v>10</v>
      </c>
      <c r="E29">
        <v>434</v>
      </c>
      <c r="F29">
        <v>1804000</v>
      </c>
      <c r="G29">
        <v>43641</v>
      </c>
      <c r="H29" s="5">
        <f t="shared" si="0"/>
        <v>1.0583019606052844</v>
      </c>
      <c r="I29" t="s">
        <v>27</v>
      </c>
      <c r="J29" t="s">
        <v>27</v>
      </c>
      <c r="K29" t="s">
        <v>27</v>
      </c>
      <c r="L29" t="s">
        <v>27</v>
      </c>
      <c r="M29" t="s">
        <v>27</v>
      </c>
      <c r="N29" t="s">
        <v>27</v>
      </c>
    </row>
    <row r="30" spans="1:19" x14ac:dyDescent="0.55000000000000004">
      <c r="A30">
        <v>29</v>
      </c>
      <c r="B30" t="s">
        <v>57</v>
      </c>
      <c r="C30" t="s">
        <v>29</v>
      </c>
      <c r="D30">
        <v>11</v>
      </c>
      <c r="E30">
        <v>583</v>
      </c>
      <c r="F30">
        <v>2387000</v>
      </c>
      <c r="G30">
        <v>43741</v>
      </c>
      <c r="H30" s="5">
        <f t="shared" si="0"/>
        <v>1.0400462374841579</v>
      </c>
      <c r="I30" t="s">
        <v>27</v>
      </c>
      <c r="J30" t="s">
        <v>27</v>
      </c>
      <c r="K30" t="s">
        <v>27</v>
      </c>
    </row>
    <row r="31" spans="1:19" x14ac:dyDescent="0.55000000000000004">
      <c r="A31">
        <v>30</v>
      </c>
      <c r="B31" t="s">
        <v>58</v>
      </c>
      <c r="C31" t="s">
        <v>26</v>
      </c>
      <c r="D31">
        <v>13</v>
      </c>
      <c r="E31">
        <v>770</v>
      </c>
      <c r="F31">
        <v>3156000</v>
      </c>
      <c r="G31">
        <v>43702</v>
      </c>
      <c r="H31" s="5">
        <f t="shared" si="0"/>
        <v>1.0420833266469622</v>
      </c>
      <c r="L31" t="s">
        <v>27</v>
      </c>
      <c r="M31" t="s">
        <v>27</v>
      </c>
      <c r="N31" t="s">
        <v>27</v>
      </c>
    </row>
    <row r="32" spans="1:19" x14ac:dyDescent="0.55000000000000004">
      <c r="A32">
        <v>31</v>
      </c>
      <c r="B32" t="s">
        <v>59</v>
      </c>
      <c r="C32" t="s">
        <v>26</v>
      </c>
      <c r="D32">
        <v>11</v>
      </c>
      <c r="E32">
        <v>698</v>
      </c>
      <c r="F32">
        <v>2864000</v>
      </c>
      <c r="G32">
        <v>43634</v>
      </c>
      <c r="H32" s="5">
        <f t="shared" si="0"/>
        <v>1.0448406345877537</v>
      </c>
      <c r="I32" t="s">
        <v>27</v>
      </c>
    </row>
    <row r="33" spans="1:19" x14ac:dyDescent="0.55000000000000004">
      <c r="A33">
        <v>32</v>
      </c>
      <c r="B33" t="s">
        <v>60</v>
      </c>
      <c r="C33" t="s">
        <v>31</v>
      </c>
      <c r="D33">
        <v>10</v>
      </c>
      <c r="E33">
        <v>553</v>
      </c>
      <c r="F33">
        <v>2475000</v>
      </c>
      <c r="G33">
        <v>42877</v>
      </c>
      <c r="H33" s="5">
        <f t="shared" si="0"/>
        <v>1.1598001786598369</v>
      </c>
      <c r="L33" t="s">
        <v>27</v>
      </c>
    </row>
    <row r="34" spans="1:19" x14ac:dyDescent="0.55000000000000004">
      <c r="A34">
        <v>33</v>
      </c>
      <c r="B34" t="s">
        <v>61</v>
      </c>
      <c r="C34" t="s">
        <v>31</v>
      </c>
      <c r="D34">
        <v>9</v>
      </c>
      <c r="E34">
        <v>485</v>
      </c>
      <c r="F34">
        <v>2121000</v>
      </c>
      <c r="G34">
        <v>43047</v>
      </c>
      <c r="H34" s="5">
        <f t="shared" si="0"/>
        <v>1.1287909794433113</v>
      </c>
      <c r="P34" t="s">
        <v>27</v>
      </c>
    </row>
    <row r="35" spans="1:19" x14ac:dyDescent="0.55000000000000004">
      <c r="A35">
        <v>34</v>
      </c>
      <c r="B35" t="s">
        <v>62</v>
      </c>
      <c r="C35" t="s">
        <v>26</v>
      </c>
      <c r="D35">
        <v>12</v>
      </c>
      <c r="E35">
        <v>603</v>
      </c>
      <c r="F35">
        <v>2486000</v>
      </c>
      <c r="G35">
        <v>43750</v>
      </c>
      <c r="H35" s="5">
        <f t="shared" si="0"/>
        <v>1.0470399326120718</v>
      </c>
      <c r="J35" t="s">
        <v>27</v>
      </c>
    </row>
    <row r="36" spans="1:19" x14ac:dyDescent="0.55000000000000004">
      <c r="A36">
        <v>35</v>
      </c>
      <c r="B36" t="s">
        <v>63</v>
      </c>
      <c r="C36" t="s">
        <v>31</v>
      </c>
      <c r="D36">
        <v>13</v>
      </c>
      <c r="E36">
        <v>772</v>
      </c>
      <c r="F36">
        <v>3191000</v>
      </c>
      <c r="G36">
        <v>43607</v>
      </c>
      <c r="H36" s="5">
        <f t="shared" si="0"/>
        <v>1.0531998402700817</v>
      </c>
      <c r="M36" t="s">
        <v>27</v>
      </c>
    </row>
    <row r="37" spans="1:19" x14ac:dyDescent="0.55000000000000004">
      <c r="A37">
        <v>36</v>
      </c>
      <c r="B37" t="s">
        <v>64</v>
      </c>
      <c r="C37" t="s">
        <v>31</v>
      </c>
      <c r="D37">
        <v>9</v>
      </c>
      <c r="E37">
        <v>319</v>
      </c>
      <c r="F37">
        <v>1403000</v>
      </c>
      <c r="G37">
        <v>43221</v>
      </c>
      <c r="H37" s="5">
        <f t="shared" si="0"/>
        <v>1.130653854545258</v>
      </c>
      <c r="Q37" t="s">
        <v>27</v>
      </c>
    </row>
    <row r="38" spans="1:19" x14ac:dyDescent="0.55000000000000004">
      <c r="A38">
        <v>37</v>
      </c>
      <c r="B38" t="s">
        <v>65</v>
      </c>
      <c r="C38" t="s">
        <v>26</v>
      </c>
      <c r="D38">
        <v>11</v>
      </c>
      <c r="E38">
        <v>520</v>
      </c>
      <c r="F38">
        <v>2206000</v>
      </c>
      <c r="G38">
        <v>43421</v>
      </c>
      <c r="H38" s="5">
        <f t="shared" si="0"/>
        <v>1.0855750014221723</v>
      </c>
      <c r="K38" t="s">
        <v>27</v>
      </c>
    </row>
    <row r="39" spans="1:19" x14ac:dyDescent="0.55000000000000004">
      <c r="A39">
        <v>38</v>
      </c>
      <c r="B39" t="s">
        <v>66</v>
      </c>
      <c r="C39" t="s">
        <v>31</v>
      </c>
      <c r="D39">
        <v>12</v>
      </c>
      <c r="E39">
        <v>612</v>
      </c>
      <c r="F39">
        <v>2504000</v>
      </c>
      <c r="G39">
        <v>43816</v>
      </c>
      <c r="H39" s="5">
        <f t="shared" si="0"/>
        <v>1.037546727723474</v>
      </c>
      <c r="N39" t="s">
        <v>27</v>
      </c>
    </row>
    <row r="40" spans="1:19" x14ac:dyDescent="0.55000000000000004">
      <c r="A40">
        <v>39</v>
      </c>
      <c r="B40" t="s">
        <v>67</v>
      </c>
      <c r="C40" t="s">
        <v>26</v>
      </c>
      <c r="D40">
        <v>9</v>
      </c>
      <c r="E40">
        <v>324</v>
      </c>
      <c r="F40">
        <v>1588000</v>
      </c>
      <c r="G40">
        <v>42101</v>
      </c>
      <c r="H40" s="5">
        <f t="shared" si="0"/>
        <v>1.2935123124289039</v>
      </c>
      <c r="R40" t="s">
        <v>27</v>
      </c>
    </row>
    <row r="41" spans="1:19" x14ac:dyDescent="0.55000000000000004">
      <c r="A41">
        <v>40</v>
      </c>
      <c r="B41" t="s">
        <v>68</v>
      </c>
      <c r="C41" t="s">
        <v>31</v>
      </c>
      <c r="D41">
        <v>10</v>
      </c>
      <c r="E41">
        <v>556</v>
      </c>
      <c r="F41">
        <v>2445000</v>
      </c>
      <c r="G41">
        <v>43067</v>
      </c>
      <c r="H41" s="5">
        <f t="shared" si="0"/>
        <v>1.1345325021706463</v>
      </c>
      <c r="O41" t="s">
        <v>27</v>
      </c>
    </row>
    <row r="42" spans="1:19" x14ac:dyDescent="0.55000000000000004">
      <c r="A42">
        <v>41</v>
      </c>
      <c r="B42" t="s">
        <v>69</v>
      </c>
      <c r="C42" t="s">
        <v>29</v>
      </c>
      <c r="D42">
        <v>11</v>
      </c>
      <c r="E42">
        <v>550</v>
      </c>
      <c r="F42">
        <v>2270000</v>
      </c>
      <c r="G42">
        <v>43555</v>
      </c>
      <c r="H42" s="5">
        <f t="shared" si="0"/>
        <v>1.0528891254410713</v>
      </c>
      <c r="S42" t="s">
        <v>27</v>
      </c>
    </row>
    <row r="43" spans="1:19" x14ac:dyDescent="0.55000000000000004">
      <c r="A43">
        <v>42</v>
      </c>
      <c r="B43" t="s">
        <v>70</v>
      </c>
      <c r="C43" t="s">
        <v>31</v>
      </c>
      <c r="D43">
        <v>11</v>
      </c>
      <c r="E43">
        <v>468</v>
      </c>
      <c r="F43">
        <v>1982000</v>
      </c>
      <c r="G43">
        <v>43479</v>
      </c>
      <c r="H43" s="5">
        <f t="shared" si="0"/>
        <v>1.0822703003602596</v>
      </c>
      <c r="O43" t="s">
        <v>27</v>
      </c>
    </row>
    <row r="44" spans="1:19" x14ac:dyDescent="0.55000000000000004">
      <c r="A44">
        <v>43</v>
      </c>
      <c r="B44" t="s">
        <v>71</v>
      </c>
      <c r="C44" t="s">
        <v>26</v>
      </c>
      <c r="D44">
        <v>9</v>
      </c>
      <c r="E44">
        <v>459</v>
      </c>
      <c r="F44">
        <v>2084000</v>
      </c>
      <c r="G44">
        <v>42771</v>
      </c>
      <c r="H44" s="5">
        <f t="shared" si="0"/>
        <v>1.1794868825692502</v>
      </c>
      <c r="I44" t="s">
        <v>27</v>
      </c>
      <c r="J44" t="s">
        <v>27</v>
      </c>
      <c r="K44" t="s">
        <v>27</v>
      </c>
      <c r="L44" t="s">
        <v>27</v>
      </c>
      <c r="M44" t="s">
        <v>27</v>
      </c>
      <c r="N44" t="s">
        <v>27</v>
      </c>
    </row>
    <row r="45" spans="1:19" x14ac:dyDescent="0.55000000000000004">
      <c r="A45">
        <v>44</v>
      </c>
      <c r="B45" t="s">
        <v>72</v>
      </c>
      <c r="C45" t="s">
        <v>29</v>
      </c>
      <c r="D45">
        <v>12</v>
      </c>
      <c r="E45">
        <v>497</v>
      </c>
      <c r="F45">
        <v>2108000</v>
      </c>
      <c r="G45">
        <v>43343</v>
      </c>
      <c r="H45" s="5">
        <f t="shared" si="0"/>
        <v>1.0873083932950645</v>
      </c>
      <c r="P45" t="s">
        <v>27</v>
      </c>
      <c r="Q45" t="s">
        <v>27</v>
      </c>
      <c r="R45" t="s">
        <v>27</v>
      </c>
      <c r="S45" t="s">
        <v>27</v>
      </c>
    </row>
    <row r="46" spans="1:19" x14ac:dyDescent="0.55000000000000004">
      <c r="A46">
        <v>45</v>
      </c>
      <c r="B46" t="s">
        <v>73</v>
      </c>
      <c r="C46" t="s">
        <v>26</v>
      </c>
      <c r="D46">
        <v>11</v>
      </c>
      <c r="E46">
        <v>622</v>
      </c>
      <c r="F46">
        <v>2538000</v>
      </c>
      <c r="G46">
        <v>43805</v>
      </c>
      <c r="H46" s="5">
        <f t="shared" si="0"/>
        <v>1.0349873434260504</v>
      </c>
      <c r="I46" t="s">
        <v>27</v>
      </c>
      <c r="J46" t="s">
        <v>27</v>
      </c>
      <c r="K46" t="s">
        <v>27</v>
      </c>
      <c r="L46" t="s">
        <v>27</v>
      </c>
      <c r="M46" t="s">
        <v>27</v>
      </c>
      <c r="N46" t="s">
        <v>27</v>
      </c>
      <c r="O46" t="s">
        <v>27</v>
      </c>
    </row>
    <row r="47" spans="1:19" x14ac:dyDescent="0.55000000000000004">
      <c r="A47">
        <v>46</v>
      </c>
      <c r="B47" t="s">
        <v>74</v>
      </c>
      <c r="C47" t="s">
        <v>31</v>
      </c>
      <c r="D47">
        <v>13</v>
      </c>
      <c r="E47">
        <v>517</v>
      </c>
      <c r="F47">
        <v>2105000</v>
      </c>
      <c r="G47">
        <v>43920</v>
      </c>
      <c r="H47" s="5">
        <f t="shared" si="0"/>
        <v>1.0300462282789919</v>
      </c>
      <c r="P47" t="s">
        <v>27</v>
      </c>
      <c r="Q47" t="s">
        <v>27</v>
      </c>
      <c r="R47" t="s">
        <v>27</v>
      </c>
      <c r="S47" t="s">
        <v>27</v>
      </c>
    </row>
    <row r="48" spans="1:19" x14ac:dyDescent="0.55000000000000004">
      <c r="A48">
        <v>47</v>
      </c>
      <c r="B48" t="s">
        <v>75</v>
      </c>
      <c r="C48" t="s">
        <v>31</v>
      </c>
      <c r="D48">
        <v>12</v>
      </c>
      <c r="E48">
        <v>726</v>
      </c>
      <c r="F48">
        <v>3037000</v>
      </c>
      <c r="G48">
        <v>43465</v>
      </c>
      <c r="H48" s="5">
        <f t="shared" si="0"/>
        <v>1.0693650299184532</v>
      </c>
      <c r="K48" t="s">
        <v>27</v>
      </c>
      <c r="N48" t="s">
        <v>27</v>
      </c>
    </row>
    <row r="49" spans="1:19" x14ac:dyDescent="0.55000000000000004">
      <c r="A49">
        <v>48</v>
      </c>
      <c r="B49" t="s">
        <v>76</v>
      </c>
      <c r="C49" t="s">
        <v>26</v>
      </c>
      <c r="D49">
        <v>12</v>
      </c>
      <c r="E49">
        <v>647</v>
      </c>
      <c r="F49">
        <v>2675000</v>
      </c>
      <c r="G49">
        <v>43568</v>
      </c>
      <c r="H49" s="5">
        <f t="shared" si="0"/>
        <v>1.0544096507391605</v>
      </c>
      <c r="J49" t="s">
        <v>27</v>
      </c>
      <c r="M49" t="s">
        <v>27</v>
      </c>
    </row>
    <row r="50" spans="1:19" x14ac:dyDescent="0.55000000000000004">
      <c r="A50">
        <v>49</v>
      </c>
      <c r="B50" t="s">
        <v>77</v>
      </c>
      <c r="C50" t="s">
        <v>29</v>
      </c>
      <c r="D50">
        <v>11</v>
      </c>
      <c r="E50">
        <v>541</v>
      </c>
      <c r="F50">
        <v>2286000</v>
      </c>
      <c r="G50">
        <v>43382</v>
      </c>
      <c r="H50" s="5">
        <f t="shared" si="0"/>
        <v>1.0822482232594572</v>
      </c>
      <c r="I50" t="s">
        <v>27</v>
      </c>
      <c r="L50" t="s">
        <v>27</v>
      </c>
    </row>
    <row r="52" spans="1:19" x14ac:dyDescent="0.55000000000000004">
      <c r="B52" t="s">
        <v>78</v>
      </c>
      <c r="C52" t="s">
        <v>26</v>
      </c>
      <c r="D52">
        <v>11</v>
      </c>
      <c r="E52">
        <v>763</v>
      </c>
      <c r="I52" t="s">
        <v>27</v>
      </c>
      <c r="J52" t="s">
        <v>27</v>
      </c>
      <c r="K52" t="s">
        <v>27</v>
      </c>
      <c r="L52" t="s">
        <v>27</v>
      </c>
      <c r="M52" t="s">
        <v>27</v>
      </c>
      <c r="N52" t="s">
        <v>27</v>
      </c>
      <c r="O52" t="s">
        <v>27</v>
      </c>
    </row>
    <row r="53" spans="1:19" x14ac:dyDescent="0.55000000000000004">
      <c r="B53" t="s">
        <v>81</v>
      </c>
      <c r="C53" t="s">
        <v>26</v>
      </c>
      <c r="D53">
        <v>9</v>
      </c>
      <c r="E53">
        <v>530</v>
      </c>
      <c r="I53" t="s">
        <v>27</v>
      </c>
      <c r="J53" t="s">
        <v>27</v>
      </c>
      <c r="K53" t="s">
        <v>27</v>
      </c>
      <c r="L53" t="s">
        <v>27</v>
      </c>
      <c r="M53" t="s">
        <v>27</v>
      </c>
      <c r="N53" t="s">
        <v>27</v>
      </c>
      <c r="O53" t="s">
        <v>27</v>
      </c>
      <c r="P53" t="s">
        <v>27</v>
      </c>
      <c r="Q53" t="s">
        <v>27</v>
      </c>
      <c r="R53" t="s">
        <v>27</v>
      </c>
      <c r="S53" t="s">
        <v>27</v>
      </c>
    </row>
    <row r="54" spans="1:19" x14ac:dyDescent="0.55000000000000004">
      <c r="B54" t="s">
        <v>83</v>
      </c>
      <c r="C54" t="s">
        <v>31</v>
      </c>
      <c r="D54">
        <v>11</v>
      </c>
      <c r="E54">
        <v>607</v>
      </c>
      <c r="I54" t="s">
        <v>27</v>
      </c>
      <c r="J54" t="s">
        <v>27</v>
      </c>
      <c r="K54" t="s">
        <v>27</v>
      </c>
      <c r="L54" t="s">
        <v>27</v>
      </c>
      <c r="M54" t="s">
        <v>27</v>
      </c>
      <c r="N54" t="s">
        <v>27</v>
      </c>
      <c r="O54" t="s">
        <v>27</v>
      </c>
      <c r="P54" t="s">
        <v>27</v>
      </c>
      <c r="Q54" t="s">
        <v>27</v>
      </c>
      <c r="R54" t="s">
        <v>27</v>
      </c>
      <c r="S54" t="s">
        <v>27</v>
      </c>
    </row>
    <row r="55" spans="1:19" x14ac:dyDescent="0.55000000000000004">
      <c r="B55" t="s">
        <v>110</v>
      </c>
      <c r="C55" t="s">
        <v>29</v>
      </c>
      <c r="D55">
        <v>10</v>
      </c>
      <c r="E55">
        <v>385</v>
      </c>
      <c r="I55" t="s">
        <v>27</v>
      </c>
    </row>
    <row r="56" spans="1:19" x14ac:dyDescent="0.55000000000000004">
      <c r="B56" t="s">
        <v>116</v>
      </c>
      <c r="C56" t="s">
        <v>31</v>
      </c>
      <c r="D56">
        <v>8</v>
      </c>
      <c r="E56">
        <v>363</v>
      </c>
      <c r="J56" t="s">
        <v>27</v>
      </c>
    </row>
    <row r="57" spans="1:19" x14ac:dyDescent="0.55000000000000004">
      <c r="B57" t="s">
        <v>119</v>
      </c>
      <c r="C57" t="s">
        <v>31</v>
      </c>
      <c r="D57">
        <v>13</v>
      </c>
      <c r="E57">
        <v>683</v>
      </c>
      <c r="K57" t="s">
        <v>27</v>
      </c>
    </row>
    <row r="58" spans="1:19" x14ac:dyDescent="0.55000000000000004">
      <c r="B58" t="s">
        <v>113</v>
      </c>
      <c r="C58" t="s">
        <v>26</v>
      </c>
      <c r="D58">
        <v>8</v>
      </c>
      <c r="E58">
        <v>338</v>
      </c>
      <c r="L58" t="s">
        <v>27</v>
      </c>
    </row>
    <row r="59" spans="1:19" x14ac:dyDescent="0.55000000000000004">
      <c r="B59" t="s">
        <v>112</v>
      </c>
      <c r="C59" t="s">
        <v>26</v>
      </c>
      <c r="D59">
        <v>11</v>
      </c>
      <c r="E59">
        <v>498</v>
      </c>
      <c r="M59" t="s">
        <v>27</v>
      </c>
    </row>
    <row r="60" spans="1:19" x14ac:dyDescent="0.55000000000000004">
      <c r="B60" t="s">
        <v>111</v>
      </c>
      <c r="C60" t="s">
        <v>31</v>
      </c>
      <c r="D60">
        <v>11</v>
      </c>
      <c r="E60">
        <v>508</v>
      </c>
      <c r="N60" t="s">
        <v>27</v>
      </c>
    </row>
    <row r="61" spans="1:19" x14ac:dyDescent="0.55000000000000004">
      <c r="B61" t="s">
        <v>125</v>
      </c>
      <c r="C61" t="s">
        <v>29</v>
      </c>
      <c r="E61">
        <v>281</v>
      </c>
      <c r="O61" t="s">
        <v>27</v>
      </c>
    </row>
    <row r="62" spans="1:19" x14ac:dyDescent="0.55000000000000004">
      <c r="B62" t="s">
        <v>122</v>
      </c>
      <c r="C62" t="s">
        <v>31</v>
      </c>
      <c r="E62">
        <v>359</v>
      </c>
      <c r="I62" t="s">
        <v>27</v>
      </c>
    </row>
    <row r="63" spans="1:19" x14ac:dyDescent="0.55000000000000004">
      <c r="B63" t="s">
        <v>133</v>
      </c>
      <c r="J63" t="s">
        <v>27</v>
      </c>
    </row>
    <row r="64" spans="1:19" x14ac:dyDescent="0.55000000000000004">
      <c r="B64" t="s">
        <v>127</v>
      </c>
      <c r="C64" t="s">
        <v>137</v>
      </c>
      <c r="D64">
        <v>12</v>
      </c>
      <c r="E64">
        <v>733</v>
      </c>
      <c r="F64">
        <v>2974000</v>
      </c>
      <c r="G64">
        <v>43802</v>
      </c>
      <c r="H64" s="5">
        <f t="shared" ref="H64" si="1">F64/(G64*E64*0.09)</f>
        <v>1.0292018051355261</v>
      </c>
      <c r="K64" t="s">
        <v>27</v>
      </c>
    </row>
    <row r="65" spans="2:19" x14ac:dyDescent="0.55000000000000004">
      <c r="B65" t="s">
        <v>124</v>
      </c>
      <c r="C65" t="s">
        <v>29</v>
      </c>
      <c r="E65">
        <v>447</v>
      </c>
      <c r="L65" t="s">
        <v>27</v>
      </c>
    </row>
    <row r="66" spans="2:19" x14ac:dyDescent="0.55000000000000004">
      <c r="B66" t="s">
        <v>121</v>
      </c>
      <c r="C66" t="s">
        <v>26</v>
      </c>
      <c r="E66">
        <v>437</v>
      </c>
      <c r="M66" t="s">
        <v>27</v>
      </c>
    </row>
    <row r="67" spans="2:19" x14ac:dyDescent="0.55000000000000004">
      <c r="B67" t="s">
        <v>123</v>
      </c>
      <c r="C67" t="s">
        <v>29</v>
      </c>
      <c r="E67">
        <v>754</v>
      </c>
      <c r="N67" t="s">
        <v>27</v>
      </c>
    </row>
    <row r="68" spans="2:19" x14ac:dyDescent="0.55000000000000004">
      <c r="B68" t="s">
        <v>134</v>
      </c>
      <c r="O68" t="s">
        <v>27</v>
      </c>
    </row>
    <row r="69" spans="2:19" x14ac:dyDescent="0.55000000000000004">
      <c r="B69" t="s">
        <v>92</v>
      </c>
      <c r="C69" t="s">
        <v>31</v>
      </c>
      <c r="D69">
        <v>10</v>
      </c>
      <c r="E69">
        <v>516</v>
      </c>
      <c r="I69" t="s">
        <v>27</v>
      </c>
      <c r="J69" t="s">
        <v>27</v>
      </c>
      <c r="K69" t="s">
        <v>27</v>
      </c>
      <c r="L69" t="s">
        <v>27</v>
      </c>
      <c r="M69" t="s">
        <v>27</v>
      </c>
      <c r="N69" t="s">
        <v>27</v>
      </c>
      <c r="O69" t="s">
        <v>27</v>
      </c>
    </row>
    <row r="70" spans="2:19" x14ac:dyDescent="0.55000000000000004">
      <c r="B70" t="s">
        <v>118</v>
      </c>
      <c r="C70" t="s">
        <v>31</v>
      </c>
      <c r="D70">
        <v>12</v>
      </c>
      <c r="E70">
        <v>619</v>
      </c>
      <c r="P70" t="s">
        <v>27</v>
      </c>
    </row>
    <row r="71" spans="2:19" x14ac:dyDescent="0.55000000000000004">
      <c r="B71" t="s">
        <v>115</v>
      </c>
      <c r="C71" t="s">
        <v>29</v>
      </c>
      <c r="D71">
        <v>12</v>
      </c>
      <c r="E71">
        <v>516</v>
      </c>
      <c r="Q71" t="s">
        <v>27</v>
      </c>
    </row>
    <row r="72" spans="2:19" x14ac:dyDescent="0.55000000000000004">
      <c r="B72" t="s">
        <v>117</v>
      </c>
      <c r="C72" t="s">
        <v>26</v>
      </c>
      <c r="E72">
        <v>456</v>
      </c>
      <c r="R72" t="s">
        <v>27</v>
      </c>
    </row>
    <row r="73" spans="2:19" x14ac:dyDescent="0.55000000000000004">
      <c r="B73" t="s">
        <v>114</v>
      </c>
      <c r="C73" t="s">
        <v>29</v>
      </c>
      <c r="D73">
        <v>9</v>
      </c>
      <c r="E73">
        <v>399</v>
      </c>
      <c r="S73" t="s">
        <v>27</v>
      </c>
    </row>
    <row r="74" spans="2:19" x14ac:dyDescent="0.55000000000000004">
      <c r="B74" t="s">
        <v>79</v>
      </c>
      <c r="C74" t="s">
        <v>29</v>
      </c>
      <c r="D74">
        <v>10</v>
      </c>
      <c r="E74">
        <v>418</v>
      </c>
      <c r="F74">
        <v>1770000</v>
      </c>
      <c r="G74">
        <v>43536</v>
      </c>
      <c r="H74" s="5">
        <f t="shared" ref="H74" si="2">F74/(G74*E74*0.09)</f>
        <v>1.0807019888433456</v>
      </c>
      <c r="I74" t="s">
        <v>27</v>
      </c>
      <c r="J74" t="s">
        <v>27</v>
      </c>
      <c r="K74" t="s">
        <v>27</v>
      </c>
      <c r="L74" t="s">
        <v>27</v>
      </c>
      <c r="M74" t="s">
        <v>27</v>
      </c>
      <c r="N74" t="s">
        <v>27</v>
      </c>
      <c r="O74" t="s">
        <v>27</v>
      </c>
    </row>
    <row r="75" spans="2:19" x14ac:dyDescent="0.55000000000000004">
      <c r="B75" t="s">
        <v>80</v>
      </c>
      <c r="C75" t="s">
        <v>29</v>
      </c>
      <c r="D75">
        <v>12</v>
      </c>
      <c r="E75">
        <v>563</v>
      </c>
      <c r="P75" t="s">
        <v>27</v>
      </c>
      <c r="Q75" t="s">
        <v>27</v>
      </c>
      <c r="R75" t="s">
        <v>27</v>
      </c>
      <c r="S75" t="s">
        <v>27</v>
      </c>
    </row>
    <row r="76" spans="2:19" x14ac:dyDescent="0.55000000000000004">
      <c r="B76" t="s">
        <v>93</v>
      </c>
      <c r="C76" t="s">
        <v>26</v>
      </c>
      <c r="D76">
        <v>12</v>
      </c>
      <c r="E76">
        <v>597</v>
      </c>
      <c r="P76" t="s">
        <v>27</v>
      </c>
    </row>
    <row r="77" spans="2:19" x14ac:dyDescent="0.55000000000000004">
      <c r="B77" t="s">
        <v>90</v>
      </c>
      <c r="C77" t="s">
        <v>26</v>
      </c>
      <c r="D77">
        <v>12</v>
      </c>
      <c r="E77">
        <v>570</v>
      </c>
      <c r="Q77" t="s">
        <v>27</v>
      </c>
    </row>
    <row r="78" spans="2:19" x14ac:dyDescent="0.55000000000000004">
      <c r="B78" t="s">
        <v>84</v>
      </c>
      <c r="C78" t="s">
        <v>29</v>
      </c>
      <c r="D78">
        <v>9</v>
      </c>
      <c r="E78">
        <v>391</v>
      </c>
      <c r="R78" t="s">
        <v>27</v>
      </c>
    </row>
    <row r="79" spans="2:19" x14ac:dyDescent="0.55000000000000004">
      <c r="B79" t="s">
        <v>89</v>
      </c>
      <c r="C79" t="s">
        <v>31</v>
      </c>
      <c r="D79">
        <v>11</v>
      </c>
      <c r="E79">
        <v>521</v>
      </c>
      <c r="S79" t="s">
        <v>27</v>
      </c>
    </row>
    <row r="80" spans="2:19" x14ac:dyDescent="0.55000000000000004">
      <c r="B80" t="s">
        <v>135</v>
      </c>
      <c r="P80" t="s">
        <v>27</v>
      </c>
    </row>
    <row r="81" spans="2:19" x14ac:dyDescent="0.55000000000000004">
      <c r="B81" t="s">
        <v>120</v>
      </c>
      <c r="C81" t="s">
        <v>29</v>
      </c>
      <c r="D81">
        <v>12</v>
      </c>
      <c r="E81">
        <v>441</v>
      </c>
      <c r="Q81" t="s">
        <v>27</v>
      </c>
    </row>
    <row r="82" spans="2:19" x14ac:dyDescent="0.55000000000000004">
      <c r="B82" t="s">
        <v>136</v>
      </c>
      <c r="R82" t="s">
        <v>27</v>
      </c>
    </row>
    <row r="83" spans="2:19" x14ac:dyDescent="0.55000000000000004">
      <c r="B83" t="s">
        <v>126</v>
      </c>
      <c r="C83" t="s">
        <v>31</v>
      </c>
      <c r="E83">
        <v>630</v>
      </c>
      <c r="S83" t="s">
        <v>27</v>
      </c>
    </row>
    <row r="84" spans="2:19" x14ac:dyDescent="0.55000000000000004">
      <c r="B84" t="s">
        <v>82</v>
      </c>
      <c r="C84" t="s">
        <v>26</v>
      </c>
      <c r="D84">
        <v>10</v>
      </c>
      <c r="E84">
        <v>418</v>
      </c>
      <c r="I84" t="s">
        <v>27</v>
      </c>
      <c r="K84" t="s">
        <v>27</v>
      </c>
    </row>
    <row r="85" spans="2:19" x14ac:dyDescent="0.55000000000000004">
      <c r="B85" t="s">
        <v>86</v>
      </c>
      <c r="C85" t="s">
        <v>31</v>
      </c>
      <c r="D85">
        <v>10</v>
      </c>
      <c r="E85">
        <v>444</v>
      </c>
      <c r="M85" t="s">
        <v>27</v>
      </c>
      <c r="N85" t="s">
        <v>27</v>
      </c>
      <c r="O85" t="s">
        <v>27</v>
      </c>
    </row>
    <row r="86" spans="2:19" x14ac:dyDescent="0.55000000000000004">
      <c r="B86" t="s">
        <v>91</v>
      </c>
      <c r="C86" t="s">
        <v>26</v>
      </c>
      <c r="D86">
        <v>12</v>
      </c>
      <c r="E86">
        <v>650</v>
      </c>
      <c r="J86" t="s">
        <v>27</v>
      </c>
      <c r="L86" t="s">
        <v>27</v>
      </c>
    </row>
    <row r="87" spans="2:19" x14ac:dyDescent="0.55000000000000004">
      <c r="B87" t="s">
        <v>94</v>
      </c>
      <c r="C87" t="s">
        <v>26</v>
      </c>
      <c r="D87">
        <v>10</v>
      </c>
      <c r="E87">
        <v>400</v>
      </c>
      <c r="I87" t="s">
        <v>27</v>
      </c>
    </row>
    <row r="88" spans="2:19" x14ac:dyDescent="0.55000000000000004">
      <c r="B88" t="s">
        <v>101</v>
      </c>
      <c r="C88" t="s">
        <v>31</v>
      </c>
      <c r="D88">
        <v>9</v>
      </c>
      <c r="E88">
        <v>448</v>
      </c>
      <c r="J88" t="s">
        <v>280</v>
      </c>
    </row>
    <row r="89" spans="2:19" x14ac:dyDescent="0.55000000000000004">
      <c r="B89" t="s">
        <v>95</v>
      </c>
      <c r="C89" t="s">
        <v>29</v>
      </c>
      <c r="D89">
        <v>10</v>
      </c>
      <c r="E89">
        <v>503</v>
      </c>
      <c r="K89" t="s">
        <v>27</v>
      </c>
    </row>
    <row r="90" spans="2:19" x14ac:dyDescent="0.55000000000000004">
      <c r="B90" t="s">
        <v>102</v>
      </c>
      <c r="C90" t="s">
        <v>29</v>
      </c>
      <c r="D90">
        <v>10</v>
      </c>
      <c r="E90">
        <v>398</v>
      </c>
      <c r="L90" t="s">
        <v>27</v>
      </c>
    </row>
    <row r="91" spans="2:19" x14ac:dyDescent="0.55000000000000004">
      <c r="B91" t="s">
        <v>96</v>
      </c>
      <c r="C91" t="s">
        <v>29</v>
      </c>
      <c r="D91">
        <v>10</v>
      </c>
      <c r="E91">
        <v>575</v>
      </c>
      <c r="M91" t="s">
        <v>27</v>
      </c>
    </row>
    <row r="92" spans="2:19" x14ac:dyDescent="0.55000000000000004">
      <c r="B92" t="s">
        <v>99</v>
      </c>
      <c r="C92" t="s">
        <v>31</v>
      </c>
      <c r="D92">
        <v>12</v>
      </c>
      <c r="E92">
        <v>661</v>
      </c>
      <c r="F92">
        <v>2694000</v>
      </c>
      <c r="G92">
        <v>43849</v>
      </c>
      <c r="H92" s="5">
        <f t="shared" ref="H92" si="3">F92/(G92*E92*0.09)</f>
        <v>1.0327469688157684</v>
      </c>
      <c r="N92" t="s">
        <v>27</v>
      </c>
    </row>
    <row r="93" spans="2:19" x14ac:dyDescent="0.55000000000000004">
      <c r="B93" t="s">
        <v>100</v>
      </c>
      <c r="C93" t="s">
        <v>26</v>
      </c>
      <c r="D93">
        <v>11</v>
      </c>
      <c r="E93">
        <v>443</v>
      </c>
      <c r="O93" t="s">
        <v>27</v>
      </c>
    </row>
    <row r="94" spans="2:19" x14ac:dyDescent="0.55000000000000004">
      <c r="B94" t="s">
        <v>97</v>
      </c>
      <c r="C94" t="s">
        <v>31</v>
      </c>
      <c r="D94">
        <v>12</v>
      </c>
      <c r="E94">
        <v>728</v>
      </c>
      <c r="I94" t="s">
        <v>27</v>
      </c>
      <c r="J94" t="s">
        <v>27</v>
      </c>
      <c r="K94" t="s">
        <v>27</v>
      </c>
      <c r="L94" t="s">
        <v>27</v>
      </c>
      <c r="M94" t="s">
        <v>27</v>
      </c>
      <c r="N94" t="s">
        <v>27</v>
      </c>
      <c r="O94" t="s">
        <v>27</v>
      </c>
    </row>
    <row r="95" spans="2:19" x14ac:dyDescent="0.55000000000000004">
      <c r="B95" t="s">
        <v>98</v>
      </c>
      <c r="C95" t="s">
        <v>31</v>
      </c>
      <c r="D95">
        <v>13</v>
      </c>
      <c r="E95">
        <v>605</v>
      </c>
      <c r="P95" t="s">
        <v>27</v>
      </c>
      <c r="Q95" t="s">
        <v>27</v>
      </c>
      <c r="R95" t="s">
        <v>27</v>
      </c>
      <c r="S95" t="s">
        <v>27</v>
      </c>
    </row>
    <row r="96" spans="2:19" x14ac:dyDescent="0.55000000000000004">
      <c r="B96" t="s">
        <v>103</v>
      </c>
      <c r="C96" t="s">
        <v>29</v>
      </c>
      <c r="D96">
        <v>12</v>
      </c>
      <c r="E96">
        <v>642</v>
      </c>
      <c r="I96" t="s">
        <v>27</v>
      </c>
      <c r="K96" t="s">
        <v>27</v>
      </c>
      <c r="M96" t="s">
        <v>27</v>
      </c>
      <c r="N96" t="s">
        <v>27</v>
      </c>
      <c r="P96" t="s">
        <v>27</v>
      </c>
      <c r="Q96" t="s">
        <v>27</v>
      </c>
    </row>
    <row r="97" spans="2:19" x14ac:dyDescent="0.55000000000000004">
      <c r="B97" t="s">
        <v>104</v>
      </c>
      <c r="C97" t="s">
        <v>29</v>
      </c>
      <c r="D97">
        <v>12</v>
      </c>
      <c r="E97">
        <v>508</v>
      </c>
      <c r="J97" t="s">
        <v>27</v>
      </c>
      <c r="L97" t="s">
        <v>27</v>
      </c>
      <c r="O97" t="s">
        <v>27</v>
      </c>
      <c r="R97" t="s">
        <v>27</v>
      </c>
      <c r="S97" t="s">
        <v>27</v>
      </c>
    </row>
    <row r="98" spans="2:19" x14ac:dyDescent="0.55000000000000004">
      <c r="B98" t="s">
        <v>105</v>
      </c>
      <c r="C98" t="s">
        <v>26</v>
      </c>
      <c r="D98">
        <v>12</v>
      </c>
      <c r="E98">
        <v>603</v>
      </c>
      <c r="P98" t="s">
        <v>27</v>
      </c>
      <c r="S98" t="s">
        <v>27</v>
      </c>
    </row>
    <row r="99" spans="2:19" x14ac:dyDescent="0.55000000000000004">
      <c r="B99" t="s">
        <v>108</v>
      </c>
      <c r="C99" t="s">
        <v>31</v>
      </c>
      <c r="D99">
        <v>11</v>
      </c>
      <c r="E99">
        <v>698</v>
      </c>
      <c r="F99">
        <v>2974000</v>
      </c>
      <c r="G99">
        <v>43217</v>
      </c>
      <c r="H99" s="5">
        <f t="shared" ref="H99" si="4">F99/(G99*E99*0.09)</f>
        <v>1.0954395481390689</v>
      </c>
      <c r="Q99" t="s">
        <v>27</v>
      </c>
      <c r="R99" t="s">
        <v>27</v>
      </c>
    </row>
    <row r="100" spans="2:19" x14ac:dyDescent="0.55000000000000004">
      <c r="B100" t="s">
        <v>85</v>
      </c>
      <c r="C100" t="s">
        <v>31</v>
      </c>
      <c r="D100">
        <v>12</v>
      </c>
      <c r="E100">
        <v>595</v>
      </c>
      <c r="J100" t="s">
        <v>27</v>
      </c>
      <c r="K100" t="s">
        <v>27</v>
      </c>
      <c r="P100" t="s">
        <v>27</v>
      </c>
      <c r="Q100" t="s">
        <v>27</v>
      </c>
    </row>
    <row r="101" spans="2:19" x14ac:dyDescent="0.55000000000000004">
      <c r="B101" t="s">
        <v>87</v>
      </c>
      <c r="C101" t="s">
        <v>26</v>
      </c>
      <c r="D101">
        <v>13</v>
      </c>
      <c r="E101">
        <v>617</v>
      </c>
      <c r="N101" t="s">
        <v>27</v>
      </c>
      <c r="R101" t="s">
        <v>27</v>
      </c>
      <c r="S101" t="s">
        <v>27</v>
      </c>
    </row>
    <row r="102" spans="2:19" x14ac:dyDescent="0.55000000000000004">
      <c r="B102" t="s">
        <v>88</v>
      </c>
      <c r="C102" t="s">
        <v>29</v>
      </c>
      <c r="D102">
        <v>12</v>
      </c>
      <c r="E102">
        <v>570</v>
      </c>
      <c r="I102" t="s">
        <v>27</v>
      </c>
      <c r="L102" t="s">
        <v>27</v>
      </c>
      <c r="M102" t="s">
        <v>27</v>
      </c>
      <c r="O102" t="s">
        <v>27</v>
      </c>
    </row>
    <row r="103" spans="2:19" x14ac:dyDescent="0.55000000000000004">
      <c r="B103" t="s">
        <v>106</v>
      </c>
      <c r="C103" t="s">
        <v>29</v>
      </c>
      <c r="D103">
        <v>12</v>
      </c>
      <c r="E103">
        <v>786</v>
      </c>
      <c r="P103" t="s">
        <v>27</v>
      </c>
      <c r="R103" t="s">
        <v>27</v>
      </c>
    </row>
    <row r="104" spans="2:19" x14ac:dyDescent="0.55000000000000004">
      <c r="B104" t="s">
        <v>107</v>
      </c>
      <c r="C104" t="s">
        <v>29</v>
      </c>
      <c r="D104">
        <v>12</v>
      </c>
      <c r="E104">
        <v>548</v>
      </c>
      <c r="Q104" t="s">
        <v>27</v>
      </c>
      <c r="S104" t="s">
        <v>27</v>
      </c>
    </row>
    <row r="105" spans="2:19" x14ac:dyDescent="0.55000000000000004">
      <c r="B105" t="s">
        <v>109</v>
      </c>
      <c r="C105" t="s">
        <v>29</v>
      </c>
      <c r="D105">
        <v>11</v>
      </c>
      <c r="E105">
        <v>584</v>
      </c>
      <c r="F105">
        <v>2495000</v>
      </c>
      <c r="G105">
        <v>43259</v>
      </c>
      <c r="H105" s="5">
        <f t="shared" ref="H105" si="5">F105/(G105*E105*0.09)</f>
        <v>1.0973337016504214</v>
      </c>
      <c r="I105" t="s">
        <v>27</v>
      </c>
      <c r="J105" t="s">
        <v>27</v>
      </c>
      <c r="K105" t="s">
        <v>27</v>
      </c>
      <c r="L105" t="s">
        <v>27</v>
      </c>
      <c r="M105" t="s">
        <v>27</v>
      </c>
      <c r="N105" t="s">
        <v>27</v>
      </c>
      <c r="O105" t="s">
        <v>27</v>
      </c>
      <c r="P105" t="s">
        <v>27</v>
      </c>
      <c r="Q105" t="s">
        <v>27</v>
      </c>
      <c r="R105" t="s">
        <v>27</v>
      </c>
      <c r="S105" t="s">
        <v>27</v>
      </c>
    </row>
  </sheetData>
  <autoFilter ref="A1:S105" xr:uid="{2BC4E221-C811-42A1-95CE-55A48E154087}"/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FF1D0-8967-47CC-AE5A-16CC5951F6A8}">
  <dimension ref="A1:N46"/>
  <sheetViews>
    <sheetView workbookViewId="0">
      <selection sqref="A1:A1048576"/>
    </sheetView>
  </sheetViews>
  <sheetFormatPr defaultRowHeight="18" x14ac:dyDescent="0.55000000000000004"/>
  <cols>
    <col min="4" max="4" width="14.33203125" bestFit="1" customWidth="1"/>
    <col min="14" max="14" width="8.58203125" customWidth="1"/>
  </cols>
  <sheetData>
    <row r="1" spans="1:14" ht="18.5" thickBot="1" x14ac:dyDescent="0.6">
      <c r="A1" t="s">
        <v>233</v>
      </c>
      <c r="B1" t="s">
        <v>278</v>
      </c>
      <c r="C1" t="s">
        <v>261</v>
      </c>
      <c r="D1" s="10" t="s">
        <v>262</v>
      </c>
      <c r="E1" s="10" t="s">
        <v>273</v>
      </c>
      <c r="F1" s="10" t="s">
        <v>192</v>
      </c>
      <c r="G1" s="10" t="s">
        <v>193</v>
      </c>
      <c r="H1" s="10" t="s">
        <v>194</v>
      </c>
      <c r="I1" s="10" t="s">
        <v>195</v>
      </c>
      <c r="J1" s="10" t="s">
        <v>196</v>
      </c>
      <c r="K1" s="10" t="s">
        <v>197</v>
      </c>
      <c r="L1" s="10" t="s">
        <v>198</v>
      </c>
      <c r="M1" t="s">
        <v>260</v>
      </c>
      <c r="N1" s="12" t="s">
        <v>241</v>
      </c>
    </row>
    <row r="2" spans="1:14" x14ac:dyDescent="0.55000000000000004">
      <c r="B2" t="s">
        <v>277</v>
      </c>
      <c r="C2" t="s">
        <v>207</v>
      </c>
      <c r="D2" t="s">
        <v>14</v>
      </c>
      <c r="E2" t="s">
        <v>153</v>
      </c>
      <c r="F2">
        <v>1739</v>
      </c>
      <c r="G2">
        <v>1289</v>
      </c>
      <c r="H2">
        <v>1469</v>
      </c>
      <c r="I2" t="s">
        <v>1</v>
      </c>
      <c r="J2">
        <v>10</v>
      </c>
      <c r="K2" s="11" t="s">
        <v>271</v>
      </c>
      <c r="L2">
        <v>34000</v>
      </c>
      <c r="M2">
        <v>1</v>
      </c>
      <c r="N2" t="str">
        <f>A2&amp;COUNTIF($A$2:A2,"○")</f>
        <v>0</v>
      </c>
    </row>
    <row r="3" spans="1:14" x14ac:dyDescent="0.55000000000000004">
      <c r="B3" t="s">
        <v>277</v>
      </c>
      <c r="C3" t="s">
        <v>208</v>
      </c>
      <c r="D3" t="s">
        <v>14</v>
      </c>
      <c r="E3" t="s">
        <v>144</v>
      </c>
      <c r="F3">
        <v>1860</v>
      </c>
      <c r="G3">
        <v>1590</v>
      </c>
      <c r="H3">
        <v>1044</v>
      </c>
      <c r="I3" t="s">
        <v>199</v>
      </c>
      <c r="J3">
        <v>5</v>
      </c>
      <c r="K3" s="11" t="s">
        <v>271</v>
      </c>
      <c r="L3">
        <v>27000</v>
      </c>
      <c r="M3">
        <v>2</v>
      </c>
      <c r="N3" t="str">
        <f>A3&amp;COUNTIF($A$2:A3,"○")</f>
        <v>0</v>
      </c>
    </row>
    <row r="4" spans="1:14" x14ac:dyDescent="0.55000000000000004">
      <c r="B4" t="s">
        <v>277</v>
      </c>
      <c r="C4" t="s">
        <v>209</v>
      </c>
      <c r="D4" t="s">
        <v>14</v>
      </c>
      <c r="E4" t="s">
        <v>144</v>
      </c>
      <c r="F4">
        <v>1548</v>
      </c>
      <c r="G4">
        <v>1029</v>
      </c>
      <c r="H4">
        <v>1548</v>
      </c>
      <c r="I4" t="s">
        <v>172</v>
      </c>
      <c r="J4">
        <v>9</v>
      </c>
      <c r="M4">
        <v>3</v>
      </c>
      <c r="N4" t="str">
        <f>A4&amp;COUNTIF($A$2:A4,"○")</f>
        <v>0</v>
      </c>
    </row>
    <row r="5" spans="1:14" x14ac:dyDescent="0.55000000000000004">
      <c r="B5" t="s">
        <v>277</v>
      </c>
      <c r="C5" t="s">
        <v>210</v>
      </c>
      <c r="D5" t="s">
        <v>14</v>
      </c>
      <c r="E5" t="s">
        <v>147</v>
      </c>
      <c r="F5">
        <v>1317</v>
      </c>
      <c r="G5">
        <v>1777</v>
      </c>
      <c r="H5">
        <v>1113</v>
      </c>
      <c r="I5" t="s">
        <v>199</v>
      </c>
      <c r="J5">
        <v>1</v>
      </c>
      <c r="M5">
        <v>4</v>
      </c>
      <c r="N5" t="str">
        <f>A5&amp;COUNTIF($A$2:A5,"○")</f>
        <v>0</v>
      </c>
    </row>
    <row r="6" spans="1:14" x14ac:dyDescent="0.55000000000000004">
      <c r="B6" t="s">
        <v>277</v>
      </c>
      <c r="C6" t="s">
        <v>207</v>
      </c>
      <c r="D6" t="s">
        <v>15</v>
      </c>
      <c r="E6" t="s">
        <v>144</v>
      </c>
      <c r="F6">
        <v>1469</v>
      </c>
      <c r="G6">
        <v>1469</v>
      </c>
      <c r="H6">
        <v>1559</v>
      </c>
      <c r="I6" t="s">
        <v>1</v>
      </c>
      <c r="J6">
        <v>10</v>
      </c>
      <c r="K6" s="11" t="s">
        <v>271</v>
      </c>
      <c r="L6">
        <v>34000</v>
      </c>
      <c r="M6">
        <v>5</v>
      </c>
      <c r="N6" t="str">
        <f>A6&amp;COUNTIF($A$2:A6,"○")</f>
        <v>0</v>
      </c>
    </row>
    <row r="7" spans="1:14" x14ac:dyDescent="0.55000000000000004">
      <c r="B7" t="s">
        <v>277</v>
      </c>
      <c r="C7" t="s">
        <v>211</v>
      </c>
      <c r="D7" t="s">
        <v>15</v>
      </c>
      <c r="E7" t="s">
        <v>153</v>
      </c>
      <c r="F7">
        <v>1590</v>
      </c>
      <c r="G7">
        <v>1680</v>
      </c>
      <c r="H7">
        <v>1224</v>
      </c>
      <c r="I7" t="s">
        <v>172</v>
      </c>
      <c r="J7">
        <v>10</v>
      </c>
      <c r="K7" s="11">
        <v>0.6</v>
      </c>
      <c r="L7">
        <v>16000</v>
      </c>
      <c r="M7">
        <v>6</v>
      </c>
      <c r="N7" t="str">
        <f>A7&amp;COUNTIF($A$2:A7,"○")</f>
        <v>0</v>
      </c>
    </row>
    <row r="8" spans="1:14" x14ac:dyDescent="0.55000000000000004">
      <c r="B8" t="s">
        <v>277</v>
      </c>
      <c r="C8" t="s">
        <v>210</v>
      </c>
      <c r="D8" t="s">
        <v>15</v>
      </c>
      <c r="E8" t="s">
        <v>147</v>
      </c>
      <c r="F8">
        <v>1672</v>
      </c>
      <c r="G8">
        <v>1772</v>
      </c>
      <c r="H8">
        <v>1234</v>
      </c>
      <c r="I8" t="s">
        <v>199</v>
      </c>
      <c r="J8">
        <v>1</v>
      </c>
      <c r="K8" s="11" t="s">
        <v>271</v>
      </c>
      <c r="L8">
        <v>27000</v>
      </c>
      <c r="M8">
        <v>7</v>
      </c>
      <c r="N8" t="str">
        <f>A8&amp;COUNTIF($A$2:A8,"○")</f>
        <v>0</v>
      </c>
    </row>
    <row r="9" spans="1:14" x14ac:dyDescent="0.55000000000000004">
      <c r="B9" t="s">
        <v>277</v>
      </c>
      <c r="C9" t="s">
        <v>212</v>
      </c>
      <c r="D9" t="s">
        <v>16</v>
      </c>
      <c r="E9" t="s">
        <v>144</v>
      </c>
      <c r="F9">
        <v>1278</v>
      </c>
      <c r="G9">
        <v>1119</v>
      </c>
      <c r="H9">
        <v>1728</v>
      </c>
      <c r="I9" t="s">
        <v>172</v>
      </c>
      <c r="J9">
        <v>8</v>
      </c>
      <c r="M9">
        <v>8</v>
      </c>
      <c r="N9" t="str">
        <f>A9&amp;COUNTIF($A$2:A9,"○")</f>
        <v>0</v>
      </c>
    </row>
    <row r="10" spans="1:14" x14ac:dyDescent="0.55000000000000004">
      <c r="A10" t="s">
        <v>27</v>
      </c>
      <c r="B10" t="s">
        <v>277</v>
      </c>
      <c r="C10" t="s">
        <v>213</v>
      </c>
      <c r="D10" t="s">
        <v>16</v>
      </c>
      <c r="E10" t="s">
        <v>147</v>
      </c>
      <c r="F10">
        <v>1469</v>
      </c>
      <c r="G10">
        <v>1469</v>
      </c>
      <c r="H10">
        <v>1559</v>
      </c>
      <c r="I10" t="s">
        <v>172</v>
      </c>
      <c r="J10">
        <v>10</v>
      </c>
      <c r="K10" s="11">
        <v>0.6</v>
      </c>
      <c r="L10">
        <v>16000</v>
      </c>
      <c r="M10">
        <v>9</v>
      </c>
      <c r="N10" t="str">
        <f>A10&amp;COUNTIF($A$2:A10,"○")</f>
        <v>○1</v>
      </c>
    </row>
    <row r="11" spans="1:14" x14ac:dyDescent="0.55000000000000004">
      <c r="B11" t="s">
        <v>277</v>
      </c>
      <c r="C11" t="s">
        <v>214</v>
      </c>
      <c r="D11" t="s">
        <v>16</v>
      </c>
      <c r="E11" t="s">
        <v>144</v>
      </c>
      <c r="F11">
        <v>1912</v>
      </c>
      <c r="G11">
        <v>1037</v>
      </c>
      <c r="H11">
        <v>1632</v>
      </c>
      <c r="I11" t="s">
        <v>1</v>
      </c>
      <c r="J11">
        <v>10</v>
      </c>
      <c r="K11" s="11" t="s">
        <v>271</v>
      </c>
      <c r="L11">
        <v>31000</v>
      </c>
      <c r="M11">
        <v>10</v>
      </c>
      <c r="N11" t="str">
        <f>A11&amp;COUNTIF($A$2:A11,"○")</f>
        <v>1</v>
      </c>
    </row>
    <row r="12" spans="1:14" x14ac:dyDescent="0.55000000000000004">
      <c r="B12" t="s">
        <v>277</v>
      </c>
      <c r="C12" t="s">
        <v>207</v>
      </c>
      <c r="D12" t="s">
        <v>17</v>
      </c>
      <c r="E12" t="s">
        <v>144</v>
      </c>
      <c r="F12">
        <v>1436</v>
      </c>
      <c r="G12">
        <v>1256</v>
      </c>
      <c r="H12">
        <v>1436</v>
      </c>
      <c r="I12" t="s">
        <v>1</v>
      </c>
      <c r="J12">
        <v>8</v>
      </c>
      <c r="M12">
        <v>11</v>
      </c>
      <c r="N12" t="str">
        <f>A12&amp;COUNTIF($A$2:A12,"○")</f>
        <v>1</v>
      </c>
    </row>
    <row r="13" spans="1:14" x14ac:dyDescent="0.55000000000000004">
      <c r="B13" t="s">
        <v>277</v>
      </c>
      <c r="C13" t="s">
        <v>212</v>
      </c>
      <c r="D13" t="s">
        <v>17</v>
      </c>
      <c r="E13" t="s">
        <v>153</v>
      </c>
      <c r="F13">
        <v>1728</v>
      </c>
      <c r="G13">
        <v>939</v>
      </c>
      <c r="H13">
        <v>1458</v>
      </c>
      <c r="I13" t="s">
        <v>172</v>
      </c>
      <c r="J13">
        <v>8</v>
      </c>
      <c r="M13">
        <v>12</v>
      </c>
      <c r="N13" t="str">
        <f>A13&amp;COUNTIF($A$2:A13,"○")</f>
        <v>1</v>
      </c>
    </row>
    <row r="14" spans="1:14" x14ac:dyDescent="0.55000000000000004">
      <c r="A14" t="s">
        <v>27</v>
      </c>
      <c r="B14" t="s">
        <v>277</v>
      </c>
      <c r="C14" t="s">
        <v>215</v>
      </c>
      <c r="D14" t="s">
        <v>17</v>
      </c>
      <c r="E14" t="s">
        <v>147</v>
      </c>
      <c r="F14">
        <v>1590</v>
      </c>
      <c r="G14">
        <v>1860</v>
      </c>
      <c r="H14">
        <v>1044</v>
      </c>
      <c r="I14" t="s">
        <v>172</v>
      </c>
      <c r="J14">
        <v>10</v>
      </c>
      <c r="K14" s="11">
        <v>0.6</v>
      </c>
      <c r="L14">
        <v>16000</v>
      </c>
      <c r="M14">
        <v>13</v>
      </c>
      <c r="N14" t="str">
        <f>A14&amp;COUNTIF($A$2:A14,"○")</f>
        <v>○2</v>
      </c>
    </row>
    <row r="15" spans="1:14" x14ac:dyDescent="0.55000000000000004">
      <c r="B15" t="s">
        <v>277</v>
      </c>
      <c r="C15" t="s">
        <v>210</v>
      </c>
      <c r="D15" t="s">
        <v>17</v>
      </c>
      <c r="E15" t="s">
        <v>153</v>
      </c>
      <c r="F15">
        <v>1119</v>
      </c>
      <c r="G15">
        <v>1458</v>
      </c>
      <c r="H15">
        <v>1548</v>
      </c>
      <c r="I15" t="s">
        <v>3</v>
      </c>
      <c r="J15">
        <v>1</v>
      </c>
      <c r="M15">
        <v>14</v>
      </c>
      <c r="N15" t="str">
        <f>A15&amp;COUNTIF($A$2:A15,"○")</f>
        <v>2</v>
      </c>
    </row>
    <row r="16" spans="1:14" x14ac:dyDescent="0.55000000000000004">
      <c r="B16" t="s">
        <v>277</v>
      </c>
      <c r="C16" t="s">
        <v>216</v>
      </c>
      <c r="D16" t="s">
        <v>17</v>
      </c>
      <c r="E16" t="s">
        <v>144</v>
      </c>
      <c r="F16">
        <v>933</v>
      </c>
      <c r="G16">
        <v>1777</v>
      </c>
      <c r="H16">
        <v>1497</v>
      </c>
      <c r="I16" t="s">
        <v>199</v>
      </c>
      <c r="J16">
        <v>1</v>
      </c>
      <c r="M16">
        <v>15</v>
      </c>
      <c r="N16" t="str">
        <f>A16&amp;COUNTIF($A$2:A16,"○")</f>
        <v>2</v>
      </c>
    </row>
    <row r="17" spans="1:14" x14ac:dyDescent="0.55000000000000004">
      <c r="A17" t="s">
        <v>27</v>
      </c>
      <c r="B17" t="s">
        <v>277</v>
      </c>
      <c r="C17" t="s">
        <v>217</v>
      </c>
      <c r="D17" t="s">
        <v>18</v>
      </c>
      <c r="E17" t="s">
        <v>147</v>
      </c>
      <c r="F17">
        <v>1590</v>
      </c>
      <c r="G17">
        <v>1590</v>
      </c>
      <c r="H17">
        <v>1314</v>
      </c>
      <c r="I17" t="s">
        <v>1</v>
      </c>
      <c r="J17">
        <v>8</v>
      </c>
      <c r="K17" s="11" t="s">
        <v>271</v>
      </c>
      <c r="L17">
        <v>31000</v>
      </c>
      <c r="M17">
        <v>16</v>
      </c>
      <c r="N17" t="str">
        <f>A17&amp;COUNTIF($A$2:A17,"○")</f>
        <v>○3</v>
      </c>
    </row>
    <row r="18" spans="1:14" x14ac:dyDescent="0.55000000000000004">
      <c r="A18" t="s">
        <v>27</v>
      </c>
      <c r="B18" t="s">
        <v>277</v>
      </c>
      <c r="C18" t="s">
        <v>218</v>
      </c>
      <c r="D18" t="s">
        <v>18</v>
      </c>
      <c r="E18" t="s">
        <v>147</v>
      </c>
      <c r="F18">
        <v>1590</v>
      </c>
      <c r="G18">
        <v>1680</v>
      </c>
      <c r="H18">
        <v>1224</v>
      </c>
      <c r="I18" t="s">
        <v>172</v>
      </c>
      <c r="J18">
        <v>12</v>
      </c>
      <c r="K18" s="11">
        <v>0.6</v>
      </c>
      <c r="L18">
        <v>16000</v>
      </c>
      <c r="M18">
        <v>17</v>
      </c>
      <c r="N18" t="str">
        <f>A18&amp;COUNTIF($A$2:A18,"○")</f>
        <v>○4</v>
      </c>
    </row>
    <row r="19" spans="1:14" x14ac:dyDescent="0.55000000000000004">
      <c r="B19" t="s">
        <v>277</v>
      </c>
      <c r="C19" t="s">
        <v>210</v>
      </c>
      <c r="D19" t="s">
        <v>18</v>
      </c>
      <c r="E19" t="s">
        <v>144</v>
      </c>
      <c r="F19">
        <v>933</v>
      </c>
      <c r="G19">
        <v>1497</v>
      </c>
      <c r="H19">
        <v>1777</v>
      </c>
      <c r="I19" t="s">
        <v>3</v>
      </c>
      <c r="J19">
        <v>1</v>
      </c>
      <c r="M19">
        <v>18</v>
      </c>
      <c r="N19" t="str">
        <f>A19&amp;COUNTIF($A$2:A19,"○")</f>
        <v>4</v>
      </c>
    </row>
    <row r="20" spans="1:14" x14ac:dyDescent="0.55000000000000004">
      <c r="B20" t="s">
        <v>277</v>
      </c>
      <c r="C20" t="s">
        <v>219</v>
      </c>
      <c r="D20" t="s">
        <v>19</v>
      </c>
      <c r="E20" t="s">
        <v>144</v>
      </c>
      <c r="F20">
        <v>1680</v>
      </c>
      <c r="G20">
        <v>1590</v>
      </c>
      <c r="H20">
        <v>1224</v>
      </c>
      <c r="I20" t="s">
        <v>4</v>
      </c>
      <c r="J20">
        <v>10</v>
      </c>
      <c r="K20" s="11">
        <v>0.6</v>
      </c>
      <c r="L20">
        <v>22000</v>
      </c>
      <c r="M20">
        <v>19</v>
      </c>
      <c r="N20" t="str">
        <f>A20&amp;COUNTIF($A$2:A20,"○")</f>
        <v>4</v>
      </c>
    </row>
    <row r="21" spans="1:14" x14ac:dyDescent="0.55000000000000004">
      <c r="B21" t="s">
        <v>277</v>
      </c>
      <c r="C21" t="s">
        <v>220</v>
      </c>
      <c r="D21" t="s">
        <v>19</v>
      </c>
      <c r="E21" t="s">
        <v>153</v>
      </c>
      <c r="F21">
        <v>1469</v>
      </c>
      <c r="G21">
        <v>1559</v>
      </c>
      <c r="H21">
        <v>1469</v>
      </c>
      <c r="I21" t="s">
        <v>172</v>
      </c>
      <c r="J21">
        <v>10</v>
      </c>
      <c r="K21" s="11">
        <v>0.6</v>
      </c>
      <c r="L21">
        <v>16000</v>
      </c>
      <c r="M21">
        <v>20</v>
      </c>
      <c r="N21" t="str">
        <f>A21&amp;COUNTIF($A$2:A21,"○")</f>
        <v>4</v>
      </c>
    </row>
    <row r="22" spans="1:14" x14ac:dyDescent="0.55000000000000004">
      <c r="B22" t="s">
        <v>277</v>
      </c>
      <c r="C22" t="s">
        <v>221</v>
      </c>
      <c r="D22" t="s">
        <v>19</v>
      </c>
      <c r="E22" t="s">
        <v>144</v>
      </c>
      <c r="F22">
        <v>1590</v>
      </c>
      <c r="G22">
        <v>1224</v>
      </c>
      <c r="H22">
        <v>1680</v>
      </c>
      <c r="I22" t="s">
        <v>3</v>
      </c>
      <c r="J22">
        <v>1</v>
      </c>
      <c r="K22" s="11">
        <v>0.8</v>
      </c>
      <c r="L22">
        <v>17000</v>
      </c>
      <c r="M22">
        <v>21</v>
      </c>
      <c r="N22" t="str">
        <f>A22&amp;COUNTIF($A$2:A22,"○")</f>
        <v>4</v>
      </c>
    </row>
    <row r="23" spans="1:14" x14ac:dyDescent="0.55000000000000004">
      <c r="B23" t="s">
        <v>277</v>
      </c>
      <c r="C23" t="s">
        <v>210</v>
      </c>
      <c r="D23" t="s">
        <v>19</v>
      </c>
      <c r="E23" t="s">
        <v>153</v>
      </c>
      <c r="F23">
        <v>1777</v>
      </c>
      <c r="G23">
        <v>1497</v>
      </c>
      <c r="H23">
        <v>933</v>
      </c>
      <c r="I23" t="s">
        <v>3</v>
      </c>
      <c r="J23">
        <v>1</v>
      </c>
      <c r="M23">
        <v>22</v>
      </c>
      <c r="N23" t="str">
        <f>A23&amp;COUNTIF($A$2:A23,"○")</f>
        <v>4</v>
      </c>
    </row>
    <row r="24" spans="1:14" x14ac:dyDescent="0.55000000000000004">
      <c r="B24" t="s">
        <v>277</v>
      </c>
      <c r="C24" t="s">
        <v>212</v>
      </c>
      <c r="D24" t="s">
        <v>20</v>
      </c>
      <c r="E24" t="s">
        <v>153</v>
      </c>
      <c r="F24">
        <v>1458</v>
      </c>
      <c r="G24">
        <v>1209</v>
      </c>
      <c r="H24">
        <v>1458</v>
      </c>
      <c r="I24" t="s">
        <v>172</v>
      </c>
      <c r="J24">
        <v>8</v>
      </c>
      <c r="M24">
        <v>23</v>
      </c>
      <c r="N24" t="str">
        <f>A24&amp;COUNTIF($A$2:A24,"○")</f>
        <v>4</v>
      </c>
    </row>
    <row r="25" spans="1:14" x14ac:dyDescent="0.55000000000000004">
      <c r="B25" t="s">
        <v>277</v>
      </c>
      <c r="C25" t="s">
        <v>222</v>
      </c>
      <c r="D25" t="s">
        <v>20</v>
      </c>
      <c r="E25" t="s">
        <v>144</v>
      </c>
      <c r="F25">
        <v>1410</v>
      </c>
      <c r="G25">
        <v>1224</v>
      </c>
      <c r="H25">
        <v>1860</v>
      </c>
      <c r="I25" t="s">
        <v>200</v>
      </c>
      <c r="J25">
        <v>5</v>
      </c>
      <c r="K25" s="11" t="s">
        <v>271</v>
      </c>
      <c r="L25">
        <v>28000</v>
      </c>
      <c r="M25">
        <v>24</v>
      </c>
      <c r="N25" t="str">
        <f>A25&amp;COUNTIF($A$2:A25,"○")</f>
        <v>4</v>
      </c>
    </row>
    <row r="26" spans="1:14" x14ac:dyDescent="0.55000000000000004">
      <c r="B26" t="s">
        <v>277</v>
      </c>
      <c r="C26" t="s">
        <v>223</v>
      </c>
      <c r="D26" t="s">
        <v>20</v>
      </c>
      <c r="E26" t="s">
        <v>147</v>
      </c>
      <c r="F26">
        <v>1739</v>
      </c>
      <c r="G26">
        <v>1289</v>
      </c>
      <c r="H26">
        <v>1469</v>
      </c>
      <c r="I26" t="s">
        <v>3</v>
      </c>
      <c r="J26">
        <v>1</v>
      </c>
      <c r="K26" s="11">
        <v>0.8</v>
      </c>
      <c r="L26">
        <v>17000</v>
      </c>
      <c r="M26">
        <v>25</v>
      </c>
      <c r="N26" t="str">
        <f>A26&amp;COUNTIF($A$2:A26,"○")</f>
        <v>4</v>
      </c>
    </row>
    <row r="27" spans="1:14" x14ac:dyDescent="0.55000000000000004">
      <c r="B27" t="s">
        <v>277</v>
      </c>
      <c r="C27" t="s">
        <v>210</v>
      </c>
      <c r="D27" t="s">
        <v>20</v>
      </c>
      <c r="E27" t="s">
        <v>153</v>
      </c>
      <c r="F27">
        <v>1680</v>
      </c>
      <c r="G27">
        <v>1224</v>
      </c>
      <c r="H27">
        <v>1590</v>
      </c>
      <c r="I27" t="s">
        <v>172</v>
      </c>
      <c r="J27">
        <v>10</v>
      </c>
      <c r="K27" s="11">
        <v>0.6</v>
      </c>
      <c r="L27">
        <v>16000</v>
      </c>
      <c r="M27">
        <v>26</v>
      </c>
      <c r="N27" t="str">
        <f>A27&amp;COUNTIF($A$2:A27,"○")</f>
        <v>4</v>
      </c>
    </row>
    <row r="28" spans="1:14" x14ac:dyDescent="0.55000000000000004">
      <c r="A28" t="s">
        <v>27</v>
      </c>
      <c r="B28" t="s">
        <v>277</v>
      </c>
      <c r="C28" t="s">
        <v>224</v>
      </c>
      <c r="D28" t="s">
        <v>20</v>
      </c>
      <c r="E28" t="s">
        <v>147</v>
      </c>
      <c r="F28">
        <v>1768</v>
      </c>
      <c r="G28">
        <v>1141</v>
      </c>
      <c r="H28">
        <v>2048</v>
      </c>
      <c r="I28" t="s">
        <v>4</v>
      </c>
      <c r="J28">
        <v>10</v>
      </c>
      <c r="K28" s="11">
        <v>0.6</v>
      </c>
      <c r="L28">
        <v>16000</v>
      </c>
      <c r="M28">
        <v>27</v>
      </c>
      <c r="N28" t="str">
        <f>A28&amp;COUNTIF($A$2:A28,"○")</f>
        <v>○5</v>
      </c>
    </row>
    <row r="29" spans="1:14" x14ac:dyDescent="0.55000000000000004">
      <c r="A29" t="s">
        <v>27</v>
      </c>
      <c r="B29" t="s">
        <v>277</v>
      </c>
      <c r="C29" t="s">
        <v>207</v>
      </c>
      <c r="D29" t="s">
        <v>21</v>
      </c>
      <c r="E29" t="s">
        <v>147</v>
      </c>
      <c r="F29">
        <v>1593</v>
      </c>
      <c r="G29">
        <v>1863</v>
      </c>
      <c r="H29">
        <v>1413</v>
      </c>
      <c r="I29" t="s">
        <v>1</v>
      </c>
      <c r="J29">
        <v>10</v>
      </c>
      <c r="K29" s="11" t="s">
        <v>271</v>
      </c>
      <c r="L29">
        <v>37000</v>
      </c>
      <c r="M29">
        <v>28</v>
      </c>
      <c r="N29" t="str">
        <f>A29&amp;COUNTIF($A$2:A29,"○")</f>
        <v>○6</v>
      </c>
    </row>
    <row r="30" spans="1:14" x14ac:dyDescent="0.55000000000000004">
      <c r="B30" t="s">
        <v>277</v>
      </c>
      <c r="C30" t="s">
        <v>212</v>
      </c>
      <c r="D30" t="s">
        <v>21</v>
      </c>
      <c r="E30" t="s">
        <v>144</v>
      </c>
      <c r="F30">
        <v>1548</v>
      </c>
      <c r="G30">
        <v>1119</v>
      </c>
      <c r="H30">
        <v>1458</v>
      </c>
      <c r="I30" t="s">
        <v>172</v>
      </c>
      <c r="J30">
        <v>9</v>
      </c>
      <c r="K30" s="11"/>
      <c r="M30">
        <v>29</v>
      </c>
      <c r="N30" t="str">
        <f>A30&amp;COUNTIF($A$2:A30,"○")</f>
        <v>6</v>
      </c>
    </row>
    <row r="31" spans="1:14" x14ac:dyDescent="0.55000000000000004">
      <c r="B31" t="s">
        <v>277</v>
      </c>
      <c r="C31" t="s">
        <v>225</v>
      </c>
      <c r="D31" t="s">
        <v>21</v>
      </c>
      <c r="E31" t="s">
        <v>153</v>
      </c>
      <c r="F31">
        <v>1593</v>
      </c>
      <c r="G31">
        <v>1683</v>
      </c>
      <c r="H31">
        <v>1593</v>
      </c>
      <c r="I31" t="s">
        <v>199</v>
      </c>
      <c r="J31">
        <v>8</v>
      </c>
      <c r="K31" s="11" t="s">
        <v>271</v>
      </c>
      <c r="L31">
        <v>31000</v>
      </c>
      <c r="M31">
        <v>30</v>
      </c>
      <c r="N31" t="str">
        <f>A31&amp;COUNTIF($A$2:A31,"○")</f>
        <v>6</v>
      </c>
    </row>
    <row r="32" spans="1:14" x14ac:dyDescent="0.55000000000000004">
      <c r="B32" t="s">
        <v>277</v>
      </c>
      <c r="C32" t="s">
        <v>226</v>
      </c>
      <c r="D32" t="s">
        <v>21</v>
      </c>
      <c r="E32" t="s">
        <v>147</v>
      </c>
      <c r="F32">
        <v>1410</v>
      </c>
      <c r="G32">
        <v>1224</v>
      </c>
      <c r="H32">
        <v>1860</v>
      </c>
      <c r="I32" t="s">
        <v>1</v>
      </c>
      <c r="J32">
        <v>10</v>
      </c>
      <c r="K32" s="11" t="s">
        <v>271</v>
      </c>
      <c r="L32">
        <v>34000</v>
      </c>
      <c r="M32">
        <v>31</v>
      </c>
      <c r="N32" t="str">
        <f>A32&amp;COUNTIF($A$2:A32,"○")</f>
        <v>6</v>
      </c>
    </row>
    <row r="33" spans="1:14" x14ac:dyDescent="0.55000000000000004">
      <c r="B33" t="s">
        <v>277</v>
      </c>
      <c r="C33" t="s">
        <v>227</v>
      </c>
      <c r="D33" t="s">
        <v>21</v>
      </c>
      <c r="E33" t="s">
        <v>144</v>
      </c>
      <c r="F33">
        <v>1054</v>
      </c>
      <c r="G33">
        <v>1672</v>
      </c>
      <c r="H33">
        <v>1952</v>
      </c>
      <c r="I33" t="s">
        <v>4</v>
      </c>
      <c r="J33">
        <v>10</v>
      </c>
      <c r="K33" s="11">
        <v>0.6</v>
      </c>
      <c r="L33">
        <v>19000</v>
      </c>
      <c r="M33">
        <v>32</v>
      </c>
      <c r="N33" t="str">
        <f>A33&amp;COUNTIF($A$2:A33,"○")</f>
        <v>6</v>
      </c>
    </row>
    <row r="34" spans="1:14" x14ac:dyDescent="0.55000000000000004">
      <c r="B34" t="s">
        <v>277</v>
      </c>
      <c r="C34" t="s">
        <v>228</v>
      </c>
      <c r="D34" t="s">
        <v>21</v>
      </c>
      <c r="E34" t="s">
        <v>144</v>
      </c>
      <c r="F34">
        <v>1768</v>
      </c>
      <c r="G34">
        <v>1141</v>
      </c>
      <c r="H34">
        <v>2048</v>
      </c>
      <c r="I34" t="s">
        <v>199</v>
      </c>
      <c r="J34">
        <v>10</v>
      </c>
      <c r="K34" s="11" t="s">
        <v>271</v>
      </c>
      <c r="L34">
        <v>33000</v>
      </c>
      <c r="M34">
        <v>33</v>
      </c>
      <c r="N34" t="str">
        <f>A34&amp;COUNTIF($A$2:A34,"○")</f>
        <v>6</v>
      </c>
    </row>
    <row r="35" spans="1:14" x14ac:dyDescent="0.55000000000000004">
      <c r="B35" t="s">
        <v>277</v>
      </c>
      <c r="C35" t="s">
        <v>226</v>
      </c>
      <c r="D35" t="s">
        <v>22</v>
      </c>
      <c r="E35" t="s">
        <v>144</v>
      </c>
      <c r="F35">
        <v>1119</v>
      </c>
      <c r="G35">
        <v>1728</v>
      </c>
      <c r="H35">
        <v>1278</v>
      </c>
      <c r="I35" t="s">
        <v>1</v>
      </c>
      <c r="J35">
        <v>9</v>
      </c>
      <c r="M35">
        <v>34</v>
      </c>
      <c r="N35" t="str">
        <f>A35&amp;COUNTIF($A$2:A35,"○")</f>
        <v>6</v>
      </c>
    </row>
    <row r="36" spans="1:14" x14ac:dyDescent="0.55000000000000004">
      <c r="B36" t="s">
        <v>277</v>
      </c>
      <c r="C36" t="s">
        <v>225</v>
      </c>
      <c r="D36" t="s">
        <v>22</v>
      </c>
      <c r="E36" t="s">
        <v>147</v>
      </c>
      <c r="F36">
        <v>1863</v>
      </c>
      <c r="G36">
        <v>1593</v>
      </c>
      <c r="H36">
        <v>1413</v>
      </c>
      <c r="I36" t="s">
        <v>199</v>
      </c>
      <c r="J36">
        <v>10</v>
      </c>
      <c r="K36" s="11" t="s">
        <v>271</v>
      </c>
      <c r="L36">
        <v>31000</v>
      </c>
      <c r="M36">
        <v>35</v>
      </c>
      <c r="N36" t="str">
        <f>A36&amp;COUNTIF($A$2:A36,"○")</f>
        <v>6</v>
      </c>
    </row>
    <row r="37" spans="1:14" x14ac:dyDescent="0.55000000000000004">
      <c r="B37" t="s">
        <v>277</v>
      </c>
      <c r="C37" t="s">
        <v>237</v>
      </c>
      <c r="D37" t="s">
        <v>22</v>
      </c>
      <c r="E37" t="s">
        <v>144</v>
      </c>
      <c r="F37">
        <v>1912</v>
      </c>
      <c r="G37">
        <v>1632</v>
      </c>
      <c r="H37">
        <v>1037</v>
      </c>
      <c r="I37" t="s">
        <v>4</v>
      </c>
      <c r="J37">
        <v>10</v>
      </c>
      <c r="K37" s="11">
        <v>0.6</v>
      </c>
      <c r="L37">
        <v>22000</v>
      </c>
      <c r="M37">
        <v>36</v>
      </c>
      <c r="N37" t="str">
        <f>A37&amp;COUNTIF($A$2:A37,"○")</f>
        <v>6</v>
      </c>
    </row>
    <row r="38" spans="1:14" x14ac:dyDescent="0.55000000000000004">
      <c r="B38" t="s">
        <v>277</v>
      </c>
      <c r="C38" t="s">
        <v>229</v>
      </c>
      <c r="D38" t="s">
        <v>22</v>
      </c>
      <c r="E38" t="s">
        <v>153</v>
      </c>
      <c r="F38">
        <v>1723</v>
      </c>
      <c r="G38">
        <v>1329</v>
      </c>
      <c r="H38">
        <v>1813</v>
      </c>
      <c r="I38" t="s">
        <v>3</v>
      </c>
      <c r="J38">
        <v>10</v>
      </c>
      <c r="K38" s="11">
        <v>0.8</v>
      </c>
      <c r="L38">
        <v>21000</v>
      </c>
      <c r="M38">
        <v>37</v>
      </c>
      <c r="N38" t="str">
        <f>A38&amp;COUNTIF($A$2:A38,"○")</f>
        <v>6</v>
      </c>
    </row>
    <row r="39" spans="1:14" x14ac:dyDescent="0.55000000000000004">
      <c r="B39" t="s">
        <v>277</v>
      </c>
      <c r="C39" t="s">
        <v>230</v>
      </c>
      <c r="D39" t="s">
        <v>22</v>
      </c>
      <c r="E39" t="s">
        <v>153</v>
      </c>
      <c r="F39">
        <v>1141</v>
      </c>
      <c r="G39">
        <v>2048</v>
      </c>
      <c r="H39">
        <v>1768</v>
      </c>
      <c r="I39" t="s">
        <v>172</v>
      </c>
      <c r="J39">
        <v>10</v>
      </c>
      <c r="K39" s="11">
        <v>0.6</v>
      </c>
      <c r="L39">
        <v>16000</v>
      </c>
      <c r="M39">
        <v>38</v>
      </c>
      <c r="N39" t="str">
        <f>A39&amp;COUNTIF($A$2:A39,"○")</f>
        <v>6</v>
      </c>
    </row>
    <row r="40" spans="1:14" x14ac:dyDescent="0.55000000000000004">
      <c r="B40" t="s">
        <v>277</v>
      </c>
      <c r="C40" t="s">
        <v>212</v>
      </c>
      <c r="D40" t="s">
        <v>23</v>
      </c>
      <c r="E40" t="s">
        <v>153</v>
      </c>
      <c r="F40">
        <v>1458</v>
      </c>
      <c r="G40">
        <v>1389</v>
      </c>
      <c r="H40">
        <v>1278</v>
      </c>
      <c r="I40" t="s">
        <v>172</v>
      </c>
      <c r="J40">
        <v>9</v>
      </c>
      <c r="M40">
        <v>39</v>
      </c>
      <c r="N40" t="str">
        <f>A40&amp;COUNTIF($A$2:A40,"○")</f>
        <v>6</v>
      </c>
    </row>
    <row r="41" spans="1:14" x14ac:dyDescent="0.55000000000000004">
      <c r="B41" t="s">
        <v>277</v>
      </c>
      <c r="C41" t="s">
        <v>225</v>
      </c>
      <c r="D41" t="s">
        <v>23</v>
      </c>
      <c r="E41" t="s">
        <v>144</v>
      </c>
      <c r="F41">
        <v>1593</v>
      </c>
      <c r="G41">
        <v>1863</v>
      </c>
      <c r="H41">
        <v>1413</v>
      </c>
      <c r="I41" t="s">
        <v>199</v>
      </c>
      <c r="J41">
        <v>8</v>
      </c>
      <c r="K41" s="11" t="s">
        <v>271</v>
      </c>
      <c r="L41">
        <v>31000</v>
      </c>
      <c r="M41">
        <v>40</v>
      </c>
      <c r="N41" t="str">
        <f>A41&amp;COUNTIF($A$2:A41,"○")</f>
        <v>6</v>
      </c>
    </row>
    <row r="42" spans="1:14" x14ac:dyDescent="0.55000000000000004">
      <c r="B42" t="s">
        <v>277</v>
      </c>
      <c r="C42" t="s">
        <v>231</v>
      </c>
      <c r="D42" t="s">
        <v>23</v>
      </c>
      <c r="E42" t="s">
        <v>153</v>
      </c>
      <c r="F42">
        <v>933</v>
      </c>
      <c r="G42">
        <v>1777</v>
      </c>
      <c r="H42">
        <v>1497</v>
      </c>
      <c r="I42" t="s">
        <v>172</v>
      </c>
      <c r="J42">
        <v>9</v>
      </c>
      <c r="M42">
        <v>41</v>
      </c>
      <c r="N42" t="str">
        <f>A42&amp;COUNTIF($A$2:A42,"○")</f>
        <v>6</v>
      </c>
    </row>
    <row r="43" spans="1:14" x14ac:dyDescent="0.55000000000000004">
      <c r="B43" t="s">
        <v>277</v>
      </c>
      <c r="C43" t="s">
        <v>211</v>
      </c>
      <c r="D43" t="s">
        <v>23</v>
      </c>
      <c r="E43" t="s">
        <v>144</v>
      </c>
      <c r="F43">
        <v>1911</v>
      </c>
      <c r="G43">
        <v>1339</v>
      </c>
      <c r="H43">
        <v>1811</v>
      </c>
      <c r="I43" t="s">
        <v>4</v>
      </c>
      <c r="J43">
        <v>10</v>
      </c>
      <c r="K43" s="11">
        <v>0.6</v>
      </c>
      <c r="L43">
        <v>16000</v>
      </c>
      <c r="M43">
        <v>42</v>
      </c>
      <c r="N43" t="str">
        <f>A43&amp;COUNTIF($A$2:A43,"○")</f>
        <v>6</v>
      </c>
    </row>
    <row r="44" spans="1:14" x14ac:dyDescent="0.55000000000000004">
      <c r="B44" t="s">
        <v>277</v>
      </c>
      <c r="C44" t="s">
        <v>207</v>
      </c>
      <c r="D44" t="s">
        <v>24</v>
      </c>
      <c r="E44" t="s">
        <v>144</v>
      </c>
      <c r="F44">
        <v>1616</v>
      </c>
      <c r="G44">
        <v>1346</v>
      </c>
      <c r="H44">
        <v>1166</v>
      </c>
      <c r="I44" t="s">
        <v>1</v>
      </c>
      <c r="J44">
        <v>8</v>
      </c>
      <c r="M44">
        <v>43</v>
      </c>
      <c r="N44" t="str">
        <f>A44&amp;COUNTIF($A$2:A44,"○")</f>
        <v>6</v>
      </c>
    </row>
    <row r="45" spans="1:14" x14ac:dyDescent="0.55000000000000004">
      <c r="B45" t="s">
        <v>277</v>
      </c>
      <c r="C45" t="s">
        <v>225</v>
      </c>
      <c r="D45" t="s">
        <v>24</v>
      </c>
      <c r="E45" t="s">
        <v>144</v>
      </c>
      <c r="F45">
        <v>1224</v>
      </c>
      <c r="G45">
        <v>1590</v>
      </c>
      <c r="H45">
        <v>1680</v>
      </c>
      <c r="I45" t="s">
        <v>199</v>
      </c>
      <c r="J45">
        <v>10</v>
      </c>
      <c r="K45" s="11" t="s">
        <v>271</v>
      </c>
      <c r="L45">
        <v>31000</v>
      </c>
      <c r="M45">
        <v>44</v>
      </c>
      <c r="N45" t="str">
        <f>A45&amp;COUNTIF($A$2:A45,"○")</f>
        <v>6</v>
      </c>
    </row>
    <row r="46" spans="1:14" x14ac:dyDescent="0.55000000000000004">
      <c r="A46" t="s">
        <v>27</v>
      </c>
      <c r="B46" t="s">
        <v>277</v>
      </c>
      <c r="C46" t="s">
        <v>229</v>
      </c>
      <c r="D46" t="s">
        <v>24</v>
      </c>
      <c r="E46" t="s">
        <v>147</v>
      </c>
      <c r="F46">
        <v>1329</v>
      </c>
      <c r="G46">
        <v>1813</v>
      </c>
      <c r="H46">
        <v>1723</v>
      </c>
      <c r="I46" t="s">
        <v>172</v>
      </c>
      <c r="J46">
        <v>10</v>
      </c>
      <c r="K46" s="11">
        <v>0.6</v>
      </c>
      <c r="L46">
        <v>18000</v>
      </c>
      <c r="M46">
        <v>45</v>
      </c>
      <c r="N46" t="str">
        <f>A46&amp;COUNTIF($A$2:A46,"○")</f>
        <v>○7</v>
      </c>
    </row>
  </sheetData>
  <autoFilter ref="A1:P1" xr:uid="{09D3C692-FD55-4A20-99EA-226DB262258C}"/>
  <phoneticPr fontId="1"/>
  <dataValidations count="1">
    <dataValidation type="whole" allowBlank="1" showInputMessage="1" showErrorMessage="1" sqref="J2:J1048576" xr:uid="{16C90FDA-6E41-4704-A99B-4B09773B92E2}">
      <formula1>1</formula1>
      <formula2>10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6E748331-0A8B-42A2-80C6-B872453A6A93}">
          <x14:formula1>
            <xm:f>Index!$C$2:$C$12</xm:f>
          </x14:formula1>
          <xm:sqref>D2:D1048576</xm:sqref>
        </x14:dataValidation>
        <x14:dataValidation type="list" allowBlank="1" showInputMessage="1" showErrorMessage="1" xr:uid="{848CCE23-0F05-4203-BDDB-44BC1F972DB0}">
          <x14:formula1>
            <xm:f>Index!$D$2:$D$4</xm:f>
          </x14:formula1>
          <xm:sqref>E2:E1048576</xm:sqref>
        </x14:dataValidation>
        <x14:dataValidation type="list" allowBlank="1" showInputMessage="1" showErrorMessage="1" xr:uid="{59F31A6B-E443-48E6-8DB0-18550BFB6879}">
          <x14:formula1>
            <xm:f>Index!$E$2:$E$7</xm:f>
          </x14:formula1>
          <xm:sqref>I2:I1048576</xm:sqref>
        </x14:dataValidation>
        <x14:dataValidation type="list" allowBlank="1" showInputMessage="1" showErrorMessage="1" xr:uid="{FE78AD50-9E5D-488D-91F9-E756F9C542F4}">
          <x14:formula1>
            <xm:f>Index!$F$2:$F$4</xm:f>
          </x14:formula1>
          <xm:sqref>K2:K1048576</xm:sqref>
        </x14:dataValidation>
        <x14:dataValidation type="list" showInputMessage="1" showErrorMessage="1" xr:uid="{78E45F15-DA37-47E8-A2F7-30E8DC668F17}">
          <x14:formula1>
            <xm:f>Index!B2:B3</xm:f>
          </x14:formula1>
          <xm:sqref>B2:B1048576</xm:sqref>
        </x14:dataValidation>
        <x14:dataValidation type="list" allowBlank="1" showInputMessage="1" showErrorMessage="1" xr:uid="{26A1ADD9-4E7D-43FC-8481-AEFD1A77F809}">
          <x14:formula1>
            <xm:f>Index!A2:A3</xm:f>
          </x14:formula1>
          <xm:sqref>A2:A1048576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2ADBE-E05F-4F9C-A0D1-11790C066578}">
  <dimension ref="A1:N22"/>
  <sheetViews>
    <sheetView workbookViewId="0">
      <selection activeCell="A23" sqref="A23"/>
    </sheetView>
  </sheetViews>
  <sheetFormatPr defaultRowHeight="18" x14ac:dyDescent="0.55000000000000004"/>
  <sheetData>
    <row r="1" spans="1:14" ht="18.5" thickBot="1" x14ac:dyDescent="0.6">
      <c r="A1" t="s">
        <v>233</v>
      </c>
      <c r="B1" t="s">
        <v>278</v>
      </c>
      <c r="C1" t="s">
        <v>261</v>
      </c>
      <c r="D1" s="10" t="s">
        <v>262</v>
      </c>
      <c r="E1" s="10" t="s">
        <v>191</v>
      </c>
      <c r="F1" s="10" t="s">
        <v>192</v>
      </c>
      <c r="G1" s="10" t="s">
        <v>193</v>
      </c>
      <c r="H1" s="10" t="s">
        <v>194</v>
      </c>
      <c r="I1" s="10" t="s">
        <v>195</v>
      </c>
      <c r="J1" s="10" t="s">
        <v>196</v>
      </c>
      <c r="K1" s="10" t="s">
        <v>197</v>
      </c>
      <c r="L1" s="10" t="s">
        <v>198</v>
      </c>
      <c r="M1" t="s">
        <v>260</v>
      </c>
      <c r="N1" s="12" t="s">
        <v>241</v>
      </c>
    </row>
    <row r="2" spans="1:14" x14ac:dyDescent="0.55000000000000004">
      <c r="B2" t="s">
        <v>277</v>
      </c>
      <c r="C2" t="s">
        <v>263</v>
      </c>
      <c r="D2" t="s">
        <v>20</v>
      </c>
      <c r="E2" t="s">
        <v>144</v>
      </c>
      <c r="F2">
        <v>1777</v>
      </c>
      <c r="G2">
        <v>1497</v>
      </c>
      <c r="H2">
        <v>933</v>
      </c>
      <c r="I2" t="s">
        <v>4</v>
      </c>
      <c r="J2">
        <v>10</v>
      </c>
      <c r="M2">
        <v>1</v>
      </c>
      <c r="N2" t="str">
        <f>A2&amp;COUNTIF($A$2:A2,"○")</f>
        <v>0</v>
      </c>
    </row>
    <row r="3" spans="1:14" x14ac:dyDescent="0.55000000000000004">
      <c r="B3" t="s">
        <v>277</v>
      </c>
      <c r="C3" t="s">
        <v>264</v>
      </c>
      <c r="D3" t="s">
        <v>23</v>
      </c>
      <c r="E3" t="s">
        <v>144</v>
      </c>
      <c r="F3">
        <v>1911</v>
      </c>
      <c r="G3">
        <v>1339</v>
      </c>
      <c r="H3">
        <v>1811</v>
      </c>
      <c r="I3" t="s">
        <v>4</v>
      </c>
      <c r="J3">
        <v>10</v>
      </c>
      <c r="K3" s="11">
        <v>0.6</v>
      </c>
      <c r="L3">
        <v>20000</v>
      </c>
      <c r="M3">
        <v>2</v>
      </c>
      <c r="N3" t="str">
        <f>A3&amp;COUNTIF($A$2:A3,"○")</f>
        <v>0</v>
      </c>
    </row>
    <row r="4" spans="1:14" x14ac:dyDescent="0.55000000000000004">
      <c r="B4" t="s">
        <v>277</v>
      </c>
      <c r="C4" t="s">
        <v>265</v>
      </c>
      <c r="D4" t="s">
        <v>19</v>
      </c>
      <c r="E4" t="s">
        <v>144</v>
      </c>
      <c r="F4">
        <v>1826</v>
      </c>
      <c r="G4">
        <v>1404</v>
      </c>
      <c r="H4">
        <v>1916</v>
      </c>
      <c r="I4" t="s">
        <v>3</v>
      </c>
      <c r="J4">
        <v>10</v>
      </c>
      <c r="K4" s="11">
        <v>0.8</v>
      </c>
      <c r="L4">
        <v>27000</v>
      </c>
      <c r="M4">
        <v>3</v>
      </c>
      <c r="N4" t="str">
        <f>A4&amp;COUNTIF($A$2:A4,"○")</f>
        <v>0</v>
      </c>
    </row>
    <row r="5" spans="1:14" x14ac:dyDescent="0.55000000000000004">
      <c r="B5" t="s">
        <v>277</v>
      </c>
      <c r="C5" t="s">
        <v>208</v>
      </c>
      <c r="D5" t="s">
        <v>14</v>
      </c>
      <c r="E5" t="s">
        <v>144</v>
      </c>
      <c r="F5">
        <v>2126</v>
      </c>
      <c r="G5">
        <v>1856</v>
      </c>
      <c r="H5">
        <v>1254</v>
      </c>
      <c r="I5" t="s">
        <v>199</v>
      </c>
      <c r="J5">
        <v>10</v>
      </c>
      <c r="K5" s="11" t="s">
        <v>272</v>
      </c>
      <c r="L5">
        <v>37000</v>
      </c>
      <c r="M5">
        <v>4</v>
      </c>
      <c r="N5" t="str">
        <f>A5&amp;COUNTIF($A$2:A5,"○")</f>
        <v>0</v>
      </c>
    </row>
    <row r="6" spans="1:14" x14ac:dyDescent="0.55000000000000004">
      <c r="B6" t="s">
        <v>277</v>
      </c>
      <c r="C6" t="s">
        <v>209</v>
      </c>
      <c r="D6" t="s">
        <v>14</v>
      </c>
      <c r="E6" t="s">
        <v>144</v>
      </c>
      <c r="F6">
        <v>1813</v>
      </c>
      <c r="G6">
        <v>1239</v>
      </c>
      <c r="H6">
        <v>1813</v>
      </c>
      <c r="I6" t="s">
        <v>172</v>
      </c>
      <c r="J6">
        <v>10</v>
      </c>
      <c r="K6" s="11">
        <v>0.6</v>
      </c>
      <c r="L6">
        <v>20000</v>
      </c>
      <c r="M6">
        <v>5</v>
      </c>
      <c r="N6" t="str">
        <f>A6&amp;COUNTIF($A$2:A6,"○")</f>
        <v>0</v>
      </c>
    </row>
    <row r="7" spans="1:14" x14ac:dyDescent="0.55000000000000004">
      <c r="B7" t="s">
        <v>277</v>
      </c>
      <c r="C7" t="s">
        <v>219</v>
      </c>
      <c r="D7" t="s">
        <v>19</v>
      </c>
      <c r="E7" t="s">
        <v>144</v>
      </c>
      <c r="F7">
        <v>1680</v>
      </c>
      <c r="G7">
        <v>1590</v>
      </c>
      <c r="H7">
        <v>1224</v>
      </c>
      <c r="I7" t="s">
        <v>4</v>
      </c>
      <c r="J7">
        <v>10</v>
      </c>
      <c r="K7" s="11">
        <v>0.6</v>
      </c>
      <c r="L7">
        <v>25000</v>
      </c>
      <c r="M7">
        <v>6</v>
      </c>
      <c r="N7" t="str">
        <f>A7&amp;COUNTIF($A$2:A7,"○")</f>
        <v>0</v>
      </c>
    </row>
    <row r="8" spans="1:14" x14ac:dyDescent="0.55000000000000004">
      <c r="B8" t="s">
        <v>277</v>
      </c>
      <c r="C8" t="s">
        <v>214</v>
      </c>
      <c r="D8" t="s">
        <v>16</v>
      </c>
      <c r="E8" t="s">
        <v>144</v>
      </c>
      <c r="F8">
        <v>2184</v>
      </c>
      <c r="G8">
        <v>1245</v>
      </c>
      <c r="H8">
        <v>1904</v>
      </c>
      <c r="I8" t="s">
        <v>1</v>
      </c>
      <c r="J8">
        <v>10</v>
      </c>
      <c r="K8" s="11" t="s">
        <v>272</v>
      </c>
      <c r="L8">
        <v>37000</v>
      </c>
      <c r="M8">
        <v>7</v>
      </c>
      <c r="N8" t="str">
        <f>A8&amp;COUNTIF($A$2:A8,"○")</f>
        <v>0</v>
      </c>
    </row>
    <row r="9" spans="1:14" x14ac:dyDescent="0.55000000000000004">
      <c r="A9" t="s">
        <v>27</v>
      </c>
      <c r="B9" t="s">
        <v>277</v>
      </c>
      <c r="C9" t="s">
        <v>210</v>
      </c>
      <c r="D9" t="s">
        <v>17</v>
      </c>
      <c r="E9" t="s">
        <v>153</v>
      </c>
      <c r="F9">
        <v>1434</v>
      </c>
      <c r="G9">
        <v>1856</v>
      </c>
      <c r="H9">
        <v>1946</v>
      </c>
      <c r="I9" t="s">
        <v>3</v>
      </c>
      <c r="J9">
        <v>10</v>
      </c>
      <c r="K9" s="11">
        <v>0.8</v>
      </c>
      <c r="L9">
        <v>27000</v>
      </c>
      <c r="M9">
        <v>8</v>
      </c>
      <c r="N9" t="str">
        <f>A9&amp;COUNTIF($A$2:A9,"○")</f>
        <v>○1</v>
      </c>
    </row>
    <row r="10" spans="1:14" x14ac:dyDescent="0.55000000000000004">
      <c r="A10" t="s">
        <v>27</v>
      </c>
      <c r="B10" t="s">
        <v>277</v>
      </c>
      <c r="C10" t="s">
        <v>225</v>
      </c>
      <c r="D10" t="s">
        <v>21</v>
      </c>
      <c r="E10" t="s">
        <v>153</v>
      </c>
      <c r="F10">
        <v>1716</v>
      </c>
      <c r="G10">
        <v>1806</v>
      </c>
      <c r="H10">
        <v>1716</v>
      </c>
      <c r="I10" t="s">
        <v>199</v>
      </c>
      <c r="J10">
        <v>10</v>
      </c>
      <c r="K10" s="11" t="s">
        <v>272</v>
      </c>
      <c r="L10">
        <v>35000</v>
      </c>
      <c r="M10">
        <v>9</v>
      </c>
      <c r="N10" t="str">
        <f>A10&amp;COUNTIF($A$2:A10,"○")</f>
        <v>○2</v>
      </c>
    </row>
    <row r="11" spans="1:14" x14ac:dyDescent="0.55000000000000004">
      <c r="A11" t="s">
        <v>27</v>
      </c>
      <c r="B11" t="s">
        <v>277</v>
      </c>
      <c r="C11" t="s">
        <v>264</v>
      </c>
      <c r="D11" t="s">
        <v>15</v>
      </c>
      <c r="E11" t="s">
        <v>153</v>
      </c>
      <c r="F11">
        <v>1856</v>
      </c>
      <c r="G11">
        <v>1946</v>
      </c>
      <c r="H11">
        <v>1434</v>
      </c>
      <c r="I11" t="s">
        <v>172</v>
      </c>
      <c r="J11">
        <v>10</v>
      </c>
      <c r="K11" s="11">
        <v>0.6</v>
      </c>
      <c r="L11">
        <v>22000</v>
      </c>
      <c r="M11">
        <v>10</v>
      </c>
      <c r="N11" t="str">
        <f>A11&amp;COUNTIF($A$2:A11,"○")</f>
        <v>○3</v>
      </c>
    </row>
    <row r="12" spans="1:14" x14ac:dyDescent="0.55000000000000004">
      <c r="A12" t="s">
        <v>27</v>
      </c>
      <c r="B12" t="s">
        <v>277</v>
      </c>
      <c r="C12" t="s">
        <v>210</v>
      </c>
      <c r="D12" t="s">
        <v>19</v>
      </c>
      <c r="E12" t="s">
        <v>153</v>
      </c>
      <c r="F12">
        <v>2046</v>
      </c>
      <c r="G12">
        <v>1768</v>
      </c>
      <c r="H12">
        <v>1141</v>
      </c>
      <c r="I12" t="s">
        <v>3</v>
      </c>
      <c r="J12">
        <v>10</v>
      </c>
      <c r="K12" s="11">
        <v>0.8</v>
      </c>
      <c r="L12">
        <v>27000</v>
      </c>
      <c r="M12">
        <v>11</v>
      </c>
      <c r="N12" t="str">
        <f>A12&amp;COUNTIF($A$2:A12,"○")</f>
        <v>○4</v>
      </c>
    </row>
    <row r="13" spans="1:14" x14ac:dyDescent="0.55000000000000004">
      <c r="A13" t="s">
        <v>27</v>
      </c>
      <c r="B13" t="s">
        <v>277</v>
      </c>
      <c r="C13" t="s">
        <v>212</v>
      </c>
      <c r="D13" t="s">
        <v>15</v>
      </c>
      <c r="E13" t="s">
        <v>153</v>
      </c>
      <c r="F13">
        <v>1856</v>
      </c>
      <c r="G13">
        <v>1434</v>
      </c>
      <c r="H13">
        <v>1946</v>
      </c>
      <c r="I13" t="s">
        <v>172</v>
      </c>
      <c r="J13">
        <v>10</v>
      </c>
      <c r="K13" s="11">
        <v>0.6</v>
      </c>
      <c r="L13">
        <v>28000</v>
      </c>
      <c r="M13">
        <v>12</v>
      </c>
      <c r="N13" t="str">
        <f>A13&amp;COUNTIF($A$2:A13,"○")</f>
        <v>○5</v>
      </c>
    </row>
    <row r="14" spans="1:14" x14ac:dyDescent="0.55000000000000004">
      <c r="A14" t="s">
        <v>27</v>
      </c>
      <c r="B14" t="s">
        <v>277</v>
      </c>
      <c r="C14" t="s">
        <v>210</v>
      </c>
      <c r="D14" t="s">
        <v>20</v>
      </c>
      <c r="E14" t="s">
        <v>153</v>
      </c>
      <c r="F14">
        <v>1813</v>
      </c>
      <c r="G14">
        <v>1329</v>
      </c>
      <c r="H14">
        <v>1723</v>
      </c>
      <c r="I14" t="s">
        <v>172</v>
      </c>
      <c r="J14">
        <v>10</v>
      </c>
      <c r="K14" s="11">
        <v>0.6</v>
      </c>
      <c r="L14">
        <v>18000</v>
      </c>
      <c r="M14">
        <v>13</v>
      </c>
      <c r="N14" t="str">
        <f>A14&amp;COUNTIF($A$2:A14,"○")</f>
        <v>○6</v>
      </c>
    </row>
    <row r="15" spans="1:14" x14ac:dyDescent="0.55000000000000004">
      <c r="A15" t="s">
        <v>27</v>
      </c>
      <c r="B15" t="s">
        <v>277</v>
      </c>
      <c r="C15" t="s">
        <v>220</v>
      </c>
      <c r="D15" t="s">
        <v>19</v>
      </c>
      <c r="E15" t="s">
        <v>153</v>
      </c>
      <c r="F15">
        <v>1686</v>
      </c>
      <c r="G15">
        <v>1776</v>
      </c>
      <c r="H15">
        <v>1686</v>
      </c>
      <c r="I15" t="s">
        <v>172</v>
      </c>
      <c r="J15">
        <v>10</v>
      </c>
      <c r="K15" s="11">
        <v>0.6</v>
      </c>
      <c r="L15">
        <v>22000</v>
      </c>
      <c r="M15">
        <v>14</v>
      </c>
      <c r="N15" t="str">
        <f>A15&amp;COUNTIF($A$2:A15,"○")</f>
        <v>○7</v>
      </c>
    </row>
    <row r="16" spans="1:14" x14ac:dyDescent="0.55000000000000004">
      <c r="B16" t="s">
        <v>277</v>
      </c>
      <c r="C16" t="s">
        <v>210</v>
      </c>
      <c r="D16" t="s">
        <v>15</v>
      </c>
      <c r="E16" t="s">
        <v>147</v>
      </c>
      <c r="F16">
        <v>1920</v>
      </c>
      <c r="G16">
        <v>2020</v>
      </c>
      <c r="H16">
        <v>1414</v>
      </c>
      <c r="I16" t="s">
        <v>199</v>
      </c>
      <c r="J16">
        <v>10</v>
      </c>
      <c r="K16" s="11" t="s">
        <v>272</v>
      </c>
      <c r="L16">
        <v>37000</v>
      </c>
      <c r="M16">
        <v>15</v>
      </c>
      <c r="N16" t="str">
        <f>A16&amp;COUNTIF($A$2:A16,"○")</f>
        <v>7</v>
      </c>
    </row>
    <row r="17" spans="2:14" x14ac:dyDescent="0.55000000000000004">
      <c r="B17" t="s">
        <v>277</v>
      </c>
      <c r="C17" t="s">
        <v>212</v>
      </c>
      <c r="D17" t="s">
        <v>19</v>
      </c>
      <c r="E17" t="s">
        <v>147</v>
      </c>
      <c r="F17">
        <v>1860</v>
      </c>
      <c r="G17">
        <v>1224</v>
      </c>
      <c r="H17">
        <v>1410</v>
      </c>
      <c r="I17" t="s">
        <v>172</v>
      </c>
      <c r="J17">
        <v>10</v>
      </c>
      <c r="K17" s="11">
        <v>0.6</v>
      </c>
      <c r="L17">
        <v>25000</v>
      </c>
      <c r="M17">
        <v>16</v>
      </c>
      <c r="N17" t="str">
        <f>A17&amp;COUNTIF($A$2:A17,"○")</f>
        <v>7</v>
      </c>
    </row>
    <row r="18" spans="2:14" x14ac:dyDescent="0.55000000000000004">
      <c r="B18" t="s">
        <v>277</v>
      </c>
      <c r="C18" t="s">
        <v>266</v>
      </c>
      <c r="D18" t="s">
        <v>16</v>
      </c>
      <c r="E18" t="s">
        <v>147</v>
      </c>
      <c r="F18">
        <v>1716</v>
      </c>
      <c r="G18">
        <v>1716</v>
      </c>
      <c r="H18">
        <v>1806</v>
      </c>
      <c r="I18" t="s">
        <v>172</v>
      </c>
      <c r="J18">
        <v>10</v>
      </c>
      <c r="K18" s="11">
        <v>0.6</v>
      </c>
      <c r="L18">
        <v>22000</v>
      </c>
      <c r="M18">
        <v>17</v>
      </c>
      <c r="N18" t="str">
        <f>A18&amp;COUNTIF($A$2:A18,"○")</f>
        <v>7</v>
      </c>
    </row>
    <row r="19" spans="2:14" x14ac:dyDescent="0.55000000000000004">
      <c r="B19" t="s">
        <v>277</v>
      </c>
      <c r="C19" t="s">
        <v>223</v>
      </c>
      <c r="D19" t="s">
        <v>20</v>
      </c>
      <c r="E19" t="s">
        <v>147</v>
      </c>
      <c r="F19">
        <v>1863</v>
      </c>
      <c r="G19">
        <v>1413</v>
      </c>
      <c r="H19">
        <v>1593</v>
      </c>
      <c r="I19" t="s">
        <v>3</v>
      </c>
      <c r="J19">
        <v>10</v>
      </c>
      <c r="K19" s="11">
        <v>0.8</v>
      </c>
      <c r="L19">
        <v>27000</v>
      </c>
      <c r="M19">
        <v>18</v>
      </c>
      <c r="N19" t="str">
        <f>A19&amp;COUNTIF($A$2:A19,"○")</f>
        <v>7</v>
      </c>
    </row>
    <row r="20" spans="2:14" x14ac:dyDescent="0.55000000000000004">
      <c r="B20" t="s">
        <v>277</v>
      </c>
      <c r="C20" t="s">
        <v>264</v>
      </c>
      <c r="D20" t="s">
        <v>18</v>
      </c>
      <c r="E20" t="s">
        <v>147</v>
      </c>
      <c r="F20">
        <v>1723</v>
      </c>
      <c r="G20">
        <v>1723</v>
      </c>
      <c r="H20">
        <v>1419</v>
      </c>
      <c r="I20" t="s">
        <v>1</v>
      </c>
      <c r="J20">
        <v>10</v>
      </c>
      <c r="K20" s="11" t="s">
        <v>272</v>
      </c>
      <c r="L20">
        <v>37000</v>
      </c>
      <c r="M20">
        <v>19</v>
      </c>
      <c r="N20" t="str">
        <f>A20&amp;COUNTIF($A$2:A20,"○")</f>
        <v>7</v>
      </c>
    </row>
    <row r="21" spans="2:14" x14ac:dyDescent="0.55000000000000004">
      <c r="B21" t="s">
        <v>277</v>
      </c>
      <c r="C21" t="s">
        <v>224</v>
      </c>
      <c r="D21" t="s">
        <v>20</v>
      </c>
      <c r="E21" t="s">
        <v>147</v>
      </c>
      <c r="F21">
        <v>1904</v>
      </c>
      <c r="G21">
        <v>1245</v>
      </c>
      <c r="H21">
        <v>2184</v>
      </c>
      <c r="I21" t="s">
        <v>4</v>
      </c>
      <c r="J21">
        <v>10</v>
      </c>
      <c r="K21" s="11">
        <v>0.6</v>
      </c>
      <c r="L21">
        <v>22000</v>
      </c>
      <c r="M21">
        <v>20</v>
      </c>
      <c r="N21" t="str">
        <f>A21&amp;COUNTIF($A$2:A21,"○")</f>
        <v>7</v>
      </c>
    </row>
    <row r="22" spans="2:14" x14ac:dyDescent="0.55000000000000004">
      <c r="B22" t="s">
        <v>277</v>
      </c>
      <c r="C22" t="s">
        <v>215</v>
      </c>
      <c r="D22" t="s">
        <v>17</v>
      </c>
      <c r="E22" t="s">
        <v>147</v>
      </c>
      <c r="F22">
        <v>1856</v>
      </c>
      <c r="G22">
        <v>2126</v>
      </c>
      <c r="H22">
        <v>1254</v>
      </c>
      <c r="I22" t="s">
        <v>172</v>
      </c>
      <c r="J22">
        <v>10</v>
      </c>
      <c r="K22" s="11">
        <v>0.6</v>
      </c>
      <c r="L22">
        <v>22000</v>
      </c>
      <c r="M22">
        <v>21</v>
      </c>
      <c r="N22" t="str">
        <f>A22&amp;COUNTIF($A$2:A22,"○")</f>
        <v>7</v>
      </c>
    </row>
  </sheetData>
  <phoneticPr fontId="1"/>
  <dataValidations count="1">
    <dataValidation type="whole" allowBlank="1" showInputMessage="1" showErrorMessage="1" sqref="J2:J1048576" xr:uid="{0BF203E6-AB2A-4ECE-88E1-D83078E1FF09}">
      <formula1>1</formula1>
      <formula2>10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5CC46190-FAB3-479A-8CCD-7E0F323264A1}">
          <x14:formula1>
            <xm:f>Index!$A$2:$A$3</xm:f>
          </x14:formula1>
          <xm:sqref>A2:A1048576</xm:sqref>
        </x14:dataValidation>
        <x14:dataValidation type="list" allowBlank="1" showInputMessage="1" showErrorMessage="1" xr:uid="{0717291A-6B17-4A8E-A1DA-0CD37F1530F6}">
          <x14:formula1>
            <xm:f>Index!$C$2:$C$12</xm:f>
          </x14:formula1>
          <xm:sqref>D2:D1048576</xm:sqref>
        </x14:dataValidation>
        <x14:dataValidation type="list" allowBlank="1" showInputMessage="1" showErrorMessage="1" xr:uid="{2EB64909-56C0-4BFC-9C60-2C45B28ECADD}">
          <x14:formula1>
            <xm:f>Index!$D$2:$D$4</xm:f>
          </x14:formula1>
          <xm:sqref>E2:E1048576</xm:sqref>
        </x14:dataValidation>
        <x14:dataValidation type="list" allowBlank="1" showInputMessage="1" showErrorMessage="1" xr:uid="{3B75D015-5B25-44EA-B050-7F04C6DFB56D}">
          <x14:formula1>
            <xm:f>Index!$E$2:$E$7</xm:f>
          </x14:formula1>
          <xm:sqref>I2:I1048576</xm:sqref>
        </x14:dataValidation>
        <x14:dataValidation type="list" allowBlank="1" showInputMessage="1" showErrorMessage="1" xr:uid="{F9D48BEC-510C-4A0C-9BB1-77171F746DEA}">
          <x14:formula1>
            <xm:f>Index!$F$2:$F$4</xm:f>
          </x14:formula1>
          <xm:sqref>K2:K1048576</xm:sqref>
        </x14:dataValidation>
        <x14:dataValidation type="list" showInputMessage="1" showErrorMessage="1" xr:uid="{CF10FEB8-37D0-4267-8EE0-CE35CBFDE97A}">
          <x14:formula1>
            <xm:f>Index!B2:B3</xm:f>
          </x14:formula1>
          <xm:sqref>B2:B1048576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4012F-8945-4BC3-A095-F15EA275299C}">
  <dimension ref="A1:Y28"/>
  <sheetViews>
    <sheetView tabSelected="1" topLeftCell="B10" workbookViewId="0">
      <selection activeCell="E24" sqref="E24"/>
    </sheetView>
  </sheetViews>
  <sheetFormatPr defaultRowHeight="18" x14ac:dyDescent="0.55000000000000004"/>
  <cols>
    <col min="1" max="1" width="16.25" bestFit="1" customWidth="1"/>
    <col min="2" max="2" width="11.25" bestFit="1" customWidth="1"/>
    <col min="7" max="7" width="8.6640625" customWidth="1"/>
    <col min="11" max="11" width="8.6640625" customWidth="1"/>
  </cols>
  <sheetData>
    <row r="1" spans="1:17" ht="18.5" thickBot="1" x14ac:dyDescent="0.6">
      <c r="A1" t="s">
        <v>240</v>
      </c>
      <c r="B1" t="s">
        <v>282</v>
      </c>
      <c r="D1" s="13"/>
      <c r="E1" s="20" t="s">
        <v>243</v>
      </c>
      <c r="F1" s="22">
        <f>H3-SUM(F2:F5)</f>
        <v>564</v>
      </c>
      <c r="G1" s="21"/>
      <c r="H1" s="13"/>
      <c r="I1" s="13"/>
      <c r="J1" s="13"/>
      <c r="K1" s="13"/>
    </row>
    <row r="2" spans="1:17" ht="18.5" thickBot="1" x14ac:dyDescent="0.6">
      <c r="A2" t="s">
        <v>142</v>
      </c>
      <c r="B2" s="23" t="s">
        <v>281</v>
      </c>
      <c r="D2" s="14"/>
      <c r="E2" s="14" t="s">
        <v>145</v>
      </c>
      <c r="F2" s="17">
        <v>20</v>
      </c>
      <c r="G2" s="14"/>
      <c r="H2" s="14"/>
      <c r="I2" s="14"/>
      <c r="J2" s="14"/>
      <c r="K2" s="14"/>
    </row>
    <row r="3" spans="1:17" ht="18.5" thickBot="1" x14ac:dyDescent="0.6">
      <c r="A3" t="s">
        <v>202</v>
      </c>
      <c r="B3" s="24" t="s">
        <v>205</v>
      </c>
      <c r="C3" s="25">
        <v>63</v>
      </c>
      <c r="D3" s="14"/>
      <c r="E3" s="14" t="s">
        <v>244</v>
      </c>
      <c r="F3" s="17">
        <v>0</v>
      </c>
      <c r="G3" s="16" t="s">
        <v>0</v>
      </c>
      <c r="H3" s="14">
        <f>INDEX(曲データ!E:E,MATCH(B2,曲データ!B:B,0))</f>
        <v>584</v>
      </c>
      <c r="I3" s="14"/>
      <c r="J3" s="14"/>
      <c r="K3" s="14"/>
    </row>
    <row r="4" spans="1:17" ht="18.5" thickBot="1" x14ac:dyDescent="0.6">
      <c r="A4" t="s">
        <v>203</v>
      </c>
      <c r="B4" s="24" t="s">
        <v>205</v>
      </c>
      <c r="C4" s="25">
        <v>66</v>
      </c>
      <c r="D4" s="14"/>
      <c r="E4" s="14" t="s">
        <v>245</v>
      </c>
      <c r="F4" s="17">
        <v>0</v>
      </c>
      <c r="G4" t="s">
        <v>267</v>
      </c>
      <c r="H4">
        <f>ROUNDDOWN(H3/50,0)</f>
        <v>11</v>
      </c>
      <c r="I4" s="14"/>
      <c r="J4" s="14"/>
      <c r="K4" s="14"/>
    </row>
    <row r="5" spans="1:17" ht="18.5" thickBot="1" x14ac:dyDescent="0.6">
      <c r="A5" t="s">
        <v>238</v>
      </c>
      <c r="B5" s="24" t="s">
        <v>205</v>
      </c>
      <c r="C5" s="25">
        <v>2</v>
      </c>
      <c r="D5" s="14"/>
      <c r="E5" s="14" t="s">
        <v>246</v>
      </c>
      <c r="F5" s="18">
        <v>0</v>
      </c>
      <c r="G5" s="16" t="s">
        <v>247</v>
      </c>
      <c r="H5" s="19">
        <v>0</v>
      </c>
      <c r="I5" s="14"/>
      <c r="J5" s="14"/>
      <c r="K5" s="14"/>
    </row>
    <row r="6" spans="1:17" x14ac:dyDescent="0.55000000000000004">
      <c r="D6" s="14"/>
      <c r="E6" s="14"/>
      <c r="F6" s="14"/>
      <c r="G6" s="14"/>
      <c r="H6" s="14"/>
      <c r="I6" s="14"/>
      <c r="J6" s="14"/>
      <c r="K6" s="14"/>
    </row>
    <row r="7" spans="1:17" ht="18.5" thickBot="1" x14ac:dyDescent="0.6">
      <c r="A7" t="s">
        <v>242</v>
      </c>
      <c r="B7" t="s">
        <v>278</v>
      </c>
      <c r="C7" t="s">
        <v>232</v>
      </c>
      <c r="D7" s="10" t="s">
        <v>190</v>
      </c>
      <c r="E7" s="13" t="s">
        <v>191</v>
      </c>
      <c r="F7" s="13" t="s">
        <v>192</v>
      </c>
      <c r="G7" s="13" t="s">
        <v>193</v>
      </c>
      <c r="H7" s="13" t="s">
        <v>194</v>
      </c>
      <c r="I7" s="13" t="s">
        <v>195</v>
      </c>
      <c r="J7" s="13" t="s">
        <v>196</v>
      </c>
      <c r="K7" s="13" t="s">
        <v>197</v>
      </c>
      <c r="L7" s="13" t="s">
        <v>198</v>
      </c>
      <c r="N7" s="14" t="s">
        <v>254</v>
      </c>
      <c r="O7" s="16" t="s">
        <v>279</v>
      </c>
      <c r="P7" s="16"/>
      <c r="Q7" s="16"/>
    </row>
    <row r="8" spans="1:17" x14ac:dyDescent="0.55000000000000004">
      <c r="A8">
        <v>1</v>
      </c>
      <c r="B8" t="str">
        <f t="shared" ref="B8:B14" ca="1" si="0">INDEX(INDIRECT("'"&amp;$B$1&amp;"'!A1:L100"),MATCH("○"&amp;$A8,INDIRECT("'"&amp;$B$1&amp;"'!N:N"),),2)</f>
        <v>UR</v>
      </c>
      <c r="C8" t="str">
        <f t="shared" ref="C8:C14" ca="1" si="1">INDEX(INDIRECT("'"&amp;$B$1&amp;"'!A1:L100"),MATCH("○"&amp;$A8,INDIRECT("'"&amp;$B$1&amp;"'!N:N"),),3)</f>
        <v>ヴィラン</v>
      </c>
      <c r="D8" t="str">
        <f t="shared" ref="D8:D14" ca="1" si="2">INDEX(INDIRECT("'"&amp;$B$1&amp;"'!A1:L100"),MATCH("○"&amp;$A8,INDIRECT("'"&amp;$B$1&amp;"'!N:N"),),4)</f>
        <v>那月</v>
      </c>
      <c r="E8" t="str">
        <f t="shared" ref="E8:E14" ca="1" si="3">INDEX(INDIRECT("'"&amp;$B$1&amp;"'!A1:L100"),MATCH("○"&amp;$A8,INDIRECT("'"&amp;$B$1&amp;"'!N:N"),),5)</f>
        <v>Star</v>
      </c>
      <c r="F8">
        <f t="shared" ref="F8:F14" ca="1" si="4">INDEX(INDIRECT("'"&amp;$B$1&amp;"'!A1:L100"),MATCH("○"&amp;$A8,INDIRECT("'"&amp;$B$1&amp;"'!N:N"),),6)</f>
        <v>1469</v>
      </c>
      <c r="G8">
        <f t="shared" ref="G8:G14" ca="1" si="5">INDEX(INDIRECT("'"&amp;$B$1&amp;"'!A1:L100"),MATCH("○"&amp;$A8,INDIRECT("'"&amp;$B$1&amp;"'!N:N"),),7)</f>
        <v>1469</v>
      </c>
      <c r="H8">
        <f t="shared" ref="H8:H14" ca="1" si="6">INDEX(INDIRECT("'"&amp;$B$1&amp;"'!A1:L100"),MATCH("○"&amp;$A8,INDIRECT("'"&amp;$B$1&amp;"'!N:N"),),8)</f>
        <v>1559</v>
      </c>
      <c r="I8" t="str">
        <f t="shared" ref="I8:I14" ca="1" si="7">INDEX(INDIRECT("'"&amp;$B$1&amp;"'!A1:L100"),MATCH("○"&amp;$A8,INDIRECT("'"&amp;$B$1&amp;"'!N:N"),),9)</f>
        <v>スコアノーツ</v>
      </c>
      <c r="J8">
        <f t="shared" ref="J8:J14" ca="1" si="8">INDEX(INDIRECT("'"&amp;$B$1&amp;"'!A1:L100"),MATCH("○"&amp;$A8,INDIRECT("'"&amp;$B$1&amp;"'!N:N"),),10)</f>
        <v>10</v>
      </c>
      <c r="K8">
        <f t="shared" ref="K8:K14" ca="1" si="9">INDEX(INDIRECT("'"&amp;$B$1&amp;"'!A1:L100"),MATCH("○"&amp;$A8,INDIRECT("'"&amp;$B$1&amp;"'!N:N"),),11)</f>
        <v>0.6</v>
      </c>
      <c r="L8">
        <f t="shared" ref="L8:L14" ca="1" si="10">INDEX(INDIRECT("'"&amp;$B$1&amp;"'!A1:L100"),MATCH("○"&amp;$A8,INDIRECT("'"&amp;$B$1&amp;"'!N:N"),),12)</f>
        <v>16000</v>
      </c>
      <c r="N8">
        <f t="shared" ref="N8:N14" ca="1" si="11">ROUNDUP(SUM(F8:H8)*0.3,0)</f>
        <v>1350</v>
      </c>
      <c r="O8">
        <f ca="1">IF(OR(I8=D$17,I8=D$18,I8=D$21),1)*(1+IF(B8="UR",1)+J8)+IF(I8=D$22,1)*(2+IF(B8="UR",1)+J8)+IF(I8=D$19,1)*(10+10*(IF(B8="UR",1)+J8))+IF(I8=D$20,1)*(2.2+0.3*(IF(B8="UR",1)+J8))</f>
        <v>12</v>
      </c>
    </row>
    <row r="9" spans="1:17" x14ac:dyDescent="0.55000000000000004">
      <c r="A9">
        <v>2</v>
      </c>
      <c r="B9" t="str">
        <f t="shared" ca="1" si="0"/>
        <v>UR</v>
      </c>
      <c r="C9" t="str">
        <f t="shared" ca="1" si="1"/>
        <v>探偵</v>
      </c>
      <c r="D9" t="str">
        <f t="shared" ca="1" si="2"/>
        <v>トキヤ</v>
      </c>
      <c r="E9" t="str">
        <f t="shared" ca="1" si="3"/>
        <v>Star</v>
      </c>
      <c r="F9">
        <f t="shared" ca="1" si="4"/>
        <v>1590</v>
      </c>
      <c r="G9">
        <f t="shared" ca="1" si="5"/>
        <v>1860</v>
      </c>
      <c r="H9">
        <f t="shared" ca="1" si="6"/>
        <v>1044</v>
      </c>
      <c r="I9" t="str">
        <f t="shared" ca="1" si="7"/>
        <v>スコアノーツ</v>
      </c>
      <c r="J9">
        <f t="shared" ca="1" si="8"/>
        <v>10</v>
      </c>
      <c r="K9">
        <f t="shared" ca="1" si="9"/>
        <v>0.6</v>
      </c>
      <c r="L9">
        <f t="shared" ca="1" si="10"/>
        <v>16000</v>
      </c>
      <c r="N9">
        <f t="shared" ca="1" si="11"/>
        <v>1349</v>
      </c>
      <c r="O9">
        <f t="shared" ref="O9:O14" ca="1" si="12">IF(OR(I9=D$17,I9=D$18,I9=D$21),1)*(1+IF(B9="UR",1)+J9)+IF(I9=D$22,1)*(2+IF(B9="UR",1)+J9)+IF(I9=D$19,1)*(10+10*(IF(B9="UR",1)+J9))+IF(I9=D$20,1)*(2.2+0.3*(IF(B9="UR",1)+J9))</f>
        <v>12</v>
      </c>
    </row>
    <row r="10" spans="1:17" x14ac:dyDescent="0.55000000000000004">
      <c r="A10">
        <v>3</v>
      </c>
      <c r="B10" t="str">
        <f t="shared" ca="1" si="0"/>
        <v>UR</v>
      </c>
      <c r="C10" t="str">
        <f t="shared" ca="1" si="1"/>
        <v>不良</v>
      </c>
      <c r="D10" t="str">
        <f t="shared" ca="1" si="2"/>
        <v>レン</v>
      </c>
      <c r="E10" t="str">
        <f t="shared" ca="1" si="3"/>
        <v>Star</v>
      </c>
      <c r="F10">
        <f t="shared" ca="1" si="4"/>
        <v>1590</v>
      </c>
      <c r="G10">
        <f t="shared" ca="1" si="5"/>
        <v>1590</v>
      </c>
      <c r="H10">
        <f t="shared" ca="1" si="6"/>
        <v>1314</v>
      </c>
      <c r="I10" t="str">
        <f t="shared" ca="1" si="7"/>
        <v>カットイン</v>
      </c>
      <c r="J10">
        <f t="shared" ca="1" si="8"/>
        <v>8</v>
      </c>
      <c r="K10" t="str">
        <f t="shared" ca="1" si="9"/>
        <v>フルコンボ</v>
      </c>
      <c r="L10">
        <f t="shared" ca="1" si="10"/>
        <v>31000</v>
      </c>
      <c r="N10">
        <f t="shared" ca="1" si="11"/>
        <v>1349</v>
      </c>
      <c r="O10">
        <f t="shared" ca="1" si="12"/>
        <v>100</v>
      </c>
    </row>
    <row r="11" spans="1:17" x14ac:dyDescent="0.55000000000000004">
      <c r="A11">
        <v>4</v>
      </c>
      <c r="B11" t="str">
        <f t="shared" ca="1" si="0"/>
        <v>UR</v>
      </c>
      <c r="C11" t="str">
        <f t="shared" ca="1" si="1"/>
        <v>教授</v>
      </c>
      <c r="D11" t="str">
        <f t="shared" ca="1" si="2"/>
        <v>レン</v>
      </c>
      <c r="E11" t="str">
        <f t="shared" ca="1" si="3"/>
        <v>Star</v>
      </c>
      <c r="F11">
        <f t="shared" ca="1" si="4"/>
        <v>1590</v>
      </c>
      <c r="G11">
        <f t="shared" ca="1" si="5"/>
        <v>1680</v>
      </c>
      <c r="H11">
        <f t="shared" ca="1" si="6"/>
        <v>1224</v>
      </c>
      <c r="I11" t="str">
        <f t="shared" ca="1" si="7"/>
        <v>スコアノーツ</v>
      </c>
      <c r="J11">
        <f t="shared" ca="1" si="8"/>
        <v>12</v>
      </c>
      <c r="K11">
        <f t="shared" ca="1" si="9"/>
        <v>0.6</v>
      </c>
      <c r="L11">
        <f t="shared" ca="1" si="10"/>
        <v>16000</v>
      </c>
      <c r="N11">
        <f t="shared" ca="1" si="11"/>
        <v>1349</v>
      </c>
      <c r="O11">
        <f t="shared" ca="1" si="12"/>
        <v>14</v>
      </c>
    </row>
    <row r="12" spans="1:17" x14ac:dyDescent="0.55000000000000004">
      <c r="A12">
        <v>5</v>
      </c>
      <c r="B12" t="str">
        <f t="shared" ca="1" si="0"/>
        <v>UR</v>
      </c>
      <c r="C12" t="str">
        <f t="shared" ca="1" si="1"/>
        <v>北国</v>
      </c>
      <c r="D12" t="str">
        <f t="shared" ca="1" si="2"/>
        <v>セシル</v>
      </c>
      <c r="E12" t="str">
        <f t="shared" ca="1" si="3"/>
        <v>Star</v>
      </c>
      <c r="F12">
        <f t="shared" ca="1" si="4"/>
        <v>1768</v>
      </c>
      <c r="G12">
        <f t="shared" ca="1" si="5"/>
        <v>1141</v>
      </c>
      <c r="H12">
        <f t="shared" ca="1" si="6"/>
        <v>2048</v>
      </c>
      <c r="I12" t="str">
        <f t="shared" ca="1" si="7"/>
        <v>JP</v>
      </c>
      <c r="J12">
        <f t="shared" ca="1" si="8"/>
        <v>10</v>
      </c>
      <c r="K12">
        <f t="shared" ca="1" si="9"/>
        <v>0.6</v>
      </c>
      <c r="L12">
        <f t="shared" ca="1" si="10"/>
        <v>16000</v>
      </c>
      <c r="N12">
        <f t="shared" ca="1" si="11"/>
        <v>1488</v>
      </c>
      <c r="O12">
        <f t="shared" ca="1" si="12"/>
        <v>5.5</v>
      </c>
    </row>
    <row r="13" spans="1:17" x14ac:dyDescent="0.55000000000000004">
      <c r="A13">
        <v>6</v>
      </c>
      <c r="B13" t="str">
        <f t="shared" ca="1" si="0"/>
        <v>UR</v>
      </c>
      <c r="C13" t="str">
        <f t="shared" ca="1" si="1"/>
        <v>SL</v>
      </c>
      <c r="D13" t="str">
        <f t="shared" ca="1" si="2"/>
        <v>嶺二</v>
      </c>
      <c r="E13" t="str">
        <f t="shared" ca="1" si="3"/>
        <v>Star</v>
      </c>
      <c r="F13">
        <f t="shared" ca="1" si="4"/>
        <v>1593</v>
      </c>
      <c r="G13">
        <f t="shared" ca="1" si="5"/>
        <v>1863</v>
      </c>
      <c r="H13">
        <f t="shared" ca="1" si="6"/>
        <v>1413</v>
      </c>
      <c r="I13" t="str">
        <f t="shared" ca="1" si="7"/>
        <v>カットイン</v>
      </c>
      <c r="J13">
        <f t="shared" ca="1" si="8"/>
        <v>10</v>
      </c>
      <c r="K13" t="str">
        <f t="shared" ca="1" si="9"/>
        <v>フルコンボ</v>
      </c>
      <c r="L13">
        <f t="shared" ca="1" si="10"/>
        <v>37000</v>
      </c>
      <c r="N13">
        <f t="shared" ca="1" si="11"/>
        <v>1461</v>
      </c>
      <c r="O13">
        <f t="shared" ca="1" si="12"/>
        <v>120</v>
      </c>
    </row>
    <row r="14" spans="1:17" x14ac:dyDescent="0.55000000000000004">
      <c r="A14">
        <v>7</v>
      </c>
      <c r="B14" t="str">
        <f t="shared" ca="1" si="0"/>
        <v>UR</v>
      </c>
      <c r="C14" t="str">
        <f t="shared" ca="1" si="1"/>
        <v>マフィア</v>
      </c>
      <c r="D14" t="str">
        <f t="shared" ca="1" si="2"/>
        <v>カミュ</v>
      </c>
      <c r="E14" t="str">
        <f t="shared" ca="1" si="3"/>
        <v>Star</v>
      </c>
      <c r="F14">
        <f t="shared" ca="1" si="4"/>
        <v>1329</v>
      </c>
      <c r="G14">
        <f t="shared" ca="1" si="5"/>
        <v>1813</v>
      </c>
      <c r="H14">
        <f t="shared" ca="1" si="6"/>
        <v>1723</v>
      </c>
      <c r="I14" t="str">
        <f t="shared" ca="1" si="7"/>
        <v>スコアノーツ</v>
      </c>
      <c r="J14">
        <f t="shared" ca="1" si="8"/>
        <v>10</v>
      </c>
      <c r="K14">
        <f t="shared" ca="1" si="9"/>
        <v>0.6</v>
      </c>
      <c r="L14">
        <f t="shared" ca="1" si="10"/>
        <v>18000</v>
      </c>
      <c r="N14">
        <f t="shared" ca="1" si="11"/>
        <v>1460</v>
      </c>
      <c r="O14">
        <f t="shared" ca="1" si="12"/>
        <v>12</v>
      </c>
    </row>
    <row r="16" spans="1:17" x14ac:dyDescent="0.55000000000000004">
      <c r="D16" t="s">
        <v>249</v>
      </c>
      <c r="G16" t="s">
        <v>250</v>
      </c>
    </row>
    <row r="17" spans="1:25" x14ac:dyDescent="0.55000000000000004">
      <c r="A17" t="s">
        <v>204</v>
      </c>
      <c r="B17">
        <f ca="1">SUM(F8:F14)+SUM(G8:G14)+SUM(H8:H14)</f>
        <v>32670</v>
      </c>
      <c r="D17" t="str">
        <f>Index!E2</f>
        <v>スコアノーツ</v>
      </c>
      <c r="E17">
        <f ca="1">SUMIF($I$8:$I$14,D17,$O$8:$O$14)</f>
        <v>50</v>
      </c>
      <c r="G17" s="11" t="str">
        <f>Index!F2</f>
        <v>フルコンボ</v>
      </c>
      <c r="H17">
        <f ca="1">SUMIF($K$8:$K$14,G17,$L$8:$L$14)</f>
        <v>68000</v>
      </c>
      <c r="N17" t="s">
        <v>239</v>
      </c>
      <c r="O17" t="str">
        <f>曲データ!I1</f>
        <v>音也</v>
      </c>
      <c r="P17" t="str">
        <f>曲データ!J1</f>
        <v>真斗</v>
      </c>
      <c r="Q17" t="str">
        <f>曲データ!K1</f>
        <v>那月</v>
      </c>
      <c r="R17" t="str">
        <f>曲データ!L1</f>
        <v>トキヤ</v>
      </c>
      <c r="S17" t="str">
        <f>曲データ!M1</f>
        <v>レン</v>
      </c>
      <c r="T17" t="str">
        <f>曲データ!N1</f>
        <v>翔</v>
      </c>
      <c r="U17" t="str">
        <f>曲データ!O1</f>
        <v>セシル</v>
      </c>
      <c r="V17" t="str">
        <f>曲データ!P1</f>
        <v>嶺二</v>
      </c>
      <c r="W17" t="str">
        <f>曲データ!Q1</f>
        <v>蘭丸</v>
      </c>
      <c r="X17" t="str">
        <f>曲データ!R1</f>
        <v>藍</v>
      </c>
      <c r="Y17" t="str">
        <f>曲データ!S1</f>
        <v>カミュ</v>
      </c>
    </row>
    <row r="18" spans="1:25" x14ac:dyDescent="0.55000000000000004">
      <c r="A18" t="s">
        <v>236</v>
      </c>
      <c r="B18">
        <f ca="1">SUM(N8:N14)</f>
        <v>9806</v>
      </c>
      <c r="D18" t="str">
        <f>Index!E3</f>
        <v>回復</v>
      </c>
      <c r="E18">
        <f t="shared" ref="E18:E22" ca="1" si="13">SUMIF($I$8:$I$14,D18,$O$8:$O$14)</f>
        <v>0</v>
      </c>
      <c r="G18" s="11">
        <f>Index!F3</f>
        <v>0.8</v>
      </c>
      <c r="H18">
        <f ca="1">SUMIF($K$8:$K$14,G18,$L$8:$L$14)</f>
        <v>0</v>
      </c>
      <c r="N18">
        <f>MATCH(B2,曲データ!B:B,0)</f>
        <v>105</v>
      </c>
      <c r="O18" t="str">
        <f>INDEX(曲データ!I:I,$N$18)</f>
        <v>○</v>
      </c>
      <c r="P18" t="str">
        <f>INDEX(曲データ!J:J,$N$18)</f>
        <v>○</v>
      </c>
      <c r="Q18" t="str">
        <f>INDEX(曲データ!K:K,$N$18)</f>
        <v>○</v>
      </c>
      <c r="R18" t="str">
        <f>INDEX(曲データ!L:L,$N$18)</f>
        <v>○</v>
      </c>
      <c r="S18" t="str">
        <f>INDEX(曲データ!M:M,$N$18)</f>
        <v>○</v>
      </c>
      <c r="T18" t="str">
        <f>INDEX(曲データ!N:N,$N$18)</f>
        <v>○</v>
      </c>
      <c r="U18" t="str">
        <f>INDEX(曲データ!O:O,$N$18)</f>
        <v>○</v>
      </c>
      <c r="V18" t="str">
        <f>INDEX(曲データ!P:P,$N$18)</f>
        <v>○</v>
      </c>
      <c r="W18" t="str">
        <f>INDEX(曲データ!Q:Q,$N$18)</f>
        <v>○</v>
      </c>
      <c r="X18" t="str">
        <f>INDEX(曲データ!R:R,$N$18)</f>
        <v>○</v>
      </c>
      <c r="Y18" t="str">
        <f>INDEX(曲データ!S:S,$N$18)</f>
        <v>○</v>
      </c>
    </row>
    <row r="19" spans="1:25" x14ac:dyDescent="0.55000000000000004">
      <c r="A19" t="s">
        <v>234</v>
      </c>
      <c r="B19">
        <f ca="1">SUM(O20:Y20)</f>
        <v>3269</v>
      </c>
      <c r="D19" t="str">
        <f>Index!E4</f>
        <v>カットイン</v>
      </c>
      <c r="E19">
        <f t="shared" ca="1" si="13"/>
        <v>220</v>
      </c>
      <c r="G19" s="11">
        <f>Index!F4</f>
        <v>0.6</v>
      </c>
      <c r="H19">
        <f ca="1">SUMIF($K$8:$K$14,G19,$L$8:$L$14)</f>
        <v>82000</v>
      </c>
      <c r="O19">
        <f ca="1">IF(O18="○",SUMIFS($F8:$F14,$D8:$D14,O17)+SUMIFS($G8:$G14,$D8:$D14,O17)+SUMIFS($H8:$H14,$D8:$D14,O17),0)</f>
        <v>0</v>
      </c>
      <c r="P19">
        <f t="shared" ref="P19:Y19" ca="1" si="14">IF(P18="○",SUMIFS($F8:$F14,$D8:$D14,P17)+SUMIFS($G8:$G14,$D8:$D14,P17)+SUMIFS($H8:$H14,$D8:$D14,P17),0)</f>
        <v>0</v>
      </c>
      <c r="Q19">
        <f t="shared" ca="1" si="14"/>
        <v>4497</v>
      </c>
      <c r="R19">
        <f t="shared" ca="1" si="14"/>
        <v>4494</v>
      </c>
      <c r="S19">
        <f t="shared" ca="1" si="14"/>
        <v>8988</v>
      </c>
      <c r="T19">
        <f t="shared" ca="1" si="14"/>
        <v>0</v>
      </c>
      <c r="U19">
        <f t="shared" ca="1" si="14"/>
        <v>4957</v>
      </c>
      <c r="V19">
        <f t="shared" ca="1" si="14"/>
        <v>4869</v>
      </c>
      <c r="W19">
        <f t="shared" ca="1" si="14"/>
        <v>0</v>
      </c>
      <c r="X19">
        <f t="shared" ca="1" si="14"/>
        <v>0</v>
      </c>
      <c r="Y19">
        <f t="shared" ca="1" si="14"/>
        <v>4865</v>
      </c>
    </row>
    <row r="20" spans="1:25" x14ac:dyDescent="0.55000000000000004">
      <c r="A20" t="s">
        <v>202</v>
      </c>
      <c r="B20">
        <f ca="1">ROUNDUP((IF(B3=F7,SUM(F8:F14))+IF(B3=G7,SUM(G8:G14))+IF(B3=H7,SUM(H8:H14)))*C3/100,0)+ROUNDUP((IF(B4=F7,SUM(F8:F14))+IF(B4=G7,SUM(G8:G14))+IF(B4=H7,SUM(H8:H14)))*C4/100,0)</f>
        <v>14100</v>
      </c>
      <c r="D20" t="str">
        <f>Index!E5</f>
        <v>JP</v>
      </c>
      <c r="E20">
        <f t="shared" ca="1" si="13"/>
        <v>5.5</v>
      </c>
      <c r="O20">
        <f ca="1">ROUNDUP(O19*0.1,0)</f>
        <v>0</v>
      </c>
      <c r="P20">
        <f t="shared" ref="P20:Y20" ca="1" si="15">ROUNDUP(P19*0.1,0)</f>
        <v>0</v>
      </c>
      <c r="Q20">
        <f t="shared" ca="1" si="15"/>
        <v>450</v>
      </c>
      <c r="R20">
        <f t="shared" ca="1" si="15"/>
        <v>450</v>
      </c>
      <c r="S20">
        <f t="shared" ca="1" si="15"/>
        <v>899</v>
      </c>
      <c r="T20">
        <f t="shared" ca="1" si="15"/>
        <v>0</v>
      </c>
      <c r="U20">
        <f t="shared" ca="1" si="15"/>
        <v>496</v>
      </c>
      <c r="V20">
        <f t="shared" ca="1" si="15"/>
        <v>487</v>
      </c>
      <c r="W20">
        <f t="shared" ca="1" si="15"/>
        <v>0</v>
      </c>
      <c r="X20">
        <f t="shared" ca="1" si="15"/>
        <v>0</v>
      </c>
      <c r="Y20">
        <f t="shared" ca="1" si="15"/>
        <v>487</v>
      </c>
    </row>
    <row r="21" spans="1:25" x14ac:dyDescent="0.55000000000000004">
      <c r="A21" t="s">
        <v>235</v>
      </c>
      <c r="B21">
        <f ca="1">(IF(B5=F7,SUM(F8:F14))+IF(B5=G7,SUM(G8:G14))+IF(B5=H7,SUM(H8:H14)))*(C5-1)</f>
        <v>10929</v>
      </c>
      <c r="D21" t="str">
        <f>Index!E6</f>
        <v>補正</v>
      </c>
      <c r="E21">
        <f t="shared" ca="1" si="13"/>
        <v>0</v>
      </c>
    </row>
    <row r="22" spans="1:25" x14ac:dyDescent="0.55000000000000004">
      <c r="A22" t="s">
        <v>206</v>
      </c>
      <c r="B22">
        <f ca="1">SUM(B17:B21)</f>
        <v>70774</v>
      </c>
      <c r="D22" t="str">
        <f>Index!E7</f>
        <v>Bad補正</v>
      </c>
      <c r="E22">
        <f t="shared" ca="1" si="13"/>
        <v>0</v>
      </c>
    </row>
    <row r="24" spans="1:25" x14ac:dyDescent="0.55000000000000004">
      <c r="A24" t="s">
        <v>248</v>
      </c>
      <c r="B24">
        <f ca="1">SUM(E24:E27)</f>
        <v>6209538</v>
      </c>
      <c r="D24" t="s">
        <v>259</v>
      </c>
      <c r="E24">
        <f ca="1">ROUNDUP(SUM(I24:J27),0)</f>
        <v>5532970</v>
      </c>
      <c r="F24" t="s">
        <v>4</v>
      </c>
      <c r="G24">
        <f ca="1">ROUNDUP(B22*0.11,-1)</f>
        <v>7790</v>
      </c>
      <c r="H24" t="s">
        <v>258</v>
      </c>
      <c r="I24">
        <f ca="1">F1*(H3-E17-E18)/H3*(G24+G28)</f>
        <v>4238639.6301369863</v>
      </c>
      <c r="J24">
        <f ca="1">F1*(E17*3+E18*2)/H3*G24</f>
        <v>1128482.8767123288</v>
      </c>
    </row>
    <row r="25" spans="1:25" ht="18.5" thickBot="1" x14ac:dyDescent="0.6">
      <c r="A25" s="26" t="s">
        <v>253</v>
      </c>
      <c r="B25" s="26">
        <f ca="1">ROUNDUP(E24*INDEX(曲データ!H:H,MATCH(B2,曲データ!B:B,0))+SUM(E25:E27),0)</f>
        <v>6748083</v>
      </c>
      <c r="D25" t="s">
        <v>251</v>
      </c>
      <c r="E25">
        <f ca="1">ROUNDUP(B22*0.2*(1+E19/100),0)*(H4-H5)</f>
        <v>498256</v>
      </c>
      <c r="F25" t="s">
        <v>5</v>
      </c>
      <c r="G25">
        <f ca="1">ROUNDUP(B22*0.1,-1)</f>
        <v>7080</v>
      </c>
      <c r="H25" t="s">
        <v>257</v>
      </c>
      <c r="I25">
        <f ca="1">F2*(H3-E17-E18)/H3*G25</f>
        <v>129476.71232876711</v>
      </c>
      <c r="J25">
        <f ca="1">F2*(E17*3+E18*2)/H3*G25</f>
        <v>36369.863013698625</v>
      </c>
    </row>
    <row r="26" spans="1:25" ht="18.5" thickTop="1" x14ac:dyDescent="0.55000000000000004">
      <c r="D26" t="s">
        <v>252</v>
      </c>
      <c r="E26">
        <f ca="1">IF(H5=0,1,0)*ROUNDUP(B22*0.1,0)*4</f>
        <v>28312</v>
      </c>
      <c r="F26" t="s">
        <v>6</v>
      </c>
      <c r="G26">
        <f ca="1">ROUNDUP(B22*0.09,-1)</f>
        <v>6370</v>
      </c>
      <c r="H26" t="s">
        <v>256</v>
      </c>
      <c r="I26">
        <f ca="1">F3*(H3-E17-E18)/H3*G26</f>
        <v>0</v>
      </c>
      <c r="J26">
        <f ca="1">F3*(E17*3+E18*2)/H3*G26</f>
        <v>0</v>
      </c>
    </row>
    <row r="27" spans="1:25" ht="18.5" thickBot="1" x14ac:dyDescent="0.6">
      <c r="A27" s="26" t="s">
        <v>268</v>
      </c>
      <c r="B27" s="26">
        <f ca="1">ROUNDUP(B25/INDEX(曲データ!F:F,MATCH(B2,曲データ!B:B,0))*300+90,0)</f>
        <v>902</v>
      </c>
      <c r="D27" t="s">
        <v>250</v>
      </c>
      <c r="E27">
        <f ca="1">IF(H5=0,H17)+H18+H19</f>
        <v>150000</v>
      </c>
      <c r="F27" t="s">
        <v>7</v>
      </c>
      <c r="G27">
        <f ca="1">ROUNDUP(B22*0.05,-1)</f>
        <v>3540</v>
      </c>
      <c r="H27" t="s">
        <v>255</v>
      </c>
      <c r="I27">
        <f ca="1">F4*(H3-E17-E18)/H3*G27</f>
        <v>0</v>
      </c>
      <c r="J27">
        <f ca="1">F4*(E17*3+E18*2)/H3*G27</f>
        <v>0</v>
      </c>
    </row>
    <row r="28" spans="1:25" ht="18.5" thickTop="1" x14ac:dyDescent="0.55000000000000004">
      <c r="A28" s="15" t="s">
        <v>269</v>
      </c>
      <c r="B28">
        <f ca="1">B27*3</f>
        <v>2706</v>
      </c>
      <c r="F28" t="s">
        <v>283</v>
      </c>
      <c r="G28">
        <f ca="1">ROUNDUP(G24*E20/100,0)</f>
        <v>429</v>
      </c>
    </row>
  </sheetData>
  <phoneticPr fontId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7BA0D-F4DC-4C5B-A886-4CF05E3A486B}">
  <sheetPr codeName="Sheet3"/>
  <dimension ref="A1:P52"/>
  <sheetViews>
    <sheetView workbookViewId="0">
      <selection activeCell="E25" sqref="E25"/>
    </sheetView>
  </sheetViews>
  <sheetFormatPr defaultRowHeight="18" x14ac:dyDescent="0.55000000000000004"/>
  <cols>
    <col min="2" max="2" width="6.6640625" bestFit="1" customWidth="1"/>
    <col min="3" max="3" width="10.4140625" bestFit="1" customWidth="1"/>
    <col min="4" max="4" width="8.5" bestFit="1" customWidth="1"/>
    <col min="5" max="5" width="8.5" customWidth="1"/>
    <col min="6" max="6" width="10.4140625" bestFit="1" customWidth="1"/>
    <col min="12" max="13" width="4.1640625" bestFit="1" customWidth="1"/>
  </cols>
  <sheetData>
    <row r="1" spans="1:16" ht="36.5" thickBot="1" x14ac:dyDescent="0.6">
      <c r="A1" t="s">
        <v>0</v>
      </c>
      <c r="B1" t="s">
        <v>171</v>
      </c>
      <c r="C1" s="1" t="s">
        <v>174</v>
      </c>
      <c r="D1" s="1" t="s">
        <v>175</v>
      </c>
      <c r="E1" s="1" t="s">
        <v>176</v>
      </c>
      <c r="F1" s="1" t="s">
        <v>179</v>
      </c>
      <c r="G1" s="1" t="s">
        <v>177</v>
      </c>
      <c r="H1" s="1" t="s">
        <v>178</v>
      </c>
      <c r="I1" t="s">
        <v>180</v>
      </c>
      <c r="M1">
        <v>100</v>
      </c>
    </row>
    <row r="2" spans="1:16" x14ac:dyDescent="0.55000000000000004">
      <c r="A2">
        <v>300</v>
      </c>
      <c r="B2">
        <f t="shared" ref="B2:B33" si="0">$A2*($L$2*0.11+$L$3*0.1+$L$4*0.09+$L$5*0.05)</f>
        <v>32.700000000000003</v>
      </c>
      <c r="C2">
        <f t="shared" ref="C2:C33" si="1">0.2*(ROUNDDOWN($A2/50,0)-$M$7)</f>
        <v>1.2000000000000002</v>
      </c>
      <c r="D2">
        <f t="shared" ref="D2:D33" si="2">IF(OR($M$5=0,$M$6=9),1,0)*0.1*4</f>
        <v>0.4</v>
      </c>
      <c r="E2">
        <f>D2+C2+B2</f>
        <v>34.300000000000004</v>
      </c>
      <c r="F2">
        <f>C2*$P$4/100</f>
        <v>1.4400000000000004</v>
      </c>
      <c r="G2">
        <f t="shared" ref="G2:G33" si="3">($A2+$P$2*2)*($L$2*0.11+$L$3*0.1+$L$4*0.09+$L$5*0.05)-$B2</f>
        <v>2.6159999999999997</v>
      </c>
      <c r="H2">
        <f t="shared" ref="H2:H33" si="4">($A2+$P$3)*($L$2*0.11+$L$3*0.1+$L$4*0.09+$L$5*0.05)-$B2</f>
        <v>1.3079999999999998</v>
      </c>
      <c r="I2">
        <f t="shared" ref="I2:I33" si="5">$A2*($L$2*0.11*(1+$P$5/100)+$L$3*0.1+$L$4*0.09+$L$5*0.05)-$B2</f>
        <v>1.633499999999998</v>
      </c>
      <c r="K2" t="s">
        <v>4</v>
      </c>
      <c r="L2">
        <f>M2/M1</f>
        <v>0.9</v>
      </c>
      <c r="M2" s="6">
        <f>M1-M3-M4-M5</f>
        <v>90</v>
      </c>
      <c r="O2" t="s">
        <v>2</v>
      </c>
      <c r="P2">
        <v>12</v>
      </c>
    </row>
    <row r="3" spans="1:16" x14ac:dyDescent="0.55000000000000004">
      <c r="A3">
        <v>310</v>
      </c>
      <c r="B3">
        <f t="shared" si="0"/>
        <v>33.790000000000006</v>
      </c>
      <c r="C3">
        <f t="shared" si="1"/>
        <v>1.2000000000000002</v>
      </c>
      <c r="D3">
        <f t="shared" si="2"/>
        <v>0.4</v>
      </c>
      <c r="E3">
        <f t="shared" ref="E3:E52" si="6">D3+C3+B3</f>
        <v>35.390000000000008</v>
      </c>
      <c r="F3">
        <f t="shared" ref="F3:F52" si="7">C3*$P$4/100</f>
        <v>1.4400000000000004</v>
      </c>
      <c r="G3">
        <f t="shared" si="3"/>
        <v>2.6159999999999997</v>
      </c>
      <c r="H3">
        <f t="shared" si="4"/>
        <v>1.3079999999999998</v>
      </c>
      <c r="I3">
        <f t="shared" si="5"/>
        <v>1.6879499999999936</v>
      </c>
      <c r="K3" t="s">
        <v>5</v>
      </c>
      <c r="L3">
        <f>M3/M1</f>
        <v>0.1</v>
      </c>
      <c r="M3" s="7">
        <v>10</v>
      </c>
      <c r="O3" t="s">
        <v>3</v>
      </c>
      <c r="P3">
        <v>12</v>
      </c>
    </row>
    <row r="4" spans="1:16" x14ac:dyDescent="0.55000000000000004">
      <c r="A4">
        <v>320</v>
      </c>
      <c r="B4">
        <f t="shared" si="0"/>
        <v>34.880000000000003</v>
      </c>
      <c r="C4">
        <f t="shared" si="1"/>
        <v>1.2000000000000002</v>
      </c>
      <c r="D4">
        <f t="shared" si="2"/>
        <v>0.4</v>
      </c>
      <c r="E4">
        <f t="shared" si="6"/>
        <v>36.480000000000004</v>
      </c>
      <c r="F4">
        <f t="shared" si="7"/>
        <v>1.4400000000000004</v>
      </c>
      <c r="G4">
        <f t="shared" si="3"/>
        <v>2.6159999999999997</v>
      </c>
      <c r="H4">
        <f t="shared" si="4"/>
        <v>1.3079999999999998</v>
      </c>
      <c r="I4">
        <f t="shared" si="5"/>
        <v>1.7423999999999964</v>
      </c>
      <c r="K4" t="s">
        <v>6</v>
      </c>
      <c r="L4">
        <f>M4/M1</f>
        <v>0</v>
      </c>
      <c r="M4" s="7">
        <f>0</f>
        <v>0</v>
      </c>
      <c r="O4" t="s">
        <v>1</v>
      </c>
      <c r="P4">
        <v>120</v>
      </c>
    </row>
    <row r="5" spans="1:16" x14ac:dyDescent="0.55000000000000004">
      <c r="A5">
        <v>330</v>
      </c>
      <c r="B5">
        <f t="shared" si="0"/>
        <v>35.970000000000006</v>
      </c>
      <c r="C5">
        <f t="shared" si="1"/>
        <v>1.2000000000000002</v>
      </c>
      <c r="D5">
        <f t="shared" si="2"/>
        <v>0.4</v>
      </c>
      <c r="E5">
        <f>D5+C5+B5</f>
        <v>37.570000000000007</v>
      </c>
      <c r="F5">
        <f t="shared" si="7"/>
        <v>1.4400000000000004</v>
      </c>
      <c r="G5">
        <f t="shared" si="3"/>
        <v>2.6159999999999997</v>
      </c>
      <c r="H5">
        <f t="shared" si="4"/>
        <v>1.3079999999999998</v>
      </c>
      <c r="I5">
        <f t="shared" si="5"/>
        <v>1.7968499999999921</v>
      </c>
      <c r="K5" t="s">
        <v>7</v>
      </c>
      <c r="L5">
        <f>M5/M1</f>
        <v>0</v>
      </c>
      <c r="M5" s="7">
        <v>0</v>
      </c>
      <c r="O5" t="s">
        <v>4</v>
      </c>
      <c r="P5">
        <v>5.5</v>
      </c>
    </row>
    <row r="6" spans="1:16" x14ac:dyDescent="0.55000000000000004">
      <c r="A6">
        <v>340</v>
      </c>
      <c r="B6">
        <f t="shared" si="0"/>
        <v>37.06</v>
      </c>
      <c r="C6">
        <f t="shared" si="1"/>
        <v>1.2000000000000002</v>
      </c>
      <c r="D6">
        <f t="shared" si="2"/>
        <v>0.4</v>
      </c>
      <c r="E6">
        <f t="shared" si="6"/>
        <v>38.660000000000004</v>
      </c>
      <c r="F6">
        <f t="shared" si="7"/>
        <v>1.4400000000000004</v>
      </c>
      <c r="G6">
        <f t="shared" si="3"/>
        <v>2.6159999999999997</v>
      </c>
      <c r="H6">
        <f t="shared" si="4"/>
        <v>1.3079999999999998</v>
      </c>
      <c r="I6">
        <f t="shared" si="5"/>
        <v>1.8512999999999948</v>
      </c>
      <c r="K6" t="s">
        <v>173</v>
      </c>
      <c r="L6">
        <v>0</v>
      </c>
      <c r="M6" s="7">
        <v>0</v>
      </c>
    </row>
    <row r="7" spans="1:16" ht="18.5" thickBot="1" x14ac:dyDescent="0.6">
      <c r="A7">
        <v>350</v>
      </c>
      <c r="B7">
        <f t="shared" si="0"/>
        <v>38.150000000000006</v>
      </c>
      <c r="C7">
        <f t="shared" si="1"/>
        <v>1.4000000000000001</v>
      </c>
      <c r="D7">
        <f t="shared" si="2"/>
        <v>0.4</v>
      </c>
      <c r="E7">
        <f t="shared" si="6"/>
        <v>39.950000000000003</v>
      </c>
      <c r="F7">
        <f t="shared" si="7"/>
        <v>1.6800000000000004</v>
      </c>
      <c r="G7">
        <f t="shared" si="3"/>
        <v>2.6159999999999997</v>
      </c>
      <c r="H7">
        <f t="shared" si="4"/>
        <v>1.3079999999999998</v>
      </c>
      <c r="I7">
        <f t="shared" si="5"/>
        <v>1.9057499999999905</v>
      </c>
      <c r="K7" t="s">
        <v>8</v>
      </c>
      <c r="M7" s="8">
        <v>0</v>
      </c>
    </row>
    <row r="8" spans="1:16" x14ac:dyDescent="0.55000000000000004">
      <c r="A8">
        <v>360</v>
      </c>
      <c r="B8">
        <f t="shared" si="0"/>
        <v>39.24</v>
      </c>
      <c r="C8">
        <f t="shared" si="1"/>
        <v>1.4000000000000001</v>
      </c>
      <c r="D8">
        <f t="shared" si="2"/>
        <v>0.4</v>
      </c>
      <c r="E8">
        <f t="shared" si="6"/>
        <v>41.04</v>
      </c>
      <c r="F8">
        <f t="shared" si="7"/>
        <v>1.6800000000000004</v>
      </c>
      <c r="G8">
        <f t="shared" si="3"/>
        <v>2.6160000000000068</v>
      </c>
      <c r="H8">
        <f t="shared" si="4"/>
        <v>1.3079999999999998</v>
      </c>
      <c r="I8">
        <f t="shared" si="5"/>
        <v>1.9601999999999933</v>
      </c>
    </row>
    <row r="9" spans="1:16" x14ac:dyDescent="0.55000000000000004">
      <c r="A9">
        <v>370</v>
      </c>
      <c r="B9">
        <f t="shared" si="0"/>
        <v>40.330000000000005</v>
      </c>
      <c r="C9">
        <f t="shared" si="1"/>
        <v>1.4000000000000001</v>
      </c>
      <c r="D9">
        <f t="shared" si="2"/>
        <v>0.4</v>
      </c>
      <c r="E9">
        <f t="shared" si="6"/>
        <v>42.13</v>
      </c>
      <c r="F9">
        <f t="shared" si="7"/>
        <v>1.6800000000000004</v>
      </c>
      <c r="G9">
        <f t="shared" si="3"/>
        <v>2.6159999999999997</v>
      </c>
      <c r="H9">
        <f t="shared" si="4"/>
        <v>1.3079999999999998</v>
      </c>
      <c r="I9">
        <f t="shared" si="5"/>
        <v>2.0146499999999889</v>
      </c>
    </row>
    <row r="10" spans="1:16" x14ac:dyDescent="0.55000000000000004">
      <c r="A10">
        <v>380</v>
      </c>
      <c r="B10">
        <f t="shared" si="0"/>
        <v>41.42</v>
      </c>
      <c r="C10">
        <f t="shared" si="1"/>
        <v>1.4000000000000001</v>
      </c>
      <c r="D10">
        <f t="shared" si="2"/>
        <v>0.4</v>
      </c>
      <c r="E10">
        <f t="shared" si="6"/>
        <v>43.22</v>
      </c>
      <c r="F10">
        <f t="shared" si="7"/>
        <v>1.6800000000000004</v>
      </c>
      <c r="G10">
        <f t="shared" si="3"/>
        <v>2.6160000000000068</v>
      </c>
      <c r="H10">
        <f t="shared" si="4"/>
        <v>1.3080000000000069</v>
      </c>
      <c r="I10">
        <f t="shared" si="5"/>
        <v>2.0690999999999917</v>
      </c>
    </row>
    <row r="11" spans="1:16" x14ac:dyDescent="0.55000000000000004">
      <c r="A11">
        <v>390</v>
      </c>
      <c r="B11">
        <f t="shared" si="0"/>
        <v>42.510000000000005</v>
      </c>
      <c r="C11">
        <f t="shared" si="1"/>
        <v>1.4000000000000001</v>
      </c>
      <c r="D11">
        <f t="shared" si="2"/>
        <v>0.4</v>
      </c>
      <c r="E11">
        <f t="shared" si="6"/>
        <v>44.31</v>
      </c>
      <c r="F11">
        <f t="shared" si="7"/>
        <v>1.6800000000000004</v>
      </c>
      <c r="G11">
        <f t="shared" si="3"/>
        <v>2.6159999999999997</v>
      </c>
      <c r="H11">
        <f t="shared" si="4"/>
        <v>1.3079999999999998</v>
      </c>
      <c r="I11">
        <f t="shared" si="5"/>
        <v>2.1235499999999945</v>
      </c>
    </row>
    <row r="12" spans="1:16" x14ac:dyDescent="0.55000000000000004">
      <c r="A12">
        <v>400</v>
      </c>
      <c r="B12">
        <f t="shared" si="0"/>
        <v>43.600000000000009</v>
      </c>
      <c r="C12">
        <f t="shared" si="1"/>
        <v>1.6</v>
      </c>
      <c r="D12">
        <f t="shared" si="2"/>
        <v>0.4</v>
      </c>
      <c r="E12">
        <f t="shared" si="6"/>
        <v>45.600000000000009</v>
      </c>
      <c r="F12">
        <f t="shared" si="7"/>
        <v>1.92</v>
      </c>
      <c r="G12">
        <f t="shared" si="3"/>
        <v>2.6159999999999997</v>
      </c>
      <c r="H12">
        <f t="shared" si="4"/>
        <v>1.3079999999999998</v>
      </c>
      <c r="I12">
        <f t="shared" si="5"/>
        <v>2.1779999999999902</v>
      </c>
    </row>
    <row r="13" spans="1:16" x14ac:dyDescent="0.55000000000000004">
      <c r="A13">
        <v>410</v>
      </c>
      <c r="B13">
        <f t="shared" si="0"/>
        <v>44.690000000000005</v>
      </c>
      <c r="C13">
        <f t="shared" si="1"/>
        <v>1.6</v>
      </c>
      <c r="D13">
        <f t="shared" si="2"/>
        <v>0.4</v>
      </c>
      <c r="E13">
        <f t="shared" si="6"/>
        <v>46.690000000000005</v>
      </c>
      <c r="F13">
        <f t="shared" si="7"/>
        <v>1.92</v>
      </c>
      <c r="G13">
        <f t="shared" si="3"/>
        <v>2.6159999999999997</v>
      </c>
      <c r="H13">
        <f t="shared" si="4"/>
        <v>1.3079999999999998</v>
      </c>
      <c r="I13">
        <f t="shared" si="5"/>
        <v>2.2324499999999929</v>
      </c>
    </row>
    <row r="14" spans="1:16" x14ac:dyDescent="0.55000000000000004">
      <c r="A14">
        <v>420</v>
      </c>
      <c r="B14">
        <f t="shared" si="0"/>
        <v>45.780000000000008</v>
      </c>
      <c r="C14">
        <f t="shared" si="1"/>
        <v>1.6</v>
      </c>
      <c r="D14">
        <f t="shared" si="2"/>
        <v>0.4</v>
      </c>
      <c r="E14">
        <f t="shared" si="6"/>
        <v>47.780000000000008</v>
      </c>
      <c r="F14">
        <f t="shared" si="7"/>
        <v>1.92</v>
      </c>
      <c r="G14">
        <f t="shared" si="3"/>
        <v>2.6159999999999997</v>
      </c>
      <c r="H14">
        <f t="shared" si="4"/>
        <v>1.3079999999999998</v>
      </c>
      <c r="I14">
        <f t="shared" si="5"/>
        <v>2.2868999999999886</v>
      </c>
    </row>
    <row r="15" spans="1:16" x14ac:dyDescent="0.55000000000000004">
      <c r="A15">
        <v>430</v>
      </c>
      <c r="B15">
        <f t="shared" si="0"/>
        <v>46.870000000000005</v>
      </c>
      <c r="C15">
        <f t="shared" si="1"/>
        <v>1.6</v>
      </c>
      <c r="D15">
        <f t="shared" si="2"/>
        <v>0.4</v>
      </c>
      <c r="E15">
        <f t="shared" si="6"/>
        <v>48.870000000000005</v>
      </c>
      <c r="F15">
        <f t="shared" si="7"/>
        <v>1.92</v>
      </c>
      <c r="G15">
        <f t="shared" si="3"/>
        <v>2.6159999999999997</v>
      </c>
      <c r="H15">
        <f t="shared" si="4"/>
        <v>1.3079999999999998</v>
      </c>
      <c r="I15">
        <f t="shared" si="5"/>
        <v>2.3413499999999914</v>
      </c>
    </row>
    <row r="16" spans="1:16" x14ac:dyDescent="0.55000000000000004">
      <c r="A16">
        <v>440</v>
      </c>
      <c r="B16">
        <f t="shared" si="0"/>
        <v>47.960000000000008</v>
      </c>
      <c r="C16">
        <f t="shared" si="1"/>
        <v>1.6</v>
      </c>
      <c r="D16">
        <f t="shared" si="2"/>
        <v>0.4</v>
      </c>
      <c r="E16">
        <f t="shared" si="6"/>
        <v>49.960000000000008</v>
      </c>
      <c r="F16">
        <f t="shared" si="7"/>
        <v>1.92</v>
      </c>
      <c r="G16">
        <f t="shared" si="3"/>
        <v>2.6159999999999997</v>
      </c>
      <c r="H16">
        <f t="shared" si="4"/>
        <v>1.3079999999999998</v>
      </c>
      <c r="I16">
        <f t="shared" si="5"/>
        <v>2.3957999999999871</v>
      </c>
    </row>
    <row r="17" spans="1:9" x14ac:dyDescent="0.55000000000000004">
      <c r="A17">
        <v>450</v>
      </c>
      <c r="B17">
        <f t="shared" si="0"/>
        <v>49.050000000000004</v>
      </c>
      <c r="C17">
        <f t="shared" si="1"/>
        <v>1.8</v>
      </c>
      <c r="D17">
        <f t="shared" si="2"/>
        <v>0.4</v>
      </c>
      <c r="E17">
        <f t="shared" si="6"/>
        <v>51.250000000000007</v>
      </c>
      <c r="F17">
        <f t="shared" si="7"/>
        <v>2.16</v>
      </c>
      <c r="G17">
        <f t="shared" si="3"/>
        <v>2.6159999999999997</v>
      </c>
      <c r="H17">
        <f t="shared" si="4"/>
        <v>1.3079999999999998</v>
      </c>
      <c r="I17">
        <f t="shared" si="5"/>
        <v>2.4502499999999898</v>
      </c>
    </row>
    <row r="18" spans="1:9" x14ac:dyDescent="0.55000000000000004">
      <c r="A18">
        <v>460</v>
      </c>
      <c r="B18">
        <f t="shared" si="0"/>
        <v>50.140000000000008</v>
      </c>
      <c r="C18">
        <f t="shared" si="1"/>
        <v>1.8</v>
      </c>
      <c r="D18">
        <f t="shared" si="2"/>
        <v>0.4</v>
      </c>
      <c r="E18">
        <f t="shared" si="6"/>
        <v>52.340000000000011</v>
      </c>
      <c r="F18">
        <f t="shared" si="7"/>
        <v>2.16</v>
      </c>
      <c r="G18">
        <f t="shared" si="3"/>
        <v>2.6159999999999997</v>
      </c>
      <c r="H18">
        <f t="shared" si="4"/>
        <v>1.3079999999999998</v>
      </c>
      <c r="I18">
        <f t="shared" si="5"/>
        <v>2.5046999999999855</v>
      </c>
    </row>
    <row r="19" spans="1:9" x14ac:dyDescent="0.55000000000000004">
      <c r="A19">
        <v>470</v>
      </c>
      <c r="B19">
        <f t="shared" si="0"/>
        <v>51.230000000000004</v>
      </c>
      <c r="C19">
        <f t="shared" si="1"/>
        <v>1.8</v>
      </c>
      <c r="D19">
        <f t="shared" si="2"/>
        <v>0.4</v>
      </c>
      <c r="E19">
        <f t="shared" si="6"/>
        <v>53.430000000000007</v>
      </c>
      <c r="F19">
        <f t="shared" si="7"/>
        <v>2.16</v>
      </c>
      <c r="G19">
        <f t="shared" si="3"/>
        <v>2.6159999999999997</v>
      </c>
      <c r="H19">
        <f t="shared" si="4"/>
        <v>1.3079999999999998</v>
      </c>
      <c r="I19">
        <f t="shared" si="5"/>
        <v>2.5591499999999954</v>
      </c>
    </row>
    <row r="20" spans="1:9" x14ac:dyDescent="0.55000000000000004">
      <c r="A20">
        <v>480</v>
      </c>
      <c r="B20">
        <f t="shared" si="0"/>
        <v>52.320000000000007</v>
      </c>
      <c r="C20">
        <f t="shared" si="1"/>
        <v>1.8</v>
      </c>
      <c r="D20">
        <f t="shared" si="2"/>
        <v>0.4</v>
      </c>
      <c r="E20">
        <f t="shared" si="6"/>
        <v>54.52000000000001</v>
      </c>
      <c r="F20">
        <f t="shared" si="7"/>
        <v>2.16</v>
      </c>
      <c r="G20">
        <f t="shared" si="3"/>
        <v>2.6159999999999997</v>
      </c>
      <c r="H20">
        <f t="shared" si="4"/>
        <v>1.3079999999999998</v>
      </c>
      <c r="I20">
        <f t="shared" si="5"/>
        <v>2.613599999999991</v>
      </c>
    </row>
    <row r="21" spans="1:9" x14ac:dyDescent="0.55000000000000004">
      <c r="A21">
        <v>490</v>
      </c>
      <c r="B21">
        <f t="shared" si="0"/>
        <v>53.410000000000004</v>
      </c>
      <c r="C21">
        <f t="shared" si="1"/>
        <v>1.8</v>
      </c>
      <c r="D21">
        <f t="shared" si="2"/>
        <v>0.4</v>
      </c>
      <c r="E21">
        <f t="shared" si="6"/>
        <v>55.610000000000007</v>
      </c>
      <c r="F21">
        <f t="shared" si="7"/>
        <v>2.16</v>
      </c>
      <c r="G21">
        <f t="shared" si="3"/>
        <v>2.6160000000000068</v>
      </c>
      <c r="H21">
        <f t="shared" si="4"/>
        <v>1.3079999999999998</v>
      </c>
      <c r="I21">
        <f t="shared" si="5"/>
        <v>2.6680499999999938</v>
      </c>
    </row>
    <row r="22" spans="1:9" x14ac:dyDescent="0.55000000000000004">
      <c r="A22">
        <v>500</v>
      </c>
      <c r="B22">
        <f t="shared" si="0"/>
        <v>54.500000000000007</v>
      </c>
      <c r="C22">
        <f t="shared" si="1"/>
        <v>2</v>
      </c>
      <c r="D22">
        <f t="shared" si="2"/>
        <v>0.4</v>
      </c>
      <c r="E22">
        <f t="shared" si="6"/>
        <v>56.900000000000006</v>
      </c>
      <c r="F22">
        <f t="shared" si="7"/>
        <v>2.4</v>
      </c>
      <c r="G22">
        <f t="shared" si="3"/>
        <v>2.6159999999999997</v>
      </c>
      <c r="H22">
        <f t="shared" si="4"/>
        <v>1.3079999999999998</v>
      </c>
      <c r="I22">
        <f t="shared" si="5"/>
        <v>2.7224999999999895</v>
      </c>
    </row>
    <row r="23" spans="1:9" x14ac:dyDescent="0.55000000000000004">
      <c r="A23">
        <v>510</v>
      </c>
      <c r="B23">
        <f t="shared" si="0"/>
        <v>55.59</v>
      </c>
      <c r="C23">
        <f t="shared" si="1"/>
        <v>2</v>
      </c>
      <c r="D23">
        <f t="shared" si="2"/>
        <v>0.4</v>
      </c>
      <c r="E23">
        <f t="shared" si="6"/>
        <v>57.99</v>
      </c>
      <c r="F23">
        <f t="shared" si="7"/>
        <v>2.4</v>
      </c>
      <c r="G23">
        <f t="shared" si="3"/>
        <v>2.6160000000000068</v>
      </c>
      <c r="H23">
        <f t="shared" si="4"/>
        <v>1.3080000000000069</v>
      </c>
      <c r="I23">
        <f t="shared" si="5"/>
        <v>2.7769499999999923</v>
      </c>
    </row>
    <row r="24" spans="1:9" x14ac:dyDescent="0.55000000000000004">
      <c r="A24">
        <v>520</v>
      </c>
      <c r="B24">
        <f t="shared" si="0"/>
        <v>56.680000000000007</v>
      </c>
      <c r="C24">
        <f t="shared" si="1"/>
        <v>2</v>
      </c>
      <c r="D24">
        <f t="shared" si="2"/>
        <v>0.4</v>
      </c>
      <c r="E24">
        <f t="shared" si="6"/>
        <v>59.080000000000005</v>
      </c>
      <c r="F24">
        <f t="shared" si="7"/>
        <v>2.4</v>
      </c>
      <c r="G24">
        <f t="shared" si="3"/>
        <v>2.6159999999999997</v>
      </c>
      <c r="H24">
        <f t="shared" si="4"/>
        <v>1.3079999999999998</v>
      </c>
      <c r="I24">
        <f t="shared" si="5"/>
        <v>2.8313999999999879</v>
      </c>
    </row>
    <row r="25" spans="1:9" x14ac:dyDescent="0.55000000000000004">
      <c r="A25">
        <v>530</v>
      </c>
      <c r="B25">
        <f t="shared" si="0"/>
        <v>57.77000000000001</v>
      </c>
      <c r="C25">
        <f t="shared" si="1"/>
        <v>2</v>
      </c>
      <c r="D25">
        <f t="shared" si="2"/>
        <v>0.4</v>
      </c>
      <c r="E25">
        <f t="shared" si="6"/>
        <v>60.170000000000009</v>
      </c>
      <c r="F25">
        <f t="shared" si="7"/>
        <v>2.4</v>
      </c>
      <c r="G25">
        <f t="shared" si="3"/>
        <v>2.6159999999999997</v>
      </c>
      <c r="H25">
        <f t="shared" si="4"/>
        <v>1.3079999999999998</v>
      </c>
      <c r="I25">
        <f t="shared" si="5"/>
        <v>2.8858499999999836</v>
      </c>
    </row>
    <row r="26" spans="1:9" x14ac:dyDescent="0.55000000000000004">
      <c r="A26">
        <v>540</v>
      </c>
      <c r="B26">
        <f t="shared" si="0"/>
        <v>58.860000000000007</v>
      </c>
      <c r="C26">
        <f t="shared" si="1"/>
        <v>2</v>
      </c>
      <c r="D26">
        <f t="shared" si="2"/>
        <v>0.4</v>
      </c>
      <c r="E26">
        <f t="shared" si="6"/>
        <v>61.260000000000005</v>
      </c>
      <c r="F26">
        <f t="shared" si="7"/>
        <v>2.4</v>
      </c>
      <c r="G26">
        <f t="shared" si="3"/>
        <v>2.6159999999999997</v>
      </c>
      <c r="H26">
        <f t="shared" si="4"/>
        <v>1.3079999999999998</v>
      </c>
      <c r="I26">
        <f t="shared" si="5"/>
        <v>2.9402999999999864</v>
      </c>
    </row>
    <row r="27" spans="1:9" x14ac:dyDescent="0.55000000000000004">
      <c r="A27">
        <v>550</v>
      </c>
      <c r="B27">
        <f t="shared" si="0"/>
        <v>59.95000000000001</v>
      </c>
      <c r="C27">
        <f t="shared" si="1"/>
        <v>2.2000000000000002</v>
      </c>
      <c r="D27">
        <f t="shared" si="2"/>
        <v>0.4</v>
      </c>
      <c r="E27">
        <f t="shared" si="6"/>
        <v>62.550000000000011</v>
      </c>
      <c r="F27">
        <f t="shared" si="7"/>
        <v>2.64</v>
      </c>
      <c r="G27">
        <f t="shared" si="3"/>
        <v>2.6159999999999997</v>
      </c>
      <c r="H27">
        <f t="shared" si="4"/>
        <v>1.3079999999999998</v>
      </c>
      <c r="I27">
        <f t="shared" si="5"/>
        <v>2.994749999999982</v>
      </c>
    </row>
    <row r="28" spans="1:9" x14ac:dyDescent="0.55000000000000004">
      <c r="A28">
        <v>560</v>
      </c>
      <c r="B28">
        <f t="shared" si="0"/>
        <v>61.040000000000006</v>
      </c>
      <c r="C28">
        <f t="shared" si="1"/>
        <v>2.2000000000000002</v>
      </c>
      <c r="D28">
        <f t="shared" si="2"/>
        <v>0.4</v>
      </c>
      <c r="E28">
        <f t="shared" si="6"/>
        <v>63.640000000000008</v>
      </c>
      <c r="F28">
        <f t="shared" si="7"/>
        <v>2.64</v>
      </c>
      <c r="G28">
        <f t="shared" si="3"/>
        <v>2.6159999999999997</v>
      </c>
      <c r="H28">
        <f t="shared" si="4"/>
        <v>1.3079999999999998</v>
      </c>
      <c r="I28">
        <f t="shared" si="5"/>
        <v>3.0491999999999848</v>
      </c>
    </row>
    <row r="29" spans="1:9" x14ac:dyDescent="0.55000000000000004">
      <c r="A29">
        <v>570</v>
      </c>
      <c r="B29">
        <f t="shared" si="0"/>
        <v>62.13000000000001</v>
      </c>
      <c r="C29">
        <f t="shared" si="1"/>
        <v>2.2000000000000002</v>
      </c>
      <c r="D29">
        <f t="shared" si="2"/>
        <v>0.4</v>
      </c>
      <c r="E29">
        <f t="shared" si="6"/>
        <v>64.73</v>
      </c>
      <c r="F29">
        <f t="shared" si="7"/>
        <v>2.64</v>
      </c>
      <c r="G29">
        <f t="shared" si="3"/>
        <v>2.6159999999999997</v>
      </c>
      <c r="H29">
        <f t="shared" si="4"/>
        <v>1.3079999999999998</v>
      </c>
      <c r="I29">
        <f t="shared" si="5"/>
        <v>3.1036499999999876</v>
      </c>
    </row>
    <row r="30" spans="1:9" x14ac:dyDescent="0.55000000000000004">
      <c r="A30">
        <v>580</v>
      </c>
      <c r="B30">
        <f t="shared" si="0"/>
        <v>63.220000000000006</v>
      </c>
      <c r="C30">
        <f t="shared" si="1"/>
        <v>2.2000000000000002</v>
      </c>
      <c r="D30">
        <f t="shared" si="2"/>
        <v>0.4</v>
      </c>
      <c r="E30">
        <f t="shared" si="6"/>
        <v>65.820000000000007</v>
      </c>
      <c r="F30">
        <f t="shared" si="7"/>
        <v>2.64</v>
      </c>
      <c r="G30">
        <f t="shared" si="3"/>
        <v>2.6160000000000068</v>
      </c>
      <c r="H30">
        <f t="shared" si="4"/>
        <v>1.3079999999999998</v>
      </c>
      <c r="I30">
        <f t="shared" si="5"/>
        <v>3.1580999999999833</v>
      </c>
    </row>
    <row r="31" spans="1:9" x14ac:dyDescent="0.55000000000000004">
      <c r="A31">
        <v>590</v>
      </c>
      <c r="B31">
        <f t="shared" si="0"/>
        <v>64.31</v>
      </c>
      <c r="C31">
        <f t="shared" si="1"/>
        <v>2.2000000000000002</v>
      </c>
      <c r="D31">
        <f t="shared" si="2"/>
        <v>0.4</v>
      </c>
      <c r="E31">
        <f t="shared" si="6"/>
        <v>66.91</v>
      </c>
      <c r="F31">
        <f t="shared" si="7"/>
        <v>2.64</v>
      </c>
      <c r="G31">
        <f t="shared" si="3"/>
        <v>2.6159999999999997</v>
      </c>
      <c r="H31">
        <f t="shared" si="4"/>
        <v>1.3080000000000069</v>
      </c>
      <c r="I31">
        <f t="shared" si="5"/>
        <v>3.2125499999999931</v>
      </c>
    </row>
    <row r="32" spans="1:9" x14ac:dyDescent="0.55000000000000004">
      <c r="A32">
        <v>600</v>
      </c>
      <c r="B32">
        <f t="shared" si="0"/>
        <v>65.400000000000006</v>
      </c>
      <c r="C32">
        <f t="shared" si="1"/>
        <v>2.4000000000000004</v>
      </c>
      <c r="D32">
        <f t="shared" si="2"/>
        <v>0.4</v>
      </c>
      <c r="E32">
        <f t="shared" si="6"/>
        <v>68.2</v>
      </c>
      <c r="F32">
        <f t="shared" si="7"/>
        <v>2.8800000000000008</v>
      </c>
      <c r="G32">
        <f t="shared" si="3"/>
        <v>2.6159999999999997</v>
      </c>
      <c r="H32">
        <f t="shared" si="4"/>
        <v>1.3080000000000069</v>
      </c>
      <c r="I32">
        <f t="shared" si="5"/>
        <v>3.2669999999999959</v>
      </c>
    </row>
    <row r="33" spans="1:9" x14ac:dyDescent="0.55000000000000004">
      <c r="A33">
        <v>610</v>
      </c>
      <c r="B33">
        <f t="shared" si="0"/>
        <v>66.490000000000009</v>
      </c>
      <c r="C33">
        <f t="shared" si="1"/>
        <v>2.4000000000000004</v>
      </c>
      <c r="D33">
        <f t="shared" si="2"/>
        <v>0.4</v>
      </c>
      <c r="E33">
        <f t="shared" si="6"/>
        <v>69.290000000000006</v>
      </c>
      <c r="F33">
        <f t="shared" si="7"/>
        <v>2.8800000000000008</v>
      </c>
      <c r="G33">
        <f t="shared" si="3"/>
        <v>2.6159999999999997</v>
      </c>
      <c r="H33">
        <f t="shared" si="4"/>
        <v>1.3079999999999927</v>
      </c>
      <c r="I33">
        <f t="shared" si="5"/>
        <v>3.3214499999999845</v>
      </c>
    </row>
    <row r="34" spans="1:9" x14ac:dyDescent="0.55000000000000004">
      <c r="A34">
        <v>620</v>
      </c>
      <c r="B34">
        <f t="shared" ref="B34:B52" si="8">$A34*($L$2*0.11+$L$3*0.1+$L$4*0.09+$L$5*0.05)</f>
        <v>67.580000000000013</v>
      </c>
      <c r="C34">
        <f t="shared" ref="C34:C52" si="9">0.2*(ROUNDDOWN($A34/50,0)-$M$7)</f>
        <v>2.4000000000000004</v>
      </c>
      <c r="D34">
        <f t="shared" ref="D34:D52" si="10">IF(OR($M$5=0,$M$6=9),1,0)*0.1*4</f>
        <v>0.4</v>
      </c>
      <c r="E34">
        <f t="shared" si="6"/>
        <v>70.38000000000001</v>
      </c>
      <c r="F34">
        <f t="shared" si="7"/>
        <v>2.8800000000000008</v>
      </c>
      <c r="G34">
        <f t="shared" ref="G34:G52" si="11">($A34+$P$2*2)*($L$2*0.11+$L$3*0.1+$L$4*0.09+$L$5*0.05)-$B34</f>
        <v>2.6159999999999997</v>
      </c>
      <c r="H34">
        <f t="shared" ref="H34:H52" si="12">($A34+$P$3)*($L$2*0.11+$L$3*0.1+$L$4*0.09+$L$5*0.05)-$B34</f>
        <v>1.3079999999999927</v>
      </c>
      <c r="I34">
        <f t="shared" ref="I34:I52" si="13">$A34*($L$2*0.11*(1+$P$5/100)+$L$3*0.1+$L$4*0.09+$L$5*0.05)-$B34</f>
        <v>3.3758999999999872</v>
      </c>
    </row>
    <row r="35" spans="1:9" x14ac:dyDescent="0.55000000000000004">
      <c r="A35">
        <v>630</v>
      </c>
      <c r="B35">
        <f t="shared" si="8"/>
        <v>68.67</v>
      </c>
      <c r="C35">
        <f t="shared" si="9"/>
        <v>2.4000000000000004</v>
      </c>
      <c r="D35">
        <f t="shared" si="10"/>
        <v>0.4</v>
      </c>
      <c r="E35">
        <f t="shared" si="6"/>
        <v>71.47</v>
      </c>
      <c r="F35">
        <f t="shared" si="7"/>
        <v>2.8800000000000008</v>
      </c>
      <c r="G35">
        <f t="shared" si="11"/>
        <v>2.6160000000000139</v>
      </c>
      <c r="H35">
        <f t="shared" si="12"/>
        <v>1.3080000000000069</v>
      </c>
      <c r="I35">
        <f t="shared" si="13"/>
        <v>3.43034999999999</v>
      </c>
    </row>
    <row r="36" spans="1:9" x14ac:dyDescent="0.55000000000000004">
      <c r="A36">
        <v>640</v>
      </c>
      <c r="B36">
        <f t="shared" si="8"/>
        <v>69.760000000000005</v>
      </c>
      <c r="C36">
        <f t="shared" si="9"/>
        <v>2.4000000000000004</v>
      </c>
      <c r="D36">
        <f t="shared" si="10"/>
        <v>0.4</v>
      </c>
      <c r="E36">
        <f t="shared" si="6"/>
        <v>72.56</v>
      </c>
      <c r="F36">
        <f t="shared" si="7"/>
        <v>2.8800000000000008</v>
      </c>
      <c r="G36">
        <f t="shared" si="11"/>
        <v>2.6159999999999997</v>
      </c>
      <c r="H36">
        <f t="shared" si="12"/>
        <v>1.3080000000000069</v>
      </c>
      <c r="I36">
        <f t="shared" si="13"/>
        <v>3.4847999999999928</v>
      </c>
    </row>
    <row r="37" spans="1:9" x14ac:dyDescent="0.55000000000000004">
      <c r="A37">
        <v>650</v>
      </c>
      <c r="B37">
        <f t="shared" si="8"/>
        <v>70.850000000000009</v>
      </c>
      <c r="C37">
        <f t="shared" si="9"/>
        <v>2.6</v>
      </c>
      <c r="D37">
        <f t="shared" si="10"/>
        <v>0.4</v>
      </c>
      <c r="E37">
        <f t="shared" si="6"/>
        <v>73.850000000000009</v>
      </c>
      <c r="F37">
        <f t="shared" si="7"/>
        <v>3.12</v>
      </c>
      <c r="G37">
        <f t="shared" si="11"/>
        <v>2.6159999999999997</v>
      </c>
      <c r="H37">
        <f t="shared" si="12"/>
        <v>1.3080000000000069</v>
      </c>
      <c r="I37">
        <f t="shared" si="13"/>
        <v>3.5392499999999814</v>
      </c>
    </row>
    <row r="38" spans="1:9" x14ac:dyDescent="0.55000000000000004">
      <c r="A38">
        <v>660</v>
      </c>
      <c r="B38">
        <f t="shared" si="8"/>
        <v>71.940000000000012</v>
      </c>
      <c r="C38">
        <f t="shared" si="9"/>
        <v>2.6</v>
      </c>
      <c r="D38">
        <f t="shared" si="10"/>
        <v>0.4</v>
      </c>
      <c r="E38">
        <f t="shared" si="6"/>
        <v>74.940000000000012</v>
      </c>
      <c r="F38">
        <f t="shared" si="7"/>
        <v>3.12</v>
      </c>
      <c r="G38">
        <f t="shared" si="11"/>
        <v>2.6159999999999997</v>
      </c>
      <c r="H38">
        <f t="shared" si="12"/>
        <v>1.3079999999999927</v>
      </c>
      <c r="I38">
        <f t="shared" si="13"/>
        <v>3.5936999999999841</v>
      </c>
    </row>
    <row r="39" spans="1:9" x14ac:dyDescent="0.55000000000000004">
      <c r="A39">
        <v>670</v>
      </c>
      <c r="B39">
        <f t="shared" si="8"/>
        <v>73.030000000000015</v>
      </c>
      <c r="C39">
        <f t="shared" si="9"/>
        <v>2.6</v>
      </c>
      <c r="D39">
        <f t="shared" si="10"/>
        <v>0.4</v>
      </c>
      <c r="E39">
        <f t="shared" si="6"/>
        <v>76.030000000000015</v>
      </c>
      <c r="F39">
        <f t="shared" si="7"/>
        <v>3.12</v>
      </c>
      <c r="G39">
        <f t="shared" si="11"/>
        <v>2.6159999999999997</v>
      </c>
      <c r="H39">
        <f t="shared" si="12"/>
        <v>1.3079999999999927</v>
      </c>
      <c r="I39">
        <f t="shared" si="13"/>
        <v>3.6481499999999727</v>
      </c>
    </row>
    <row r="40" spans="1:9" x14ac:dyDescent="0.55000000000000004">
      <c r="A40">
        <v>680</v>
      </c>
      <c r="B40">
        <f t="shared" si="8"/>
        <v>74.12</v>
      </c>
      <c r="C40">
        <f t="shared" si="9"/>
        <v>2.6</v>
      </c>
      <c r="D40">
        <f t="shared" si="10"/>
        <v>0.4</v>
      </c>
      <c r="E40">
        <f t="shared" si="6"/>
        <v>77.12</v>
      </c>
      <c r="F40">
        <f t="shared" si="7"/>
        <v>3.12</v>
      </c>
      <c r="G40">
        <f t="shared" si="11"/>
        <v>2.6159999999999997</v>
      </c>
      <c r="H40">
        <f t="shared" si="12"/>
        <v>1.3080000000000069</v>
      </c>
      <c r="I40">
        <f t="shared" si="13"/>
        <v>3.7025999999999897</v>
      </c>
    </row>
    <row r="41" spans="1:9" x14ac:dyDescent="0.55000000000000004">
      <c r="A41">
        <v>690</v>
      </c>
      <c r="B41">
        <f t="shared" si="8"/>
        <v>75.210000000000008</v>
      </c>
      <c r="C41">
        <f t="shared" si="9"/>
        <v>2.6</v>
      </c>
      <c r="D41">
        <f t="shared" si="10"/>
        <v>0.4</v>
      </c>
      <c r="E41">
        <f t="shared" si="6"/>
        <v>78.210000000000008</v>
      </c>
      <c r="F41">
        <f t="shared" si="7"/>
        <v>3.12</v>
      </c>
      <c r="G41">
        <f t="shared" si="11"/>
        <v>2.6159999999999997</v>
      </c>
      <c r="H41">
        <f t="shared" si="12"/>
        <v>1.3080000000000069</v>
      </c>
      <c r="I41">
        <f t="shared" si="13"/>
        <v>3.7570499999999925</v>
      </c>
    </row>
    <row r="42" spans="1:9" x14ac:dyDescent="0.55000000000000004">
      <c r="A42">
        <v>700</v>
      </c>
      <c r="B42">
        <f t="shared" si="8"/>
        <v>76.300000000000011</v>
      </c>
      <c r="C42">
        <f t="shared" si="9"/>
        <v>2.8000000000000003</v>
      </c>
      <c r="D42">
        <f t="shared" si="10"/>
        <v>0.4</v>
      </c>
      <c r="E42">
        <f t="shared" si="6"/>
        <v>79.500000000000014</v>
      </c>
      <c r="F42">
        <f t="shared" si="7"/>
        <v>3.3600000000000008</v>
      </c>
      <c r="G42">
        <f t="shared" si="11"/>
        <v>2.6159999999999997</v>
      </c>
      <c r="H42">
        <f t="shared" si="12"/>
        <v>1.3079999999999927</v>
      </c>
      <c r="I42">
        <f t="shared" si="13"/>
        <v>3.811499999999981</v>
      </c>
    </row>
    <row r="43" spans="1:9" x14ac:dyDescent="0.55000000000000004">
      <c r="A43">
        <v>710</v>
      </c>
      <c r="B43">
        <f t="shared" si="8"/>
        <v>77.390000000000015</v>
      </c>
      <c r="C43">
        <f t="shared" si="9"/>
        <v>2.8000000000000003</v>
      </c>
      <c r="D43">
        <f t="shared" si="10"/>
        <v>0.4</v>
      </c>
      <c r="E43">
        <f t="shared" si="6"/>
        <v>80.590000000000018</v>
      </c>
      <c r="F43">
        <f t="shared" si="7"/>
        <v>3.3600000000000008</v>
      </c>
      <c r="G43">
        <f t="shared" si="11"/>
        <v>2.6159999999999997</v>
      </c>
      <c r="H43">
        <f t="shared" si="12"/>
        <v>1.3079999999999927</v>
      </c>
      <c r="I43">
        <f t="shared" si="13"/>
        <v>3.8659499999999838</v>
      </c>
    </row>
    <row r="44" spans="1:9" x14ac:dyDescent="0.55000000000000004">
      <c r="A44">
        <v>720</v>
      </c>
      <c r="B44">
        <f t="shared" si="8"/>
        <v>78.48</v>
      </c>
      <c r="C44">
        <f t="shared" si="9"/>
        <v>2.8000000000000003</v>
      </c>
      <c r="D44">
        <f t="shared" si="10"/>
        <v>0.4</v>
      </c>
      <c r="E44">
        <f t="shared" si="6"/>
        <v>81.680000000000007</v>
      </c>
      <c r="F44">
        <f t="shared" si="7"/>
        <v>3.3600000000000008</v>
      </c>
      <c r="G44">
        <f t="shared" si="11"/>
        <v>2.6159999999999997</v>
      </c>
      <c r="H44">
        <f t="shared" si="12"/>
        <v>1.3080000000000069</v>
      </c>
      <c r="I44">
        <f t="shared" si="13"/>
        <v>3.9203999999999866</v>
      </c>
    </row>
    <row r="45" spans="1:9" x14ac:dyDescent="0.55000000000000004">
      <c r="A45">
        <v>730</v>
      </c>
      <c r="B45">
        <f t="shared" si="8"/>
        <v>79.570000000000007</v>
      </c>
      <c r="C45">
        <f t="shared" si="9"/>
        <v>2.8000000000000003</v>
      </c>
      <c r="D45">
        <f t="shared" si="10"/>
        <v>0.4</v>
      </c>
      <c r="E45">
        <f t="shared" si="6"/>
        <v>82.77000000000001</v>
      </c>
      <c r="F45">
        <f t="shared" si="7"/>
        <v>3.3600000000000008</v>
      </c>
      <c r="G45">
        <f t="shared" si="11"/>
        <v>2.6159999999999997</v>
      </c>
      <c r="H45">
        <f t="shared" si="12"/>
        <v>1.3080000000000069</v>
      </c>
      <c r="I45">
        <f t="shared" si="13"/>
        <v>3.9748499999999893</v>
      </c>
    </row>
    <row r="46" spans="1:9" x14ac:dyDescent="0.55000000000000004">
      <c r="A46">
        <v>740</v>
      </c>
      <c r="B46">
        <f t="shared" si="8"/>
        <v>80.660000000000011</v>
      </c>
      <c r="C46">
        <f t="shared" si="9"/>
        <v>2.8000000000000003</v>
      </c>
      <c r="D46">
        <f t="shared" si="10"/>
        <v>0.4</v>
      </c>
      <c r="E46">
        <f t="shared" si="6"/>
        <v>83.860000000000014</v>
      </c>
      <c r="F46">
        <f t="shared" si="7"/>
        <v>3.3600000000000008</v>
      </c>
      <c r="G46">
        <f t="shared" si="11"/>
        <v>2.6159999999999997</v>
      </c>
      <c r="H46">
        <f t="shared" si="12"/>
        <v>1.3079999999999927</v>
      </c>
      <c r="I46">
        <f t="shared" si="13"/>
        <v>4.0292999999999779</v>
      </c>
    </row>
    <row r="47" spans="1:9" x14ac:dyDescent="0.55000000000000004">
      <c r="A47">
        <v>750</v>
      </c>
      <c r="B47">
        <f t="shared" si="8"/>
        <v>81.750000000000014</v>
      </c>
      <c r="C47">
        <f t="shared" si="9"/>
        <v>3</v>
      </c>
      <c r="D47">
        <f t="shared" si="10"/>
        <v>0.4</v>
      </c>
      <c r="E47">
        <f t="shared" si="6"/>
        <v>85.15000000000002</v>
      </c>
      <c r="F47">
        <f t="shared" si="7"/>
        <v>3.6</v>
      </c>
      <c r="G47">
        <f t="shared" si="11"/>
        <v>2.6159999999999997</v>
      </c>
      <c r="H47">
        <f t="shared" si="12"/>
        <v>1.3079999999999927</v>
      </c>
      <c r="I47">
        <f t="shared" si="13"/>
        <v>4.0837499999999807</v>
      </c>
    </row>
    <row r="48" spans="1:9" x14ac:dyDescent="0.55000000000000004">
      <c r="A48">
        <v>760</v>
      </c>
      <c r="B48">
        <f t="shared" si="8"/>
        <v>82.84</v>
      </c>
      <c r="C48">
        <f t="shared" si="9"/>
        <v>3</v>
      </c>
      <c r="D48">
        <f t="shared" si="10"/>
        <v>0.4</v>
      </c>
      <c r="E48">
        <f t="shared" si="6"/>
        <v>86.240000000000009</v>
      </c>
      <c r="F48">
        <f t="shared" si="7"/>
        <v>3.6</v>
      </c>
      <c r="G48">
        <f t="shared" si="11"/>
        <v>2.6160000000000139</v>
      </c>
      <c r="H48">
        <f t="shared" si="12"/>
        <v>1.3080000000000069</v>
      </c>
      <c r="I48">
        <f t="shared" si="13"/>
        <v>4.1381999999999834</v>
      </c>
    </row>
    <row r="49" spans="1:9" x14ac:dyDescent="0.55000000000000004">
      <c r="A49">
        <v>770</v>
      </c>
      <c r="B49">
        <f t="shared" si="8"/>
        <v>83.93</v>
      </c>
      <c r="C49">
        <f t="shared" si="9"/>
        <v>3</v>
      </c>
      <c r="D49">
        <f t="shared" si="10"/>
        <v>0.4</v>
      </c>
      <c r="E49">
        <f t="shared" si="6"/>
        <v>87.330000000000013</v>
      </c>
      <c r="F49">
        <f t="shared" si="7"/>
        <v>3.6</v>
      </c>
      <c r="G49">
        <f t="shared" si="11"/>
        <v>2.6159999999999997</v>
      </c>
      <c r="H49">
        <f t="shared" si="12"/>
        <v>1.3080000000000069</v>
      </c>
      <c r="I49">
        <f t="shared" si="13"/>
        <v>4.1926499999999862</v>
      </c>
    </row>
    <row r="50" spans="1:9" x14ac:dyDescent="0.55000000000000004">
      <c r="A50">
        <v>780</v>
      </c>
      <c r="B50">
        <f t="shared" si="8"/>
        <v>85.02000000000001</v>
      </c>
      <c r="C50">
        <f t="shared" si="9"/>
        <v>3</v>
      </c>
      <c r="D50">
        <f t="shared" si="10"/>
        <v>0.4</v>
      </c>
      <c r="E50">
        <f t="shared" si="6"/>
        <v>88.420000000000016</v>
      </c>
      <c r="F50">
        <f t="shared" si="7"/>
        <v>3.6</v>
      </c>
      <c r="G50">
        <f t="shared" si="11"/>
        <v>2.6159999999999997</v>
      </c>
      <c r="H50">
        <f t="shared" si="12"/>
        <v>1.3080000000000069</v>
      </c>
      <c r="I50">
        <f t="shared" si="13"/>
        <v>4.247099999999989</v>
      </c>
    </row>
    <row r="51" spans="1:9" x14ac:dyDescent="0.55000000000000004">
      <c r="A51">
        <v>790</v>
      </c>
      <c r="B51">
        <f t="shared" si="8"/>
        <v>86.110000000000014</v>
      </c>
      <c r="C51">
        <f t="shared" si="9"/>
        <v>3</v>
      </c>
      <c r="D51">
        <f t="shared" si="10"/>
        <v>0.4</v>
      </c>
      <c r="E51">
        <f t="shared" si="6"/>
        <v>89.510000000000019</v>
      </c>
      <c r="F51">
        <f t="shared" si="7"/>
        <v>3.6</v>
      </c>
      <c r="G51">
        <f t="shared" si="11"/>
        <v>2.6159999999999997</v>
      </c>
      <c r="H51">
        <f t="shared" si="12"/>
        <v>1.3079999999999927</v>
      </c>
      <c r="I51">
        <f t="shared" si="13"/>
        <v>4.3015499999999776</v>
      </c>
    </row>
    <row r="52" spans="1:9" x14ac:dyDescent="0.55000000000000004">
      <c r="A52">
        <v>800</v>
      </c>
      <c r="B52">
        <f t="shared" si="8"/>
        <v>87.200000000000017</v>
      </c>
      <c r="C52">
        <f t="shared" si="9"/>
        <v>3.2</v>
      </c>
      <c r="D52">
        <f t="shared" si="10"/>
        <v>0.4</v>
      </c>
      <c r="E52">
        <f t="shared" si="6"/>
        <v>90.800000000000011</v>
      </c>
      <c r="F52">
        <f t="shared" si="7"/>
        <v>3.84</v>
      </c>
      <c r="G52">
        <f t="shared" si="11"/>
        <v>2.6159999999999997</v>
      </c>
      <c r="H52">
        <f t="shared" si="12"/>
        <v>1.3079999999999927</v>
      </c>
      <c r="I52">
        <f t="shared" si="13"/>
        <v>4.3559999999999803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2B10-8DFD-47FA-8F81-488816FDF3DC}">
  <dimension ref="A1:P52"/>
  <sheetViews>
    <sheetView workbookViewId="0">
      <selection activeCell="F3" sqref="F3"/>
    </sheetView>
  </sheetViews>
  <sheetFormatPr defaultRowHeight="18" x14ac:dyDescent="0.55000000000000004"/>
  <cols>
    <col min="3" max="3" width="9.5" bestFit="1" customWidth="1"/>
    <col min="4" max="5" width="9.5" customWidth="1"/>
    <col min="6" max="6" width="9.5" bestFit="1" customWidth="1"/>
    <col min="7" max="8" width="9.5" customWidth="1"/>
    <col min="11" max="12" width="4.1640625" bestFit="1" customWidth="1"/>
    <col min="13" max="13" width="4.1640625" customWidth="1"/>
    <col min="14" max="14" width="12.33203125" customWidth="1"/>
    <col min="15" max="16" width="9.5" bestFit="1" customWidth="1"/>
  </cols>
  <sheetData>
    <row r="1" spans="1:16" ht="18.5" thickBot="1" x14ac:dyDescent="0.6">
      <c r="A1" t="str">
        <f>スキル比較!$A1</f>
        <v>ノーツ数</v>
      </c>
      <c r="B1" t="str">
        <f>スキル比較!$E1</f>
        <v>素の合計</v>
      </c>
      <c r="C1" t="s">
        <v>181</v>
      </c>
      <c r="D1" t="s">
        <v>188</v>
      </c>
      <c r="E1" t="s">
        <v>189</v>
      </c>
      <c r="F1" t="s">
        <v>182</v>
      </c>
      <c r="G1" t="s">
        <v>188</v>
      </c>
      <c r="H1" t="s">
        <v>189</v>
      </c>
      <c r="K1" t="s">
        <v>186</v>
      </c>
      <c r="L1" t="s">
        <v>187</v>
      </c>
      <c r="O1" t="s">
        <v>183</v>
      </c>
      <c r="P1" t="s">
        <v>184</v>
      </c>
    </row>
    <row r="2" spans="1:16" x14ac:dyDescent="0.55000000000000004">
      <c r="A2">
        <f>スキル比較!$A2</f>
        <v>300</v>
      </c>
      <c r="B2">
        <f>スキル比較!$E2</f>
        <v>34.300000000000004</v>
      </c>
      <c r="C2">
        <f>(($A2+O$2*2+O$3)*(K$3*0.11*(1+O$5/100)+K$4*0.1+K$5*0.09+K$6*0.05)/K$2+0.2*(ROUNDDOWN($A2/50,0)-K$8)*(1+O$4/100)+IF(OR(K$6=0,K$7=9),1,0)*0.1*4)</f>
        <v>47.457680250783696</v>
      </c>
      <c r="D2">
        <f>C2-B2</f>
        <v>13.157680250783692</v>
      </c>
      <c r="E2">
        <f>C2/B2</f>
        <v>1.3836058382152678</v>
      </c>
      <c r="F2">
        <f>(($A2+P$2*2+P$3)*(L$3*0.11*(1+P$5/100)+L$4*0.1+L$5*0.09+L$6*0.05)/L$2+0.2*(ROUNDDOWN($A2/50,0)-L$8)*(1+P$4/100)+IF(OR(L$6=0,L$7=9),1,0)*0.1*4)</f>
        <v>47.100870219435734</v>
      </c>
      <c r="G2">
        <f>F2-B2</f>
        <v>12.80087021943573</v>
      </c>
      <c r="H2">
        <f>F2/B2</f>
        <v>1.3732032133946277</v>
      </c>
      <c r="J2" t="s">
        <v>129</v>
      </c>
      <c r="K2" s="6">
        <v>319</v>
      </c>
      <c r="L2" s="6">
        <v>319</v>
      </c>
      <c r="M2" s="9"/>
      <c r="N2" t="s">
        <v>2</v>
      </c>
      <c r="O2" s="6">
        <v>48</v>
      </c>
      <c r="P2" s="6">
        <v>36</v>
      </c>
    </row>
    <row r="3" spans="1:16" x14ac:dyDescent="0.55000000000000004">
      <c r="A3">
        <f>スキル比較!$A3</f>
        <v>310</v>
      </c>
      <c r="B3">
        <f>スキル比較!$E3</f>
        <v>35.390000000000008</v>
      </c>
      <c r="C3">
        <f t="shared" ref="C3:C52" si="0">(($A3+O$2*2+O$3)*(K$3*0.11*(1+O$5/100)+K$4*0.1+K$5*0.09+K$6*0.05)/K$2+0.2*(ROUNDDOWN($A3/50,0)-K$8)*(1+O$4/100)+IF(OR(K$6=0,K$7=9),1,0)*0.1*4)</f>
        <v>48.549529780564264</v>
      </c>
      <c r="D3">
        <f t="shared" ref="D3:D52" si="1">C3-B3</f>
        <v>13.159529780564256</v>
      </c>
      <c r="E3">
        <f t="shared" ref="E3:E52" si="2">C3/B3</f>
        <v>1.3718431698379274</v>
      </c>
      <c r="F3">
        <f t="shared" ref="F3:F52" si="3">(($A3+P$2*2+P$3)*(L$3*0.11*(1+P$5/100)+L$4*0.1+L$5*0.09+L$6*0.05)/L$2+0.2*(ROUNDDOWN($A3/50,0)-L$8)*(1+P$4/100)+IF(OR(L$6=0,L$7=9),1,0)*0.1*4)</f>
        <v>48.24828871473354</v>
      </c>
      <c r="G3">
        <f t="shared" ref="G3:G52" si="4">F3-B3</f>
        <v>12.858288714733533</v>
      </c>
      <c r="H3">
        <f t="shared" ref="H3:H52" si="5">F3/B3</f>
        <v>1.3633311306791052</v>
      </c>
      <c r="J3" t="s">
        <v>4</v>
      </c>
      <c r="K3" s="7">
        <f>K2-K4-K5-K6</f>
        <v>293</v>
      </c>
      <c r="L3" s="7">
        <f>L2-L4-L5-L6</f>
        <v>293</v>
      </c>
      <c r="M3" s="9"/>
      <c r="N3" t="s">
        <v>185</v>
      </c>
      <c r="O3" s="7">
        <v>24</v>
      </c>
      <c r="P3" s="7">
        <v>12</v>
      </c>
    </row>
    <row r="4" spans="1:16" x14ac:dyDescent="0.55000000000000004">
      <c r="A4">
        <f>スキル比較!$A4</f>
        <v>320</v>
      </c>
      <c r="B4">
        <f>スキル比較!$E4</f>
        <v>36.480000000000004</v>
      </c>
      <c r="C4">
        <f t="shared" si="0"/>
        <v>49.641379310344824</v>
      </c>
      <c r="D4">
        <f t="shared" si="1"/>
        <v>13.16137931034482</v>
      </c>
      <c r="E4">
        <f t="shared" si="2"/>
        <v>1.3607834240774348</v>
      </c>
      <c r="F4">
        <f t="shared" si="3"/>
        <v>49.39570721003134</v>
      </c>
      <c r="G4">
        <f t="shared" si="4"/>
        <v>12.915707210031336</v>
      </c>
      <c r="H4">
        <f t="shared" si="5"/>
        <v>1.354048991503052</v>
      </c>
      <c r="J4" t="s">
        <v>5</v>
      </c>
      <c r="K4" s="7">
        <v>26</v>
      </c>
      <c r="L4" s="7">
        <v>26</v>
      </c>
      <c r="M4" s="9"/>
      <c r="N4" t="s">
        <v>1</v>
      </c>
      <c r="O4" s="7"/>
      <c r="P4" s="7">
        <v>120</v>
      </c>
    </row>
    <row r="5" spans="1:16" ht="18.5" thickBot="1" x14ac:dyDescent="0.6">
      <c r="A5">
        <f>スキル比較!$A5</f>
        <v>330</v>
      </c>
      <c r="B5">
        <f>スキル比較!$E5</f>
        <v>37.570000000000007</v>
      </c>
      <c r="C5">
        <f t="shared" si="0"/>
        <v>50.733228840125392</v>
      </c>
      <c r="D5">
        <f t="shared" si="1"/>
        <v>13.163228840125385</v>
      </c>
      <c r="E5">
        <f t="shared" si="2"/>
        <v>1.3503654202854773</v>
      </c>
      <c r="F5">
        <f t="shared" si="3"/>
        <v>50.543125705329146</v>
      </c>
      <c r="G5">
        <f t="shared" si="4"/>
        <v>12.973125705329139</v>
      </c>
      <c r="H5">
        <f t="shared" si="5"/>
        <v>1.3453054486379861</v>
      </c>
      <c r="J5" t="s">
        <v>6</v>
      </c>
      <c r="K5" s="7">
        <f>0</f>
        <v>0</v>
      </c>
      <c r="L5" s="7">
        <f>0</f>
        <v>0</v>
      </c>
      <c r="M5" s="9"/>
      <c r="N5" t="s">
        <v>4</v>
      </c>
      <c r="O5" s="8"/>
      <c r="P5" s="8">
        <v>5.5</v>
      </c>
    </row>
    <row r="6" spans="1:16" x14ac:dyDescent="0.55000000000000004">
      <c r="A6">
        <f>スキル比較!$A6</f>
        <v>340</v>
      </c>
      <c r="B6">
        <f>スキル比較!$E6</f>
        <v>38.660000000000004</v>
      </c>
      <c r="C6">
        <f t="shared" si="0"/>
        <v>51.825078369905953</v>
      </c>
      <c r="D6">
        <f t="shared" si="1"/>
        <v>13.165078369905949</v>
      </c>
      <c r="E6">
        <f t="shared" si="2"/>
        <v>1.3405348776488863</v>
      </c>
      <c r="F6">
        <f t="shared" si="3"/>
        <v>51.690544200626952</v>
      </c>
      <c r="G6">
        <f t="shared" si="4"/>
        <v>13.030544200626949</v>
      </c>
      <c r="H6">
        <f t="shared" si="5"/>
        <v>1.3370549456965066</v>
      </c>
      <c r="J6" t="s">
        <v>7</v>
      </c>
      <c r="K6" s="7">
        <v>0</v>
      </c>
      <c r="L6" s="7">
        <v>0</v>
      </c>
      <c r="M6" s="9"/>
    </row>
    <row r="7" spans="1:16" x14ac:dyDescent="0.55000000000000004">
      <c r="A7">
        <f>スキル比較!$A7</f>
        <v>350</v>
      </c>
      <c r="B7">
        <f>スキル比較!$E7</f>
        <v>39.950000000000003</v>
      </c>
      <c r="C7">
        <f t="shared" si="0"/>
        <v>53.116927899686516</v>
      </c>
      <c r="D7">
        <f t="shared" si="1"/>
        <v>13.166927899686513</v>
      </c>
      <c r="E7">
        <f t="shared" si="2"/>
        <v>1.3295851789658701</v>
      </c>
      <c r="F7">
        <f t="shared" si="3"/>
        <v>53.277962695924757</v>
      </c>
      <c r="G7">
        <f t="shared" si="4"/>
        <v>13.327962695924754</v>
      </c>
      <c r="H7">
        <f t="shared" si="5"/>
        <v>1.3336160875075032</v>
      </c>
      <c r="J7" t="s">
        <v>173</v>
      </c>
      <c r="K7" s="7">
        <v>0</v>
      </c>
      <c r="L7" s="7">
        <v>0</v>
      </c>
      <c r="M7" s="9"/>
    </row>
    <row r="8" spans="1:16" ht="18.5" thickBot="1" x14ac:dyDescent="0.6">
      <c r="A8">
        <f>スキル比較!$A8</f>
        <v>360</v>
      </c>
      <c r="B8">
        <f>スキル比較!$E8</f>
        <v>41.04</v>
      </c>
      <c r="C8">
        <f t="shared" si="0"/>
        <v>54.208777429467077</v>
      </c>
      <c r="D8">
        <f t="shared" si="1"/>
        <v>13.168777429467077</v>
      </c>
      <c r="E8">
        <f t="shared" si="2"/>
        <v>1.3208766430182037</v>
      </c>
      <c r="F8">
        <f t="shared" si="3"/>
        <v>54.425381191222563</v>
      </c>
      <c r="G8">
        <f t="shared" si="4"/>
        <v>13.385381191222564</v>
      </c>
      <c r="H8">
        <f t="shared" si="5"/>
        <v>1.3261545124566902</v>
      </c>
      <c r="J8" t="s">
        <v>8</v>
      </c>
      <c r="K8" s="8">
        <v>0</v>
      </c>
      <c r="L8" s="8">
        <v>0</v>
      </c>
      <c r="M8" s="9"/>
    </row>
    <row r="9" spans="1:16" x14ac:dyDescent="0.55000000000000004">
      <c r="A9">
        <f>スキル比較!$A9</f>
        <v>370</v>
      </c>
      <c r="B9">
        <f>スキル比較!$E9</f>
        <v>42.13</v>
      </c>
      <c r="C9">
        <f t="shared" si="0"/>
        <v>55.300626959247651</v>
      </c>
      <c r="D9">
        <f t="shared" si="1"/>
        <v>13.170626959247649</v>
      </c>
      <c r="E9">
        <f t="shared" si="2"/>
        <v>1.3126187267801483</v>
      </c>
      <c r="F9">
        <f t="shared" si="3"/>
        <v>55.572799686520376</v>
      </c>
      <c r="G9">
        <f t="shared" si="4"/>
        <v>13.442799686520374</v>
      </c>
      <c r="H9">
        <f t="shared" si="5"/>
        <v>1.3190790336226055</v>
      </c>
    </row>
    <row r="10" spans="1:16" x14ac:dyDescent="0.55000000000000004">
      <c r="A10">
        <f>スキル比較!$A10</f>
        <v>380</v>
      </c>
      <c r="B10">
        <f>スキル比較!$E10</f>
        <v>43.22</v>
      </c>
      <c r="C10">
        <f t="shared" si="0"/>
        <v>56.392476489028212</v>
      </c>
      <c r="D10">
        <f t="shared" si="1"/>
        <v>13.172476489028213</v>
      </c>
      <c r="E10">
        <f t="shared" si="2"/>
        <v>1.3047773366272146</v>
      </c>
      <c r="F10">
        <f t="shared" si="3"/>
        <v>56.720218181818183</v>
      </c>
      <c r="G10">
        <f t="shared" si="4"/>
        <v>13.500218181818184</v>
      </c>
      <c r="H10">
        <f t="shared" si="5"/>
        <v>1.3123604391906105</v>
      </c>
    </row>
    <row r="11" spans="1:16" x14ac:dyDescent="0.55000000000000004">
      <c r="A11">
        <f>スキル比較!$A11</f>
        <v>390</v>
      </c>
      <c r="B11">
        <f>スキル比較!$E11</f>
        <v>44.31</v>
      </c>
      <c r="C11">
        <f t="shared" si="0"/>
        <v>57.484326018808773</v>
      </c>
      <c r="D11">
        <f t="shared" si="1"/>
        <v>13.17432601880877</v>
      </c>
      <c r="E11">
        <f t="shared" si="2"/>
        <v>1.2973217336675416</v>
      </c>
      <c r="F11">
        <f t="shared" si="3"/>
        <v>57.867636677115982</v>
      </c>
      <c r="G11">
        <f t="shared" si="4"/>
        <v>13.55763667711598</v>
      </c>
      <c r="H11">
        <f t="shared" si="5"/>
        <v>1.3059723917200627</v>
      </c>
    </row>
    <row r="12" spans="1:16" x14ac:dyDescent="0.55000000000000004">
      <c r="A12">
        <f>スキル比較!$A12</f>
        <v>400</v>
      </c>
      <c r="B12">
        <f>スキル比較!$E12</f>
        <v>45.600000000000009</v>
      </c>
      <c r="C12">
        <f t="shared" si="0"/>
        <v>58.776175548589336</v>
      </c>
      <c r="D12">
        <f t="shared" si="1"/>
        <v>13.176175548589327</v>
      </c>
      <c r="E12">
        <f t="shared" si="2"/>
        <v>1.2889512181708185</v>
      </c>
      <c r="F12">
        <f t="shared" si="3"/>
        <v>59.455055172413793</v>
      </c>
      <c r="G12">
        <f t="shared" si="4"/>
        <v>13.855055172413785</v>
      </c>
      <c r="H12">
        <f t="shared" si="5"/>
        <v>1.3038389292196004</v>
      </c>
    </row>
    <row r="13" spans="1:16" x14ac:dyDescent="0.55000000000000004">
      <c r="A13">
        <f>スキル比較!$A13</f>
        <v>410</v>
      </c>
      <c r="B13">
        <f>スキル比較!$E13</f>
        <v>46.690000000000005</v>
      </c>
      <c r="C13">
        <f t="shared" si="0"/>
        <v>59.868025078369897</v>
      </c>
      <c r="D13">
        <f t="shared" si="1"/>
        <v>13.178025078369892</v>
      </c>
      <c r="E13">
        <f t="shared" si="2"/>
        <v>1.2822451291147974</v>
      </c>
      <c r="F13">
        <f t="shared" si="3"/>
        <v>60.6024736677116</v>
      </c>
      <c r="G13">
        <f t="shared" si="4"/>
        <v>13.912473667711595</v>
      </c>
      <c r="H13">
        <f t="shared" si="5"/>
        <v>1.2979754480126706</v>
      </c>
    </row>
    <row r="14" spans="1:16" x14ac:dyDescent="0.55000000000000004">
      <c r="A14">
        <f>スキル比較!$A14</f>
        <v>420</v>
      </c>
      <c r="B14">
        <f>スキル比較!$E14</f>
        <v>47.780000000000008</v>
      </c>
      <c r="C14">
        <f t="shared" si="0"/>
        <v>60.959874608150471</v>
      </c>
      <c r="D14">
        <f t="shared" si="1"/>
        <v>13.179874608150463</v>
      </c>
      <c r="E14">
        <f t="shared" si="2"/>
        <v>1.2758450106352126</v>
      </c>
      <c r="F14">
        <f t="shared" si="3"/>
        <v>61.749892163009406</v>
      </c>
      <c r="G14">
        <f t="shared" si="4"/>
        <v>13.969892163009398</v>
      </c>
      <c r="H14">
        <f t="shared" si="5"/>
        <v>1.2923794927377437</v>
      </c>
    </row>
    <row r="15" spans="1:16" x14ac:dyDescent="0.55000000000000004">
      <c r="A15">
        <f>スキル比較!$A15</f>
        <v>430</v>
      </c>
      <c r="B15">
        <f>スキル比較!$E15</f>
        <v>48.870000000000005</v>
      </c>
      <c r="C15">
        <f t="shared" si="0"/>
        <v>62.051724137931032</v>
      </c>
      <c r="D15">
        <f t="shared" si="1"/>
        <v>13.181724137931027</v>
      </c>
      <c r="E15">
        <f t="shared" si="2"/>
        <v>1.2697303895627383</v>
      </c>
      <c r="F15">
        <f t="shared" si="3"/>
        <v>62.897310658307212</v>
      </c>
      <c r="G15">
        <f t="shared" si="4"/>
        <v>14.027310658307208</v>
      </c>
      <c r="H15">
        <f t="shared" si="5"/>
        <v>1.2870331626418499</v>
      </c>
    </row>
    <row r="16" spans="1:16" x14ac:dyDescent="0.55000000000000004">
      <c r="A16">
        <f>スキル比較!$A16</f>
        <v>440</v>
      </c>
      <c r="B16">
        <f>スキル比較!$E16</f>
        <v>49.960000000000008</v>
      </c>
      <c r="C16">
        <f t="shared" si="0"/>
        <v>63.1435736677116</v>
      </c>
      <c r="D16">
        <f t="shared" si="1"/>
        <v>13.183573667711592</v>
      </c>
      <c r="E16">
        <f t="shared" si="2"/>
        <v>1.2638825794177659</v>
      </c>
      <c r="F16">
        <f t="shared" si="3"/>
        <v>64.044729153605019</v>
      </c>
      <c r="G16">
        <f t="shared" si="4"/>
        <v>14.084729153605011</v>
      </c>
      <c r="H16">
        <f t="shared" si="5"/>
        <v>1.2819201191674341</v>
      </c>
    </row>
    <row r="17" spans="1:8" x14ac:dyDescent="0.55000000000000004">
      <c r="A17">
        <f>スキル比較!$A17</f>
        <v>450</v>
      </c>
      <c r="B17">
        <f>スキル比較!$E17</f>
        <v>51.250000000000007</v>
      </c>
      <c r="C17">
        <f t="shared" si="0"/>
        <v>64.43542319749217</v>
      </c>
      <c r="D17">
        <f t="shared" si="1"/>
        <v>13.185423197492163</v>
      </c>
      <c r="E17">
        <f t="shared" si="2"/>
        <v>1.257276550194969</v>
      </c>
      <c r="F17">
        <f t="shared" si="3"/>
        <v>65.63214764890283</v>
      </c>
      <c r="G17">
        <f t="shared" si="4"/>
        <v>14.382147648902823</v>
      </c>
      <c r="H17">
        <f t="shared" si="5"/>
        <v>1.2806272711981037</v>
      </c>
    </row>
    <row r="18" spans="1:8" x14ac:dyDescent="0.55000000000000004">
      <c r="A18">
        <f>スキル比較!$A18</f>
        <v>460</v>
      </c>
      <c r="B18">
        <f>スキル比較!$E18</f>
        <v>52.340000000000011</v>
      </c>
      <c r="C18">
        <f t="shared" si="0"/>
        <v>65.527272727272731</v>
      </c>
      <c r="D18">
        <f t="shared" si="1"/>
        <v>13.18727272727272</v>
      </c>
      <c r="E18">
        <f t="shared" si="2"/>
        <v>1.2519540070170561</v>
      </c>
      <c r="F18">
        <f t="shared" si="3"/>
        <v>66.779566144200629</v>
      </c>
      <c r="G18">
        <f t="shared" si="4"/>
        <v>14.439566144200619</v>
      </c>
      <c r="H18">
        <f t="shared" si="5"/>
        <v>1.2758801326748304</v>
      </c>
    </row>
    <row r="19" spans="1:8" x14ac:dyDescent="0.55000000000000004">
      <c r="A19">
        <f>スキル比較!$A19</f>
        <v>470</v>
      </c>
      <c r="B19">
        <f>スキル比較!$E19</f>
        <v>53.430000000000007</v>
      </c>
      <c r="C19">
        <f t="shared" si="0"/>
        <v>66.619122257053291</v>
      </c>
      <c r="D19">
        <f t="shared" si="1"/>
        <v>13.189122257053285</v>
      </c>
      <c r="E19">
        <f t="shared" si="2"/>
        <v>1.2468486291793615</v>
      </c>
      <c r="F19">
        <f t="shared" si="3"/>
        <v>67.926984639498428</v>
      </c>
      <c r="G19">
        <f t="shared" si="4"/>
        <v>14.496984639498422</v>
      </c>
      <c r="H19">
        <f t="shared" si="5"/>
        <v>1.2713266823787839</v>
      </c>
    </row>
    <row r="20" spans="1:8" x14ac:dyDescent="0.55000000000000004">
      <c r="A20">
        <f>スキル比較!$A20</f>
        <v>480</v>
      </c>
      <c r="B20">
        <f>スキル比較!$E20</f>
        <v>54.52000000000001</v>
      </c>
      <c r="C20">
        <f t="shared" si="0"/>
        <v>67.710971786833852</v>
      </c>
      <c r="D20">
        <f t="shared" si="1"/>
        <v>13.190971786833842</v>
      </c>
      <c r="E20">
        <f t="shared" si="2"/>
        <v>1.2419473915413397</v>
      </c>
      <c r="F20">
        <f t="shared" si="3"/>
        <v>69.074403134796242</v>
      </c>
      <c r="G20">
        <f t="shared" si="4"/>
        <v>14.554403134796232</v>
      </c>
      <c r="H20">
        <f t="shared" si="5"/>
        <v>1.2669553032794614</v>
      </c>
    </row>
    <row r="21" spans="1:8" x14ac:dyDescent="0.55000000000000004">
      <c r="A21">
        <f>スキル比較!$A21</f>
        <v>490</v>
      </c>
      <c r="B21">
        <f>スキル比較!$E21</f>
        <v>55.610000000000007</v>
      </c>
      <c r="C21">
        <f t="shared" si="0"/>
        <v>68.802821316614427</v>
      </c>
      <c r="D21">
        <f t="shared" si="1"/>
        <v>13.19282131661442</v>
      </c>
      <c r="E21">
        <f t="shared" si="2"/>
        <v>1.2372382901746883</v>
      </c>
      <c r="F21">
        <f t="shared" si="3"/>
        <v>70.221821630094041</v>
      </c>
      <c r="G21">
        <f t="shared" si="4"/>
        <v>14.611821630094035</v>
      </c>
      <c r="H21">
        <f t="shared" si="5"/>
        <v>1.2627552891583174</v>
      </c>
    </row>
    <row r="22" spans="1:8" x14ac:dyDescent="0.55000000000000004">
      <c r="A22">
        <f>スキル比較!$A22</f>
        <v>500</v>
      </c>
      <c r="B22">
        <f>スキル比較!$E22</f>
        <v>56.900000000000006</v>
      </c>
      <c r="C22">
        <f t="shared" si="0"/>
        <v>70.09467084639499</v>
      </c>
      <c r="D22">
        <f t="shared" si="1"/>
        <v>13.194670846394985</v>
      </c>
      <c r="E22">
        <f t="shared" si="2"/>
        <v>1.2318922820104568</v>
      </c>
      <c r="F22">
        <f t="shared" si="3"/>
        <v>71.809240125391852</v>
      </c>
      <c r="G22">
        <f t="shared" si="4"/>
        <v>14.909240125391847</v>
      </c>
      <c r="H22">
        <f t="shared" si="5"/>
        <v>1.2620253097608409</v>
      </c>
    </row>
    <row r="23" spans="1:8" x14ac:dyDescent="0.55000000000000004">
      <c r="A23">
        <f>スキル比較!$A23</f>
        <v>510</v>
      </c>
      <c r="B23">
        <f>スキル比較!$E23</f>
        <v>57.99</v>
      </c>
      <c r="C23">
        <f t="shared" si="0"/>
        <v>71.186520376175551</v>
      </c>
      <c r="D23">
        <f t="shared" si="1"/>
        <v>13.196520376175549</v>
      </c>
      <c r="E23">
        <f t="shared" si="2"/>
        <v>1.2275654488045447</v>
      </c>
      <c r="F23">
        <f t="shared" si="3"/>
        <v>72.956658620689666</v>
      </c>
      <c r="G23">
        <f t="shared" si="4"/>
        <v>14.966658620689664</v>
      </c>
      <c r="H23">
        <f t="shared" si="5"/>
        <v>1.2580903366216531</v>
      </c>
    </row>
    <row r="24" spans="1:8" x14ac:dyDescent="0.55000000000000004">
      <c r="A24">
        <f>スキル比較!$A24</f>
        <v>520</v>
      </c>
      <c r="B24">
        <f>スキル比較!$E24</f>
        <v>59.080000000000005</v>
      </c>
      <c r="C24">
        <f t="shared" si="0"/>
        <v>72.278369905956112</v>
      </c>
      <c r="D24">
        <f t="shared" si="1"/>
        <v>13.198369905956106</v>
      </c>
      <c r="E24">
        <f t="shared" si="2"/>
        <v>1.2233982719356145</v>
      </c>
      <c r="F24">
        <f t="shared" si="3"/>
        <v>74.104077115987465</v>
      </c>
      <c r="G24">
        <f t="shared" si="4"/>
        <v>15.02407711598746</v>
      </c>
      <c r="H24">
        <f t="shared" si="5"/>
        <v>1.2543005605278852</v>
      </c>
    </row>
    <row r="25" spans="1:8" x14ac:dyDescent="0.55000000000000004">
      <c r="A25">
        <f>スキル比較!$A25</f>
        <v>530</v>
      </c>
      <c r="B25">
        <f>スキル比較!$E25</f>
        <v>60.170000000000009</v>
      </c>
      <c r="C25">
        <f t="shared" si="0"/>
        <v>73.370219435736686</v>
      </c>
      <c r="D25">
        <f t="shared" si="1"/>
        <v>13.200219435736678</v>
      </c>
      <c r="E25">
        <f t="shared" si="2"/>
        <v>1.2193820747172457</v>
      </c>
      <c r="F25">
        <f t="shared" si="3"/>
        <v>75.251495611285279</v>
      </c>
      <c r="G25">
        <f t="shared" si="4"/>
        <v>15.08149561128527</v>
      </c>
      <c r="H25">
        <f t="shared" si="5"/>
        <v>1.2506480905980599</v>
      </c>
    </row>
    <row r="26" spans="1:8" x14ac:dyDescent="0.55000000000000004">
      <c r="A26">
        <f>スキル比較!$A26</f>
        <v>540</v>
      </c>
      <c r="B26">
        <f>スキル比較!$E26</f>
        <v>61.260000000000005</v>
      </c>
      <c r="C26">
        <f t="shared" si="0"/>
        <v>74.462068965517247</v>
      </c>
      <c r="D26">
        <f t="shared" si="1"/>
        <v>13.202068965517242</v>
      </c>
      <c r="E26">
        <f t="shared" si="2"/>
        <v>1.2155087980006078</v>
      </c>
      <c r="F26">
        <f t="shared" si="3"/>
        <v>76.398914106583078</v>
      </c>
      <c r="G26">
        <f t="shared" si="4"/>
        <v>15.138914106583073</v>
      </c>
      <c r="H26">
        <f t="shared" si="5"/>
        <v>1.2471255975609381</v>
      </c>
    </row>
    <row r="27" spans="1:8" x14ac:dyDescent="0.55000000000000004">
      <c r="A27">
        <f>スキル比較!$A27</f>
        <v>550</v>
      </c>
      <c r="B27">
        <f>スキル比較!$E27</f>
        <v>62.550000000000011</v>
      </c>
      <c r="C27">
        <f t="shared" si="0"/>
        <v>75.75391849529781</v>
      </c>
      <c r="D27">
        <f t="shared" si="1"/>
        <v>13.203918495297799</v>
      </c>
      <c r="E27">
        <f t="shared" si="2"/>
        <v>1.2110938208680704</v>
      </c>
      <c r="F27">
        <f t="shared" si="3"/>
        <v>77.986332601880889</v>
      </c>
      <c r="G27">
        <f t="shared" si="4"/>
        <v>15.436332601880878</v>
      </c>
      <c r="H27">
        <f t="shared" si="5"/>
        <v>1.2467838945144825</v>
      </c>
    </row>
    <row r="28" spans="1:8" x14ac:dyDescent="0.55000000000000004">
      <c r="A28">
        <f>スキル比較!$A28</f>
        <v>560</v>
      </c>
      <c r="B28">
        <f>スキル比較!$E28</f>
        <v>63.640000000000008</v>
      </c>
      <c r="C28">
        <f t="shared" si="0"/>
        <v>76.845768025078371</v>
      </c>
      <c r="D28">
        <f t="shared" si="1"/>
        <v>13.205768025078363</v>
      </c>
      <c r="E28">
        <f t="shared" si="2"/>
        <v>1.2075073542595594</v>
      </c>
      <c r="F28">
        <f t="shared" si="3"/>
        <v>79.133751097178688</v>
      </c>
      <c r="G28">
        <f t="shared" si="4"/>
        <v>15.493751097178681</v>
      </c>
      <c r="H28">
        <f t="shared" si="5"/>
        <v>1.2434593195659756</v>
      </c>
    </row>
    <row r="29" spans="1:8" x14ac:dyDescent="0.55000000000000004">
      <c r="A29">
        <f>スキル比較!$A29</f>
        <v>570</v>
      </c>
      <c r="B29">
        <f>スキル比較!$E29</f>
        <v>64.73</v>
      </c>
      <c r="C29">
        <f t="shared" si="0"/>
        <v>77.937617554858932</v>
      </c>
      <c r="D29">
        <f t="shared" si="1"/>
        <v>13.207617554858928</v>
      </c>
      <c r="E29">
        <f t="shared" si="2"/>
        <v>1.2040416739511652</v>
      </c>
      <c r="F29">
        <f t="shared" si="3"/>
        <v>80.281169592476502</v>
      </c>
      <c r="G29">
        <f t="shared" si="4"/>
        <v>15.551169592476498</v>
      </c>
      <c r="H29">
        <f t="shared" si="5"/>
        <v>1.2402467108369613</v>
      </c>
    </row>
    <row r="30" spans="1:8" x14ac:dyDescent="0.55000000000000004">
      <c r="A30">
        <f>スキル比較!$A30</f>
        <v>580</v>
      </c>
      <c r="B30">
        <f>スキル比較!$E30</f>
        <v>65.820000000000007</v>
      </c>
      <c r="C30">
        <f t="shared" si="0"/>
        <v>79.029467084639506</v>
      </c>
      <c r="D30">
        <f t="shared" si="1"/>
        <v>13.209467084639499</v>
      </c>
      <c r="E30">
        <f t="shared" si="2"/>
        <v>1.2006907791649879</v>
      </c>
      <c r="F30">
        <f t="shared" si="3"/>
        <v>81.428588087774301</v>
      </c>
      <c r="G30">
        <f t="shared" si="4"/>
        <v>15.608588087774294</v>
      </c>
      <c r="H30">
        <f t="shared" si="5"/>
        <v>1.2371405057395062</v>
      </c>
    </row>
    <row r="31" spans="1:8" x14ac:dyDescent="0.55000000000000004">
      <c r="A31">
        <f>スキル比較!$A31</f>
        <v>590</v>
      </c>
      <c r="B31">
        <f>スキル比較!$E31</f>
        <v>66.91</v>
      </c>
      <c r="C31">
        <f t="shared" si="0"/>
        <v>80.121316614420067</v>
      </c>
      <c r="D31">
        <f t="shared" si="1"/>
        <v>13.21131661442007</v>
      </c>
      <c r="E31">
        <f t="shared" si="2"/>
        <v>1.1974490601467653</v>
      </c>
      <c r="F31">
        <f t="shared" si="3"/>
        <v>82.5760065830721</v>
      </c>
      <c r="G31">
        <f t="shared" si="4"/>
        <v>15.666006583072104</v>
      </c>
      <c r="H31">
        <f t="shared" si="5"/>
        <v>1.2341355041559126</v>
      </c>
    </row>
    <row r="32" spans="1:8" x14ac:dyDescent="0.55000000000000004">
      <c r="A32">
        <f>スキル比較!$A32</f>
        <v>600</v>
      </c>
      <c r="B32">
        <f>スキル比較!$E32</f>
        <v>68.2</v>
      </c>
      <c r="C32">
        <f t="shared" si="0"/>
        <v>81.41316614420063</v>
      </c>
      <c r="D32">
        <f t="shared" si="1"/>
        <v>13.213166144200628</v>
      </c>
      <c r="E32">
        <f t="shared" si="2"/>
        <v>1.1937414390645253</v>
      </c>
      <c r="F32">
        <f t="shared" si="3"/>
        <v>84.163425078369912</v>
      </c>
      <c r="G32">
        <f t="shared" si="4"/>
        <v>15.963425078369909</v>
      </c>
      <c r="H32">
        <f t="shared" si="5"/>
        <v>1.2340678163983858</v>
      </c>
    </row>
    <row r="33" spans="1:8" x14ac:dyDescent="0.55000000000000004">
      <c r="A33">
        <f>スキル比較!$A33</f>
        <v>610</v>
      </c>
      <c r="B33">
        <f>スキル比較!$E33</f>
        <v>69.290000000000006</v>
      </c>
      <c r="C33">
        <f t="shared" si="0"/>
        <v>82.505015673981191</v>
      </c>
      <c r="D33">
        <f t="shared" si="1"/>
        <v>13.215015673981185</v>
      </c>
      <c r="E33">
        <f t="shared" si="2"/>
        <v>1.1907203878479027</v>
      </c>
      <c r="F33">
        <f t="shared" si="3"/>
        <v>85.310843573667711</v>
      </c>
      <c r="G33">
        <f t="shared" si="4"/>
        <v>16.020843573667705</v>
      </c>
      <c r="H33">
        <f t="shared" si="5"/>
        <v>1.2312143682157266</v>
      </c>
    </row>
    <row r="34" spans="1:8" x14ac:dyDescent="0.55000000000000004">
      <c r="A34">
        <f>スキル比較!$A34</f>
        <v>620</v>
      </c>
      <c r="B34">
        <f>スキル比較!$E34</f>
        <v>70.38000000000001</v>
      </c>
      <c r="C34">
        <f t="shared" si="0"/>
        <v>83.596865203761752</v>
      </c>
      <c r="D34">
        <f t="shared" si="1"/>
        <v>13.216865203761742</v>
      </c>
      <c r="E34">
        <f t="shared" si="2"/>
        <v>1.1877929128127556</v>
      </c>
      <c r="F34">
        <f t="shared" si="3"/>
        <v>86.458262068965524</v>
      </c>
      <c r="G34">
        <f t="shared" si="4"/>
        <v>16.078262068965515</v>
      </c>
      <c r="H34">
        <f t="shared" si="5"/>
        <v>1.228449304759385</v>
      </c>
    </row>
    <row r="35" spans="1:8" x14ac:dyDescent="0.55000000000000004">
      <c r="A35">
        <f>スキル比較!$A35</f>
        <v>630</v>
      </c>
      <c r="B35">
        <f>スキル比較!$E35</f>
        <v>71.47</v>
      </c>
      <c r="C35">
        <f t="shared" si="0"/>
        <v>84.688714733542326</v>
      </c>
      <c r="D35">
        <f t="shared" si="1"/>
        <v>13.218714733542328</v>
      </c>
      <c r="E35">
        <f t="shared" si="2"/>
        <v>1.1849547325247283</v>
      </c>
      <c r="F35">
        <f t="shared" si="3"/>
        <v>87.605680564263324</v>
      </c>
      <c r="G35">
        <f t="shared" si="4"/>
        <v>16.135680564263325</v>
      </c>
      <c r="H35">
        <f t="shared" si="5"/>
        <v>1.2257685821220559</v>
      </c>
    </row>
    <row r="36" spans="1:8" x14ac:dyDescent="0.55000000000000004">
      <c r="A36">
        <f>スキル比較!$A36</f>
        <v>640</v>
      </c>
      <c r="B36">
        <f>スキル比較!$E36</f>
        <v>72.56</v>
      </c>
      <c r="C36">
        <f t="shared" si="0"/>
        <v>85.780564263322887</v>
      </c>
      <c r="D36">
        <f t="shared" si="1"/>
        <v>13.220564263322885</v>
      </c>
      <c r="E36">
        <f t="shared" si="2"/>
        <v>1.1822018228131599</v>
      </c>
      <c r="F36">
        <f t="shared" si="3"/>
        <v>88.753099059561137</v>
      </c>
      <c r="G36">
        <f t="shared" si="4"/>
        <v>16.193099059561135</v>
      </c>
      <c r="H36">
        <f t="shared" si="5"/>
        <v>1.2231683993875571</v>
      </c>
    </row>
    <row r="37" spans="1:8" x14ac:dyDescent="0.55000000000000004">
      <c r="A37">
        <f>スキル比較!$A37</f>
        <v>650</v>
      </c>
      <c r="B37">
        <f>スキル比較!$E37</f>
        <v>73.850000000000009</v>
      </c>
      <c r="C37">
        <f t="shared" si="0"/>
        <v>87.072413793103451</v>
      </c>
      <c r="D37">
        <f t="shared" si="1"/>
        <v>13.222413793103442</v>
      </c>
      <c r="E37">
        <f t="shared" si="2"/>
        <v>1.1790441948964583</v>
      </c>
      <c r="F37">
        <f t="shared" si="3"/>
        <v>90.340517554858934</v>
      </c>
      <c r="G37">
        <f t="shared" si="4"/>
        <v>16.490517554858926</v>
      </c>
      <c r="H37">
        <f t="shared" si="5"/>
        <v>1.2232974618125785</v>
      </c>
    </row>
    <row r="38" spans="1:8" x14ac:dyDescent="0.55000000000000004">
      <c r="A38">
        <f>スキル比較!$A38</f>
        <v>660</v>
      </c>
      <c r="B38">
        <f>スキル比較!$E38</f>
        <v>74.940000000000012</v>
      </c>
      <c r="C38">
        <f t="shared" si="0"/>
        <v>88.164263322884011</v>
      </c>
      <c r="D38">
        <f t="shared" si="1"/>
        <v>13.224263322883999</v>
      </c>
      <c r="E38">
        <f t="shared" si="2"/>
        <v>1.176464682717961</v>
      </c>
      <c r="F38">
        <f t="shared" si="3"/>
        <v>91.487936050156733</v>
      </c>
      <c r="G38">
        <f t="shared" si="4"/>
        <v>16.547936050156721</v>
      </c>
      <c r="H38">
        <f t="shared" si="5"/>
        <v>1.2208157999754032</v>
      </c>
    </row>
    <row r="39" spans="1:8" x14ac:dyDescent="0.55000000000000004">
      <c r="A39">
        <f>スキル比較!$A39</f>
        <v>670</v>
      </c>
      <c r="B39">
        <f>スキル比較!$E39</f>
        <v>76.030000000000015</v>
      </c>
      <c r="C39">
        <f t="shared" si="0"/>
        <v>89.256112852664572</v>
      </c>
      <c r="D39">
        <f t="shared" si="1"/>
        <v>13.226112852664556</v>
      </c>
      <c r="E39">
        <f t="shared" si="2"/>
        <v>1.1739591326142911</v>
      </c>
      <c r="F39">
        <f t="shared" si="3"/>
        <v>92.635354545454547</v>
      </c>
      <c r="G39">
        <f t="shared" si="4"/>
        <v>16.605354545454531</v>
      </c>
      <c r="H39">
        <f t="shared" si="5"/>
        <v>1.2184052945607593</v>
      </c>
    </row>
    <row r="40" spans="1:8" x14ac:dyDescent="0.55000000000000004">
      <c r="A40">
        <f>スキル比較!$A40</f>
        <v>680</v>
      </c>
      <c r="B40">
        <f>スキル比較!$E40</f>
        <v>77.12</v>
      </c>
      <c r="C40">
        <f t="shared" si="0"/>
        <v>90.347962382445147</v>
      </c>
      <c r="D40">
        <f t="shared" si="1"/>
        <v>13.227962382445142</v>
      </c>
      <c r="E40">
        <f t="shared" si="2"/>
        <v>1.1715244084860625</v>
      </c>
      <c r="F40">
        <f t="shared" si="3"/>
        <v>93.782773040752346</v>
      </c>
      <c r="G40">
        <f t="shared" si="4"/>
        <v>16.662773040752342</v>
      </c>
      <c r="H40">
        <f t="shared" si="5"/>
        <v>1.216062928432992</v>
      </c>
    </row>
    <row r="41" spans="1:8" x14ac:dyDescent="0.55000000000000004">
      <c r="A41">
        <f>スキル比較!$A41</f>
        <v>690</v>
      </c>
      <c r="B41">
        <f>スキル比較!$E41</f>
        <v>78.210000000000008</v>
      </c>
      <c r="C41">
        <f t="shared" si="0"/>
        <v>91.439811912225707</v>
      </c>
      <c r="D41">
        <f t="shared" si="1"/>
        <v>13.229811912225699</v>
      </c>
      <c r="E41">
        <f t="shared" si="2"/>
        <v>1.1691575490631083</v>
      </c>
      <c r="F41">
        <f t="shared" si="3"/>
        <v>94.93019153605016</v>
      </c>
      <c r="G41">
        <f t="shared" si="4"/>
        <v>16.720191536050152</v>
      </c>
      <c r="H41">
        <f t="shared" si="5"/>
        <v>1.2137858526537546</v>
      </c>
    </row>
    <row r="42" spans="1:8" x14ac:dyDescent="0.55000000000000004">
      <c r="A42">
        <f>スキル比較!$A42</f>
        <v>700</v>
      </c>
      <c r="B42">
        <f>スキル比較!$E42</f>
        <v>79.500000000000014</v>
      </c>
      <c r="C42">
        <f t="shared" si="0"/>
        <v>92.731661442006271</v>
      </c>
      <c r="D42">
        <f t="shared" si="1"/>
        <v>13.231661442006256</v>
      </c>
      <c r="E42">
        <f t="shared" si="2"/>
        <v>1.1664359929812107</v>
      </c>
      <c r="F42">
        <f t="shared" si="3"/>
        <v>96.517610031347957</v>
      </c>
      <c r="G42">
        <f t="shared" si="4"/>
        <v>17.017610031347942</v>
      </c>
      <c r="H42">
        <f t="shared" si="5"/>
        <v>1.2140579878156974</v>
      </c>
    </row>
    <row r="43" spans="1:8" x14ac:dyDescent="0.55000000000000004">
      <c r="A43">
        <f>スキル比較!$A43</f>
        <v>710</v>
      </c>
      <c r="B43">
        <f>スキル比較!$E43</f>
        <v>80.590000000000018</v>
      </c>
      <c r="C43">
        <f t="shared" si="0"/>
        <v>93.823510971786831</v>
      </c>
      <c r="D43">
        <f t="shared" si="1"/>
        <v>13.233510971786814</v>
      </c>
      <c r="E43">
        <f t="shared" si="2"/>
        <v>1.1642078542224445</v>
      </c>
      <c r="F43">
        <f t="shared" si="3"/>
        <v>97.66502852664577</v>
      </c>
      <c r="G43">
        <f t="shared" si="4"/>
        <v>17.075028526645752</v>
      </c>
      <c r="H43">
        <f t="shared" si="5"/>
        <v>1.2118752764194782</v>
      </c>
    </row>
    <row r="44" spans="1:8" x14ac:dyDescent="0.55000000000000004">
      <c r="A44">
        <f>スキル比較!$A44</f>
        <v>720</v>
      </c>
      <c r="B44">
        <f>スキル比較!$E44</f>
        <v>81.680000000000007</v>
      </c>
      <c r="C44">
        <f t="shared" si="0"/>
        <v>94.915360501567392</v>
      </c>
      <c r="D44">
        <f t="shared" si="1"/>
        <v>13.235360501567385</v>
      </c>
      <c r="E44">
        <f t="shared" si="2"/>
        <v>1.1620391834178181</v>
      </c>
      <c r="F44">
        <f t="shared" si="3"/>
        <v>98.812447021943569</v>
      </c>
      <c r="G44">
        <f t="shared" si="4"/>
        <v>17.132447021943563</v>
      </c>
      <c r="H44">
        <f t="shared" si="5"/>
        <v>1.2097508205428937</v>
      </c>
    </row>
    <row r="45" spans="1:8" x14ac:dyDescent="0.55000000000000004">
      <c r="A45">
        <f>スキル比較!$A45</f>
        <v>730</v>
      </c>
      <c r="B45">
        <f>スキル比較!$E45</f>
        <v>82.77000000000001</v>
      </c>
      <c r="C45">
        <f t="shared" si="0"/>
        <v>96.007210031347967</v>
      </c>
      <c r="D45">
        <f t="shared" si="1"/>
        <v>13.237210031347956</v>
      </c>
      <c r="E45">
        <f t="shared" si="2"/>
        <v>1.1599276311628361</v>
      </c>
      <c r="F45">
        <f t="shared" si="3"/>
        <v>99.959865517241383</v>
      </c>
      <c r="G45">
        <f t="shared" si="4"/>
        <v>17.189865517241373</v>
      </c>
      <c r="H45">
        <f t="shared" si="5"/>
        <v>1.2076823186811811</v>
      </c>
    </row>
    <row r="46" spans="1:8" x14ac:dyDescent="0.55000000000000004">
      <c r="A46">
        <f>スキル比較!$A46</f>
        <v>740</v>
      </c>
      <c r="B46">
        <f>スキル比較!$E46</f>
        <v>83.860000000000014</v>
      </c>
      <c r="C46">
        <f t="shared" si="0"/>
        <v>97.099059561128527</v>
      </c>
      <c r="D46">
        <f t="shared" si="1"/>
        <v>13.239059561128514</v>
      </c>
      <c r="E46">
        <f t="shared" si="2"/>
        <v>1.1578709702018664</v>
      </c>
      <c r="F46">
        <f t="shared" si="3"/>
        <v>101.10728401253918</v>
      </c>
      <c r="G46">
        <f t="shared" si="4"/>
        <v>17.247284012539168</v>
      </c>
      <c r="H46">
        <f t="shared" si="5"/>
        <v>1.2056675889880655</v>
      </c>
    </row>
    <row r="47" spans="1:8" x14ac:dyDescent="0.55000000000000004">
      <c r="A47">
        <f>スキル比較!$A47</f>
        <v>750</v>
      </c>
      <c r="B47">
        <f>スキル比較!$E47</f>
        <v>85.15000000000002</v>
      </c>
      <c r="C47">
        <f t="shared" si="0"/>
        <v>98.390909090909091</v>
      </c>
      <c r="D47">
        <f t="shared" si="1"/>
        <v>13.240909090909071</v>
      </c>
      <c r="E47">
        <f t="shared" si="2"/>
        <v>1.1555009875620559</v>
      </c>
      <c r="F47">
        <f t="shared" si="3"/>
        <v>102.69470250783698</v>
      </c>
      <c r="G47">
        <f t="shared" si="4"/>
        <v>17.544702507836959</v>
      </c>
      <c r="H47">
        <f t="shared" si="5"/>
        <v>1.2060446565805867</v>
      </c>
    </row>
    <row r="48" spans="1:8" x14ac:dyDescent="0.55000000000000004">
      <c r="A48">
        <f>スキル比較!$A48</f>
        <v>760</v>
      </c>
      <c r="B48">
        <f>スキル比較!$E48</f>
        <v>86.240000000000009</v>
      </c>
      <c r="C48">
        <f t="shared" si="0"/>
        <v>99.482758620689651</v>
      </c>
      <c r="D48">
        <f t="shared" si="1"/>
        <v>13.242758620689642</v>
      </c>
      <c r="E48">
        <f t="shared" si="2"/>
        <v>1.1535570340989059</v>
      </c>
      <c r="F48">
        <f t="shared" si="3"/>
        <v>103.84212100313479</v>
      </c>
      <c r="G48">
        <f t="shared" si="4"/>
        <v>17.602121003134783</v>
      </c>
      <c r="H48">
        <f t="shared" si="5"/>
        <v>1.2041062268452549</v>
      </c>
    </row>
    <row r="49" spans="1:8" x14ac:dyDescent="0.55000000000000004">
      <c r="A49">
        <f>スキル比較!$A49</f>
        <v>770</v>
      </c>
      <c r="B49">
        <f>スキル比較!$E49</f>
        <v>87.330000000000013</v>
      </c>
      <c r="C49">
        <f t="shared" si="0"/>
        <v>100.57460815047021</v>
      </c>
      <c r="D49">
        <f t="shared" si="1"/>
        <v>13.244608150470199</v>
      </c>
      <c r="E49">
        <f t="shared" si="2"/>
        <v>1.1516616071277934</v>
      </c>
      <c r="F49">
        <f t="shared" si="3"/>
        <v>104.98953949843259</v>
      </c>
      <c r="G49">
        <f t="shared" si="4"/>
        <v>17.659539498432579</v>
      </c>
      <c r="H49">
        <f t="shared" si="5"/>
        <v>1.2022161857143316</v>
      </c>
    </row>
    <row r="50" spans="1:8" x14ac:dyDescent="0.55000000000000004">
      <c r="A50">
        <f>スキル比較!$A50</f>
        <v>780</v>
      </c>
      <c r="B50">
        <f>スキル比較!$E50</f>
        <v>88.420000000000016</v>
      </c>
      <c r="C50">
        <f t="shared" si="0"/>
        <v>101.66645768025079</v>
      </c>
      <c r="D50">
        <f t="shared" si="1"/>
        <v>13.246457680250771</v>
      </c>
      <c r="E50">
        <f t="shared" si="2"/>
        <v>1.1498129120136933</v>
      </c>
      <c r="F50">
        <f t="shared" si="3"/>
        <v>106.13695799373041</v>
      </c>
      <c r="G50">
        <f t="shared" si="4"/>
        <v>17.716957993730389</v>
      </c>
      <c r="H50">
        <f t="shared" si="5"/>
        <v>1.2003727436522325</v>
      </c>
    </row>
    <row r="51" spans="1:8" x14ac:dyDescent="0.55000000000000004">
      <c r="A51">
        <f>スキル比較!$A51</f>
        <v>790</v>
      </c>
      <c r="B51">
        <f>スキル比較!$E51</f>
        <v>89.510000000000019</v>
      </c>
      <c r="C51">
        <f t="shared" si="0"/>
        <v>102.75830721003135</v>
      </c>
      <c r="D51">
        <f t="shared" si="1"/>
        <v>13.248307210031328</v>
      </c>
      <c r="E51">
        <f t="shared" si="2"/>
        <v>1.1480092415376084</v>
      </c>
      <c r="F51">
        <f t="shared" si="3"/>
        <v>107.2843764890282</v>
      </c>
      <c r="G51">
        <f t="shared" si="4"/>
        <v>17.774376489028185</v>
      </c>
      <c r="H51">
        <f t="shared" si="5"/>
        <v>1.1985741982910085</v>
      </c>
    </row>
    <row r="52" spans="1:8" x14ac:dyDescent="0.55000000000000004">
      <c r="A52">
        <f>スキル比較!$A52</f>
        <v>800</v>
      </c>
      <c r="B52">
        <f>スキル比較!$E52</f>
        <v>90.800000000000011</v>
      </c>
      <c r="C52">
        <f t="shared" si="0"/>
        <v>104.05015673981191</v>
      </c>
      <c r="D52">
        <f t="shared" si="1"/>
        <v>13.250156739811899</v>
      </c>
      <c r="E52">
        <f t="shared" si="2"/>
        <v>1.1459268363415407</v>
      </c>
      <c r="F52">
        <f t="shared" si="3"/>
        <v>108.87179498432603</v>
      </c>
      <c r="G52">
        <f t="shared" si="4"/>
        <v>18.071794984326019</v>
      </c>
      <c r="H52">
        <f t="shared" si="5"/>
        <v>1.1990285791225332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63E7A-C490-42AD-9F0C-4D1C776EF26E}">
  <sheetPr codeName="Sheet4"/>
  <dimension ref="A1:L10"/>
  <sheetViews>
    <sheetView workbookViewId="0">
      <selection activeCell="E31" sqref="E31"/>
    </sheetView>
  </sheetViews>
  <sheetFormatPr defaultRowHeight="18" x14ac:dyDescent="0.55000000000000004"/>
  <sheetData>
    <row r="1" spans="1:12" x14ac:dyDescent="0.55000000000000004">
      <c r="A1" t="s">
        <v>128</v>
      </c>
    </row>
    <row r="2" spans="1:12" x14ac:dyDescent="0.55000000000000004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</row>
    <row r="3" spans="1:12" x14ac:dyDescent="0.55000000000000004">
      <c r="A3">
        <v>1.1499999999999999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</row>
    <row r="4" spans="1:12" x14ac:dyDescent="0.55000000000000004">
      <c r="A4">
        <v>1.3</v>
      </c>
      <c r="B4">
        <v>1</v>
      </c>
      <c r="C4">
        <v>1</v>
      </c>
      <c r="D4">
        <v>1</v>
      </c>
      <c r="E4">
        <v>1</v>
      </c>
      <c r="F4">
        <v>1</v>
      </c>
      <c r="G4">
        <v>3</v>
      </c>
      <c r="H4">
        <v>1</v>
      </c>
      <c r="I4">
        <v>1</v>
      </c>
      <c r="J4">
        <v>1</v>
      </c>
      <c r="K4">
        <v>1</v>
      </c>
      <c r="L4">
        <v>1</v>
      </c>
    </row>
    <row r="5" spans="1:12" x14ac:dyDescent="0.55000000000000004">
      <c r="A5">
        <v>1.45</v>
      </c>
      <c r="B5">
        <v>1</v>
      </c>
      <c r="C5">
        <v>1</v>
      </c>
      <c r="D5">
        <v>1</v>
      </c>
      <c r="E5">
        <v>1</v>
      </c>
      <c r="F5">
        <v>3</v>
      </c>
      <c r="G5">
        <v>3</v>
      </c>
      <c r="H5">
        <v>3</v>
      </c>
      <c r="I5">
        <v>3</v>
      </c>
      <c r="J5">
        <v>3</v>
      </c>
      <c r="K5">
        <v>3</v>
      </c>
      <c r="L5">
        <v>3</v>
      </c>
    </row>
    <row r="6" spans="1:12" x14ac:dyDescent="0.55000000000000004">
      <c r="A6">
        <v>1.6</v>
      </c>
      <c r="B6">
        <v>1</v>
      </c>
      <c r="C6">
        <v>1</v>
      </c>
      <c r="D6">
        <v>1</v>
      </c>
      <c r="E6">
        <v>3</v>
      </c>
      <c r="F6">
        <v>3</v>
      </c>
      <c r="G6">
        <v>3</v>
      </c>
      <c r="H6">
        <v>1</v>
      </c>
      <c r="I6" s="2">
        <v>1</v>
      </c>
      <c r="J6">
        <v>1</v>
      </c>
      <c r="K6">
        <v>2</v>
      </c>
      <c r="L6">
        <v>3</v>
      </c>
    </row>
    <row r="7" spans="1:12" x14ac:dyDescent="0.55000000000000004">
      <c r="A7">
        <v>1.75</v>
      </c>
      <c r="B7">
        <v>1</v>
      </c>
      <c r="C7">
        <v>1</v>
      </c>
      <c r="D7">
        <v>3</v>
      </c>
      <c r="E7">
        <v>3</v>
      </c>
      <c r="F7">
        <v>3</v>
      </c>
      <c r="G7">
        <v>3</v>
      </c>
      <c r="H7">
        <v>1</v>
      </c>
      <c r="I7">
        <v>3</v>
      </c>
      <c r="J7">
        <v>2</v>
      </c>
      <c r="K7">
        <v>3</v>
      </c>
      <c r="L7">
        <v>3</v>
      </c>
    </row>
    <row r="8" spans="1:12" x14ac:dyDescent="0.55000000000000004">
      <c r="A8">
        <v>1.9</v>
      </c>
      <c r="B8">
        <v>1</v>
      </c>
      <c r="C8">
        <v>3</v>
      </c>
      <c r="D8">
        <v>3</v>
      </c>
      <c r="E8">
        <v>3</v>
      </c>
      <c r="F8">
        <v>3</v>
      </c>
      <c r="G8">
        <v>3</v>
      </c>
      <c r="H8">
        <v>3</v>
      </c>
      <c r="I8">
        <v>3</v>
      </c>
      <c r="J8">
        <v>3</v>
      </c>
      <c r="K8">
        <v>3</v>
      </c>
      <c r="L8">
        <v>3</v>
      </c>
    </row>
    <row r="9" spans="1:12" x14ac:dyDescent="0.55000000000000004">
      <c r="A9" t="s">
        <v>129</v>
      </c>
      <c r="B9">
        <f>$A2*B2+$A3*B3+$A4*B4+$A5*B5+$A6*B6+$A7*B7+$A8*B8</f>
        <v>10.15</v>
      </c>
      <c r="C9">
        <f t="shared" ref="C9:L9" si="0">$A2*C2+$A3*C3+$A4*C4+$A5*C5+$A6*C6+$A7*C7+$A8*C8</f>
        <v>13.95</v>
      </c>
      <c r="D9">
        <f t="shared" si="0"/>
        <v>17.45</v>
      </c>
      <c r="E9">
        <f t="shared" si="0"/>
        <v>20.65</v>
      </c>
      <c r="F9">
        <f t="shared" si="0"/>
        <v>23.55</v>
      </c>
      <c r="G9">
        <f t="shared" si="0"/>
        <v>26.150000000000002</v>
      </c>
      <c r="H9">
        <f t="shared" si="0"/>
        <v>16.850000000000001</v>
      </c>
      <c r="I9">
        <f t="shared" si="0"/>
        <v>20.350000000000001</v>
      </c>
      <c r="J9">
        <f t="shared" si="0"/>
        <v>18.600000000000001</v>
      </c>
      <c r="K9">
        <f t="shared" si="0"/>
        <v>21.95</v>
      </c>
      <c r="L9">
        <f t="shared" si="0"/>
        <v>23.55</v>
      </c>
    </row>
    <row r="10" spans="1:12" x14ac:dyDescent="0.55000000000000004">
      <c r="A10" t="s">
        <v>128</v>
      </c>
      <c r="B10">
        <v>1</v>
      </c>
      <c r="C10">
        <f>(C9/$B9)*SUM($B2:$B8)/SUM(C2:C8)</f>
        <v>1.0689655172413792</v>
      </c>
      <c r="D10">
        <f t="shared" ref="D10:I10" si="1">(D9/$B9)*SUM($B2:$B8)/SUM(D2:D8)</f>
        <v>1.0940438871473352</v>
      </c>
      <c r="E10">
        <f t="shared" si="1"/>
        <v>1.0954907161803713</v>
      </c>
      <c r="F10">
        <f t="shared" si="1"/>
        <v>1.0827586206896553</v>
      </c>
      <c r="G10">
        <f t="shared" si="1"/>
        <v>1.0608519269776877</v>
      </c>
      <c r="H10">
        <f t="shared" si="1"/>
        <v>1.0564263322884013</v>
      </c>
      <c r="I10">
        <f t="shared" si="1"/>
        <v>1.0795755968169762</v>
      </c>
      <c r="J10">
        <f t="shared" ref="J10:L10" si="2">(J9/$B9)*SUM($B2:$B8)/SUM(J2:J8)</f>
        <v>1.0689655172413792</v>
      </c>
      <c r="K10">
        <f t="shared" si="2"/>
        <v>1.0812807881773399</v>
      </c>
      <c r="L10">
        <f t="shared" si="2"/>
        <v>1.0827586206896553</v>
      </c>
    </row>
  </sheetData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9C2AC-7A87-4545-B9DF-731E61FB3140}">
  <sheetPr codeName="Sheet5"/>
  <dimension ref="A1:B5"/>
  <sheetViews>
    <sheetView workbookViewId="0">
      <selection activeCell="A4" sqref="A4"/>
    </sheetView>
  </sheetViews>
  <sheetFormatPr defaultRowHeight="18" x14ac:dyDescent="0.55000000000000004"/>
  <sheetData>
    <row r="1" spans="1:2" x14ac:dyDescent="0.55000000000000004">
      <c r="A1" t="s">
        <v>165</v>
      </c>
    </row>
    <row r="2" spans="1:2" x14ac:dyDescent="0.55000000000000004">
      <c r="A2" t="s">
        <v>130</v>
      </c>
      <c r="B2" s="3" t="s">
        <v>158</v>
      </c>
    </row>
    <row r="3" spans="1:2" x14ac:dyDescent="0.55000000000000004">
      <c r="A3" t="s">
        <v>131</v>
      </c>
      <c r="B3" s="3" t="s">
        <v>159</v>
      </c>
    </row>
    <row r="4" spans="1:2" x14ac:dyDescent="0.55000000000000004">
      <c r="A4" t="s">
        <v>166</v>
      </c>
    </row>
    <row r="5" spans="1:2" x14ac:dyDescent="0.55000000000000004">
      <c r="A5" t="s">
        <v>130</v>
      </c>
      <c r="B5" s="3" t="s">
        <v>132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10</vt:i4>
      </vt:variant>
    </vt:vector>
  </HeadingPairs>
  <TitlesOfParts>
    <vt:vector size="10" baseType="lpstr">
      <vt:lpstr>コレクションイベント</vt:lpstr>
      <vt:lpstr>曲データ</vt:lpstr>
      <vt:lpstr>ブロマイド一覧(成田)</vt:lpstr>
      <vt:lpstr>ブロマイド一覧(なみ)</vt:lpstr>
      <vt:lpstr>ﾊﾟﾌｫｰﾏﾝｽ計算</vt:lpstr>
      <vt:lpstr>スキル比較</vt:lpstr>
      <vt:lpstr>スキル計算</vt:lpstr>
      <vt:lpstr>ブースト効率</vt:lpstr>
      <vt:lpstr>ポイント計算式</vt:lpstr>
      <vt:lpstr>Index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成田建樹</dc:creator>
  <cp:lastModifiedBy>成田建樹</cp:lastModifiedBy>
  <dcterms:created xsi:type="dcterms:W3CDTF">2018-06-17T11:53:48Z</dcterms:created>
  <dcterms:modified xsi:type="dcterms:W3CDTF">2018-11-25T11:56:33Z</dcterms:modified>
</cp:coreProperties>
</file>